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16EB1F40-D49F-4375-A88D-8AABF1C02AAC}" xr6:coauthVersionLast="47" xr6:coauthVersionMax="47" xr10:uidLastSave="{00000000-0000-0000-0000-000000000000}"/>
  <bookViews>
    <workbookView xWindow="28680" yWindow="-120" windowWidth="20730" windowHeight="1104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46" i="11" l="1"/>
  <c r="F445" i="11"/>
  <c r="F444" i="11"/>
  <c r="F443" i="11"/>
  <c r="F442" i="11"/>
  <c r="F403" i="11"/>
  <c r="F399" i="11"/>
  <c r="F398" i="11"/>
  <c r="F397" i="11"/>
  <c r="F396" i="11"/>
  <c r="F395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D248" i="11"/>
  <c r="J248" i="11" s="1"/>
  <c r="E248" i="11"/>
  <c r="G248" i="11"/>
  <c r="D249" i="11"/>
  <c r="J249" i="11" s="1"/>
  <c r="E249" i="11"/>
  <c r="G249" i="11"/>
  <c r="D250" i="11"/>
  <c r="E250" i="11"/>
  <c r="G250" i="11"/>
  <c r="D251" i="11"/>
  <c r="H251" i="11" s="1"/>
  <c r="E251" i="11"/>
  <c r="G251" i="11"/>
  <c r="D252" i="11"/>
  <c r="J252" i="11" s="1"/>
  <c r="E252" i="11"/>
  <c r="G252" i="11"/>
  <c r="D253" i="11"/>
  <c r="J253" i="11" s="1"/>
  <c r="E253" i="11"/>
  <c r="G253" i="11"/>
  <c r="D254" i="11"/>
  <c r="H254" i="11" s="1"/>
  <c r="E254" i="11"/>
  <c r="G254" i="11"/>
  <c r="D255" i="11"/>
  <c r="H255" i="11" s="1"/>
  <c r="E255" i="11"/>
  <c r="G255" i="11"/>
  <c r="D256" i="11"/>
  <c r="J256" i="11" s="1"/>
  <c r="E256" i="11"/>
  <c r="G256" i="11"/>
  <c r="D257" i="11"/>
  <c r="J257" i="11" s="1"/>
  <c r="E257" i="11"/>
  <c r="G257" i="11"/>
  <c r="D258" i="11"/>
  <c r="H258" i="11" s="1"/>
  <c r="E258" i="11"/>
  <c r="G258" i="11"/>
  <c r="D259" i="11"/>
  <c r="H259" i="11" s="1"/>
  <c r="E259" i="11"/>
  <c r="G259" i="11"/>
  <c r="D260" i="11"/>
  <c r="J260" i="11" s="1"/>
  <c r="E260" i="11"/>
  <c r="G260" i="11"/>
  <c r="D261" i="11"/>
  <c r="J261" i="11" s="1"/>
  <c r="E261" i="11"/>
  <c r="G261" i="11"/>
  <c r="D262" i="11"/>
  <c r="H262" i="11" s="1"/>
  <c r="E262" i="11"/>
  <c r="G262" i="11"/>
  <c r="D263" i="11"/>
  <c r="H263" i="11" s="1"/>
  <c r="E263" i="11"/>
  <c r="G263" i="11"/>
  <c r="D264" i="11"/>
  <c r="H264" i="11" s="1"/>
  <c r="E264" i="11"/>
  <c r="G264" i="11"/>
  <c r="G192" i="11"/>
  <c r="G193" i="11"/>
  <c r="G194" i="11"/>
  <c r="G195" i="11"/>
  <c r="G196" i="11"/>
  <c r="G197" i="11"/>
  <c r="G198" i="11"/>
  <c r="G199" i="11"/>
  <c r="G200" i="11"/>
  <c r="G201" i="11"/>
  <c r="G202" i="11"/>
  <c r="D192" i="11"/>
  <c r="H192" i="11" s="1"/>
  <c r="E192" i="11"/>
  <c r="D193" i="11"/>
  <c r="J193" i="11" s="1"/>
  <c r="E193" i="11"/>
  <c r="D194" i="11"/>
  <c r="I194" i="11" s="1"/>
  <c r="E194" i="11"/>
  <c r="D195" i="11"/>
  <c r="H195" i="11" s="1"/>
  <c r="E195" i="11"/>
  <c r="D196" i="11"/>
  <c r="H196" i="11" s="1"/>
  <c r="E196" i="11"/>
  <c r="D197" i="11"/>
  <c r="E197" i="11"/>
  <c r="D198" i="11"/>
  <c r="I198" i="11" s="1"/>
  <c r="E198" i="11"/>
  <c r="D199" i="11"/>
  <c r="I199" i="11" s="1"/>
  <c r="E199" i="11"/>
  <c r="D200" i="11"/>
  <c r="H200" i="11" s="1"/>
  <c r="E200" i="11"/>
  <c r="D201" i="11"/>
  <c r="H201" i="11" s="1"/>
  <c r="E201" i="11"/>
  <c r="D202" i="11"/>
  <c r="J202" i="11" s="1"/>
  <c r="E202" i="11"/>
  <c r="D203" i="11"/>
  <c r="J203" i="11" s="1"/>
  <c r="E203" i="11"/>
  <c r="F388" i="11"/>
  <c r="F370" i="11"/>
  <c r="F371" i="11" s="1"/>
  <c r="F364" i="11"/>
  <c r="F366" i="11" s="1"/>
  <c r="F362" i="11"/>
  <c r="F361" i="11"/>
  <c r="F360" i="11"/>
  <c r="F359" i="11"/>
  <c r="F358" i="11"/>
  <c r="F357" i="11"/>
  <c r="F351" i="11"/>
  <c r="F350" i="11"/>
  <c r="F349" i="11"/>
  <c r="F348" i="11"/>
  <c r="F347" i="11"/>
  <c r="F344" i="11"/>
  <c r="F343" i="11"/>
  <c r="F342" i="11"/>
  <c r="F341" i="11"/>
  <c r="F340" i="11"/>
  <c r="F339" i="11"/>
  <c r="F338" i="11"/>
  <c r="F337" i="11"/>
  <c r="F336" i="11"/>
  <c r="F333" i="11"/>
  <c r="F332" i="11"/>
  <c r="F331" i="11"/>
  <c r="F330" i="11"/>
  <c r="F325" i="11"/>
  <c r="F324" i="11"/>
  <c r="F323" i="11"/>
  <c r="F322" i="11"/>
  <c r="F321" i="11"/>
  <c r="F320" i="11"/>
  <c r="F319" i="11"/>
  <c r="F318" i="11"/>
  <c r="F317" i="11"/>
  <c r="F316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07" i="11"/>
  <c r="F378" i="11" s="1"/>
  <c r="D303" i="11"/>
  <c r="H303" i="11" s="1"/>
  <c r="E303" i="11"/>
  <c r="G303" i="11"/>
  <c r="D304" i="11"/>
  <c r="E304" i="11"/>
  <c r="G304" i="11"/>
  <c r="D305" i="11"/>
  <c r="E305" i="11"/>
  <c r="G305" i="11"/>
  <c r="D306" i="11"/>
  <c r="H306" i="11" s="1"/>
  <c r="E306" i="11"/>
  <c r="G306" i="11"/>
  <c r="D307" i="11"/>
  <c r="H307" i="11" s="1"/>
  <c r="E307" i="11"/>
  <c r="G307" i="11"/>
  <c r="D308" i="11"/>
  <c r="E308" i="11"/>
  <c r="G308" i="11"/>
  <c r="D309" i="11"/>
  <c r="H309" i="11" s="1"/>
  <c r="E309" i="11"/>
  <c r="G309" i="11"/>
  <c r="D310" i="11"/>
  <c r="H310" i="11" s="1"/>
  <c r="E310" i="11"/>
  <c r="G310" i="11"/>
  <c r="D311" i="11"/>
  <c r="H311" i="11" s="1"/>
  <c r="E311" i="11"/>
  <c r="G311" i="11"/>
  <c r="D312" i="11"/>
  <c r="E312" i="11"/>
  <c r="G312" i="11"/>
  <c r="D313" i="11"/>
  <c r="H313" i="11" s="1"/>
  <c r="E313" i="11"/>
  <c r="G313" i="11"/>
  <c r="D314" i="11"/>
  <c r="E314" i="11"/>
  <c r="G314" i="11"/>
  <c r="D315" i="11"/>
  <c r="J315" i="11" s="1"/>
  <c r="E315" i="11"/>
  <c r="G315" i="11"/>
  <c r="D316" i="11"/>
  <c r="I316" i="11" s="1"/>
  <c r="E316" i="11"/>
  <c r="G316" i="11"/>
  <c r="D317" i="11"/>
  <c r="E317" i="11"/>
  <c r="G317" i="11"/>
  <c r="D318" i="11"/>
  <c r="H318" i="11" s="1"/>
  <c r="E318" i="11"/>
  <c r="G318" i="11"/>
  <c r="D319" i="11"/>
  <c r="J319" i="11" s="1"/>
  <c r="E319" i="11"/>
  <c r="G319" i="11"/>
  <c r="D320" i="11"/>
  <c r="E320" i="11"/>
  <c r="G320" i="11"/>
  <c r="D321" i="11"/>
  <c r="H321" i="11" s="1"/>
  <c r="E321" i="11"/>
  <c r="G321" i="11"/>
  <c r="D322" i="11"/>
  <c r="J322" i="11" s="1"/>
  <c r="E322" i="11"/>
  <c r="G322" i="11"/>
  <c r="D323" i="11"/>
  <c r="J323" i="11" s="1"/>
  <c r="E323" i="11"/>
  <c r="G323" i="11"/>
  <c r="D324" i="11"/>
  <c r="E324" i="11"/>
  <c r="G324" i="11"/>
  <c r="D325" i="11"/>
  <c r="H325" i="11" s="1"/>
  <c r="E325" i="11"/>
  <c r="G325" i="11"/>
  <c r="D326" i="11"/>
  <c r="H326" i="11" s="1"/>
  <c r="E326" i="11"/>
  <c r="G326" i="11"/>
  <c r="D327" i="11"/>
  <c r="J327" i="11" s="1"/>
  <c r="E327" i="11"/>
  <c r="G327" i="11"/>
  <c r="D328" i="11"/>
  <c r="E328" i="11"/>
  <c r="G328" i="11"/>
  <c r="D329" i="11"/>
  <c r="H329" i="11" s="1"/>
  <c r="E329" i="11"/>
  <c r="G329" i="11"/>
  <c r="D330" i="11"/>
  <c r="H330" i="11" s="1"/>
  <c r="E330" i="11"/>
  <c r="G330" i="11"/>
  <c r="D331" i="11"/>
  <c r="E331" i="11"/>
  <c r="G331" i="11"/>
  <c r="D332" i="11"/>
  <c r="E332" i="11"/>
  <c r="G332" i="11"/>
  <c r="D333" i="11"/>
  <c r="E333" i="11"/>
  <c r="G333" i="11"/>
  <c r="D334" i="11"/>
  <c r="J334" i="11" s="1"/>
  <c r="E334" i="11"/>
  <c r="G334" i="11"/>
  <c r="D335" i="11"/>
  <c r="E335" i="11"/>
  <c r="G335" i="11"/>
  <c r="D336" i="11"/>
  <c r="E336" i="11"/>
  <c r="G336" i="11"/>
  <c r="D337" i="11"/>
  <c r="H337" i="11" s="1"/>
  <c r="E337" i="11"/>
  <c r="G337" i="11"/>
  <c r="D338" i="11"/>
  <c r="H338" i="11" s="1"/>
  <c r="E338" i="11"/>
  <c r="G338" i="11"/>
  <c r="D339" i="11"/>
  <c r="J339" i="11" s="1"/>
  <c r="E339" i="11"/>
  <c r="G339" i="11"/>
  <c r="D340" i="11"/>
  <c r="E340" i="11"/>
  <c r="G340" i="11"/>
  <c r="D341" i="11"/>
  <c r="H341" i="11" s="1"/>
  <c r="E341" i="11"/>
  <c r="G341" i="11"/>
  <c r="D342" i="11"/>
  <c r="H342" i="11" s="1"/>
  <c r="E342" i="11"/>
  <c r="G342" i="11"/>
  <c r="D343" i="11"/>
  <c r="E343" i="11"/>
  <c r="G343" i="11"/>
  <c r="D344" i="11"/>
  <c r="E344" i="11"/>
  <c r="G344" i="11"/>
  <c r="D345" i="11"/>
  <c r="J345" i="11" s="1"/>
  <c r="E345" i="11"/>
  <c r="G345" i="11"/>
  <c r="D346" i="11"/>
  <c r="J346" i="11" s="1"/>
  <c r="E346" i="11"/>
  <c r="G346" i="11"/>
  <c r="D347" i="11"/>
  <c r="E347" i="11"/>
  <c r="G347" i="11"/>
  <c r="D348" i="11"/>
  <c r="J348" i="11" s="1"/>
  <c r="E348" i="11"/>
  <c r="G348" i="11"/>
  <c r="D349" i="11"/>
  <c r="H349" i="11" s="1"/>
  <c r="E349" i="11"/>
  <c r="G349" i="11"/>
  <c r="D350" i="11"/>
  <c r="H350" i="11" s="1"/>
  <c r="E350" i="11"/>
  <c r="G350" i="11"/>
  <c r="D351" i="11"/>
  <c r="H351" i="11" s="1"/>
  <c r="E351" i="11"/>
  <c r="G351" i="11"/>
  <c r="D352" i="11"/>
  <c r="J352" i="11" s="1"/>
  <c r="E352" i="11"/>
  <c r="G352" i="11"/>
  <c r="D353" i="11"/>
  <c r="J353" i="11" s="1"/>
  <c r="E353" i="11"/>
  <c r="G353" i="11"/>
  <c r="D354" i="11"/>
  <c r="J354" i="11" s="1"/>
  <c r="E354" i="11"/>
  <c r="G354" i="11"/>
  <c r="D355" i="11"/>
  <c r="J355" i="11" s="1"/>
  <c r="E355" i="11"/>
  <c r="G355" i="11"/>
  <c r="D356" i="11"/>
  <c r="E356" i="11"/>
  <c r="G356" i="11"/>
  <c r="D357" i="11"/>
  <c r="E357" i="11"/>
  <c r="G357" i="11"/>
  <c r="D358" i="11"/>
  <c r="H358" i="11" s="1"/>
  <c r="E358" i="11"/>
  <c r="G358" i="11"/>
  <c r="D359" i="11"/>
  <c r="J359" i="11" s="1"/>
  <c r="E359" i="11"/>
  <c r="G359" i="11"/>
  <c r="D360" i="11"/>
  <c r="J360" i="11" s="1"/>
  <c r="E360" i="11"/>
  <c r="G360" i="11"/>
  <c r="D361" i="11"/>
  <c r="E361" i="11"/>
  <c r="G361" i="11"/>
  <c r="D362" i="11"/>
  <c r="E362" i="11"/>
  <c r="G362" i="11"/>
  <c r="D363" i="11"/>
  <c r="J363" i="11" s="1"/>
  <c r="E363" i="11"/>
  <c r="G363" i="11"/>
  <c r="D364" i="11"/>
  <c r="E364" i="11"/>
  <c r="G364" i="11"/>
  <c r="D365" i="11"/>
  <c r="E365" i="11"/>
  <c r="G365" i="11"/>
  <c r="D366" i="11"/>
  <c r="H366" i="11" s="1"/>
  <c r="E366" i="11"/>
  <c r="G366" i="11"/>
  <c r="D367" i="11"/>
  <c r="J367" i="11" s="1"/>
  <c r="E367" i="11"/>
  <c r="G367" i="11"/>
  <c r="D368" i="11"/>
  <c r="I368" i="11" s="1"/>
  <c r="E368" i="11"/>
  <c r="G368" i="11"/>
  <c r="D369" i="11"/>
  <c r="E369" i="11"/>
  <c r="G369" i="11"/>
  <c r="D370" i="11"/>
  <c r="J370" i="11" s="1"/>
  <c r="E370" i="11"/>
  <c r="G370" i="11"/>
  <c r="D371" i="11"/>
  <c r="J371" i="11" s="1"/>
  <c r="E371" i="11"/>
  <c r="G371" i="11"/>
  <c r="D372" i="11"/>
  <c r="E372" i="11"/>
  <c r="G372" i="11"/>
  <c r="D373" i="11"/>
  <c r="H373" i="11" s="1"/>
  <c r="E373" i="11"/>
  <c r="G373" i="11"/>
  <c r="D374" i="11"/>
  <c r="H374" i="11" s="1"/>
  <c r="E374" i="11"/>
  <c r="G374" i="11"/>
  <c r="D375" i="11"/>
  <c r="I375" i="11" s="1"/>
  <c r="E375" i="11"/>
  <c r="G375" i="11"/>
  <c r="D376" i="11"/>
  <c r="J376" i="11" s="1"/>
  <c r="E376" i="11"/>
  <c r="G376" i="11"/>
  <c r="D377" i="11"/>
  <c r="H377" i="11" s="1"/>
  <c r="E377" i="11"/>
  <c r="G377" i="11"/>
  <c r="D378" i="11"/>
  <c r="H378" i="11" s="1"/>
  <c r="E378" i="11"/>
  <c r="G378" i="11"/>
  <c r="D379" i="11"/>
  <c r="E379" i="11"/>
  <c r="G379" i="11"/>
  <c r="D380" i="11"/>
  <c r="E380" i="11"/>
  <c r="G380" i="11"/>
  <c r="D381" i="11"/>
  <c r="J381" i="11" s="1"/>
  <c r="E381" i="11"/>
  <c r="G381" i="11"/>
  <c r="D382" i="11"/>
  <c r="H382" i="11" s="1"/>
  <c r="E382" i="11"/>
  <c r="G382" i="11"/>
  <c r="D383" i="11"/>
  <c r="J383" i="11" s="1"/>
  <c r="E383" i="11"/>
  <c r="G383" i="11"/>
  <c r="D384" i="11"/>
  <c r="E384" i="11"/>
  <c r="G384" i="11"/>
  <c r="D385" i="11"/>
  <c r="E385" i="11"/>
  <c r="G385" i="11"/>
  <c r="D386" i="11"/>
  <c r="J386" i="11" s="1"/>
  <c r="E386" i="11"/>
  <c r="G386" i="11"/>
  <c r="D387" i="11"/>
  <c r="I387" i="11" s="1"/>
  <c r="E387" i="11"/>
  <c r="G387" i="11"/>
  <c r="D388" i="11"/>
  <c r="I388" i="11" s="1"/>
  <c r="E388" i="11"/>
  <c r="G388" i="11"/>
  <c r="D389" i="11"/>
  <c r="J389" i="11" s="1"/>
  <c r="E389" i="11"/>
  <c r="G389" i="11"/>
  <c r="D390" i="11"/>
  <c r="E390" i="11"/>
  <c r="G390" i="11"/>
  <c r="D391" i="11"/>
  <c r="H391" i="11" s="1"/>
  <c r="E391" i="11"/>
  <c r="G391" i="11"/>
  <c r="D392" i="11"/>
  <c r="H392" i="11" s="1"/>
  <c r="E392" i="11"/>
  <c r="G392" i="11"/>
  <c r="D393" i="11"/>
  <c r="H393" i="11" s="1"/>
  <c r="E393" i="11"/>
  <c r="G393" i="11"/>
  <c r="D394" i="11"/>
  <c r="J394" i="11" s="1"/>
  <c r="E394" i="11"/>
  <c r="G394" i="11"/>
  <c r="D395" i="11"/>
  <c r="H395" i="11" s="1"/>
  <c r="E395" i="11"/>
  <c r="G395" i="11"/>
  <c r="D396" i="11"/>
  <c r="H396" i="11" s="1"/>
  <c r="E396" i="11"/>
  <c r="G396" i="11"/>
  <c r="D397" i="11"/>
  <c r="J397" i="11" s="1"/>
  <c r="E397" i="11"/>
  <c r="G397" i="11"/>
  <c r="D398" i="11"/>
  <c r="J398" i="11" s="1"/>
  <c r="E398" i="11"/>
  <c r="G398" i="11"/>
  <c r="D399" i="11"/>
  <c r="H399" i="11" s="1"/>
  <c r="E399" i="11"/>
  <c r="G399" i="11"/>
  <c r="D400" i="11"/>
  <c r="J400" i="11" s="1"/>
  <c r="E400" i="11"/>
  <c r="G400" i="11"/>
  <c r="D401" i="11"/>
  <c r="J401" i="11" s="1"/>
  <c r="E401" i="11"/>
  <c r="G401" i="11"/>
  <c r="D402" i="11"/>
  <c r="J402" i="11" s="1"/>
  <c r="E402" i="11"/>
  <c r="G402" i="11"/>
  <c r="D403" i="11"/>
  <c r="E403" i="11"/>
  <c r="G403" i="11"/>
  <c r="D404" i="11"/>
  <c r="E404" i="11"/>
  <c r="G404" i="11"/>
  <c r="D405" i="11"/>
  <c r="E405" i="11"/>
  <c r="G405" i="11"/>
  <c r="D406" i="11"/>
  <c r="J406" i="11" s="1"/>
  <c r="E406" i="11"/>
  <c r="G406" i="11"/>
  <c r="G203" i="11"/>
  <c r="D204" i="11"/>
  <c r="J204" i="11" s="1"/>
  <c r="E204" i="11"/>
  <c r="G204" i="11"/>
  <c r="D205" i="11"/>
  <c r="E205" i="11"/>
  <c r="G205" i="11"/>
  <c r="D206" i="11"/>
  <c r="H206" i="11" s="1"/>
  <c r="E206" i="11"/>
  <c r="G206" i="11"/>
  <c r="D207" i="11"/>
  <c r="H207" i="11" s="1"/>
  <c r="E207" i="11"/>
  <c r="G207" i="11"/>
  <c r="D208" i="11"/>
  <c r="J208" i="11" s="1"/>
  <c r="E208" i="11"/>
  <c r="G208" i="11"/>
  <c r="D209" i="11"/>
  <c r="I209" i="11" s="1"/>
  <c r="E209" i="11"/>
  <c r="G209" i="11"/>
  <c r="D210" i="11"/>
  <c r="H210" i="11" s="1"/>
  <c r="E210" i="11"/>
  <c r="G210" i="11"/>
  <c r="D211" i="11"/>
  <c r="J211" i="11" s="1"/>
  <c r="E211" i="11"/>
  <c r="G211" i="11"/>
  <c r="D212" i="11"/>
  <c r="J212" i="11" s="1"/>
  <c r="E212" i="11"/>
  <c r="G212" i="11"/>
  <c r="D213" i="11"/>
  <c r="E213" i="11"/>
  <c r="G213" i="11"/>
  <c r="D214" i="11"/>
  <c r="H214" i="11" s="1"/>
  <c r="E214" i="11"/>
  <c r="G214" i="11"/>
  <c r="D215" i="11"/>
  <c r="J215" i="11" s="1"/>
  <c r="E215" i="11"/>
  <c r="G215" i="11"/>
  <c r="D216" i="11"/>
  <c r="J216" i="11" s="1"/>
  <c r="E216" i="11"/>
  <c r="G216" i="11"/>
  <c r="D217" i="11"/>
  <c r="E217" i="11"/>
  <c r="G217" i="11"/>
  <c r="D218" i="11"/>
  <c r="H218" i="11" s="1"/>
  <c r="E218" i="11"/>
  <c r="G218" i="11"/>
  <c r="D219" i="11"/>
  <c r="J219" i="11" s="1"/>
  <c r="E219" i="11"/>
  <c r="G219" i="11"/>
  <c r="D220" i="11"/>
  <c r="J220" i="11" s="1"/>
  <c r="E220" i="11"/>
  <c r="G220" i="11"/>
  <c r="D221" i="11"/>
  <c r="E221" i="11"/>
  <c r="G221" i="11"/>
  <c r="D222" i="11"/>
  <c r="H222" i="11" s="1"/>
  <c r="E222" i="11"/>
  <c r="G222" i="11"/>
  <c r="D223" i="11"/>
  <c r="J223" i="11" s="1"/>
  <c r="E223" i="11"/>
  <c r="G223" i="11"/>
  <c r="D224" i="11"/>
  <c r="J224" i="11" s="1"/>
  <c r="E224" i="11"/>
  <c r="G224" i="11"/>
  <c r="D225" i="11"/>
  <c r="E225" i="11"/>
  <c r="G225" i="11"/>
  <c r="D226" i="11"/>
  <c r="H226" i="11" s="1"/>
  <c r="E226" i="11"/>
  <c r="G226" i="11"/>
  <c r="D227" i="11"/>
  <c r="J227" i="11" s="1"/>
  <c r="E227" i="11"/>
  <c r="G227" i="11"/>
  <c r="D228" i="11"/>
  <c r="J228" i="11" s="1"/>
  <c r="E228" i="11"/>
  <c r="G228" i="11"/>
  <c r="D229" i="11"/>
  <c r="E229" i="11"/>
  <c r="G229" i="11"/>
  <c r="D230" i="11"/>
  <c r="H230" i="11" s="1"/>
  <c r="E230" i="11"/>
  <c r="G230" i="11"/>
  <c r="D231" i="11"/>
  <c r="H231" i="11" s="1"/>
  <c r="E231" i="11"/>
  <c r="G231" i="11"/>
  <c r="D232" i="11"/>
  <c r="J232" i="11" s="1"/>
  <c r="E232" i="11"/>
  <c r="G232" i="11"/>
  <c r="D233" i="11"/>
  <c r="I233" i="11" s="1"/>
  <c r="E233" i="11"/>
  <c r="G233" i="11"/>
  <c r="D234" i="11"/>
  <c r="E234" i="11"/>
  <c r="G234" i="11"/>
  <c r="D235" i="11"/>
  <c r="H235" i="11" s="1"/>
  <c r="E235" i="11"/>
  <c r="G235" i="11"/>
  <c r="D236" i="11"/>
  <c r="J236" i="11" s="1"/>
  <c r="E236" i="11"/>
  <c r="G236" i="11"/>
  <c r="D237" i="11"/>
  <c r="E237" i="11"/>
  <c r="G237" i="11"/>
  <c r="D238" i="11"/>
  <c r="H238" i="11" s="1"/>
  <c r="E238" i="11"/>
  <c r="G238" i="11"/>
  <c r="D239" i="11"/>
  <c r="H239" i="11" s="1"/>
  <c r="E239" i="11"/>
  <c r="G239" i="11"/>
  <c r="D240" i="11"/>
  <c r="J240" i="11" s="1"/>
  <c r="E240" i="11"/>
  <c r="G240" i="11"/>
  <c r="D241" i="11"/>
  <c r="E241" i="11"/>
  <c r="G241" i="11"/>
  <c r="D242" i="11"/>
  <c r="H242" i="11" s="1"/>
  <c r="E242" i="11"/>
  <c r="G242" i="11"/>
  <c r="D243" i="11"/>
  <c r="H243" i="11" s="1"/>
  <c r="E243" i="11"/>
  <c r="G243" i="11"/>
  <c r="D244" i="11"/>
  <c r="J244" i="11" s="1"/>
  <c r="E244" i="11"/>
  <c r="G244" i="11"/>
  <c r="D245" i="11"/>
  <c r="E245" i="11"/>
  <c r="G245" i="11"/>
  <c r="D246" i="11"/>
  <c r="H246" i="11" s="1"/>
  <c r="E246" i="11"/>
  <c r="G246" i="11"/>
  <c r="D247" i="11"/>
  <c r="H247" i="11" s="1"/>
  <c r="E247" i="11"/>
  <c r="G247" i="11"/>
  <c r="D265" i="11"/>
  <c r="J265" i="11" s="1"/>
  <c r="E265" i="11"/>
  <c r="G265" i="11"/>
  <c r="D266" i="11"/>
  <c r="I266" i="11" s="1"/>
  <c r="E266" i="11"/>
  <c r="G266" i="11"/>
  <c r="D267" i="11"/>
  <c r="E267" i="11"/>
  <c r="G267" i="11"/>
  <c r="D268" i="11"/>
  <c r="J268" i="11" s="1"/>
  <c r="E268" i="11"/>
  <c r="G268" i="11"/>
  <c r="D269" i="11"/>
  <c r="J269" i="11" s="1"/>
  <c r="E269" i="11"/>
  <c r="G269" i="11"/>
  <c r="D270" i="11"/>
  <c r="E270" i="11"/>
  <c r="G270" i="11"/>
  <c r="D271" i="11"/>
  <c r="H271" i="11" s="1"/>
  <c r="E271" i="11"/>
  <c r="G271" i="11"/>
  <c r="D272" i="11"/>
  <c r="J272" i="11" s="1"/>
  <c r="E272" i="11"/>
  <c r="G272" i="11"/>
  <c r="D273" i="11"/>
  <c r="J273" i="11" s="1"/>
  <c r="E273" i="11"/>
  <c r="G273" i="11"/>
  <c r="D274" i="11"/>
  <c r="J274" i="11" s="1"/>
  <c r="E274" i="11"/>
  <c r="G274" i="11"/>
  <c r="D275" i="11"/>
  <c r="H275" i="11" s="1"/>
  <c r="E275" i="11"/>
  <c r="G275" i="11"/>
  <c r="D276" i="11"/>
  <c r="J276" i="11" s="1"/>
  <c r="E276" i="11"/>
  <c r="G276" i="11"/>
  <c r="D277" i="11"/>
  <c r="J277" i="11" s="1"/>
  <c r="E277" i="11"/>
  <c r="G277" i="11"/>
  <c r="D278" i="11"/>
  <c r="J278" i="11" s="1"/>
  <c r="E278" i="11"/>
  <c r="G278" i="11"/>
  <c r="D279" i="11"/>
  <c r="H279" i="11" s="1"/>
  <c r="E279" i="11"/>
  <c r="G279" i="11"/>
  <c r="D280" i="11"/>
  <c r="H280" i="11" s="1"/>
  <c r="E280" i="11"/>
  <c r="G280" i="11"/>
  <c r="D281" i="11"/>
  <c r="J281" i="11" s="1"/>
  <c r="E281" i="11"/>
  <c r="G281" i="11"/>
  <c r="D282" i="11"/>
  <c r="H282" i="11" s="1"/>
  <c r="E282" i="11"/>
  <c r="G282" i="11"/>
  <c r="D283" i="11"/>
  <c r="H283" i="11" s="1"/>
  <c r="E283" i="11"/>
  <c r="G283" i="11"/>
  <c r="D284" i="11"/>
  <c r="E284" i="11"/>
  <c r="G284" i="11"/>
  <c r="D285" i="11"/>
  <c r="J285" i="11" s="1"/>
  <c r="E285" i="11"/>
  <c r="G285" i="11"/>
  <c r="D286" i="11"/>
  <c r="J286" i="11" s="1"/>
  <c r="E286" i="11"/>
  <c r="G286" i="11"/>
  <c r="D287" i="11"/>
  <c r="H287" i="11" s="1"/>
  <c r="E287" i="11"/>
  <c r="G287" i="11"/>
  <c r="D288" i="11"/>
  <c r="H288" i="11" s="1"/>
  <c r="E288" i="11"/>
  <c r="G288" i="11"/>
  <c r="D289" i="11"/>
  <c r="J289" i="11" s="1"/>
  <c r="E289" i="11"/>
  <c r="G289" i="11"/>
  <c r="D290" i="11"/>
  <c r="E290" i="11"/>
  <c r="G290" i="11"/>
  <c r="D291" i="11"/>
  <c r="E291" i="11"/>
  <c r="G291" i="11"/>
  <c r="D292" i="11"/>
  <c r="E292" i="11"/>
  <c r="G292" i="11"/>
  <c r="D293" i="11"/>
  <c r="J293" i="11" s="1"/>
  <c r="E293" i="11"/>
  <c r="G293" i="11"/>
  <c r="D294" i="11"/>
  <c r="H294" i="11" s="1"/>
  <c r="E294" i="11"/>
  <c r="G294" i="11"/>
  <c r="D295" i="11"/>
  <c r="H295" i="11" s="1"/>
  <c r="E295" i="11"/>
  <c r="G295" i="11"/>
  <c r="D296" i="11"/>
  <c r="J296" i="11" s="1"/>
  <c r="E296" i="11"/>
  <c r="G296" i="11"/>
  <c r="D297" i="11"/>
  <c r="J297" i="11" s="1"/>
  <c r="E297" i="11"/>
  <c r="G297" i="11"/>
  <c r="D298" i="11"/>
  <c r="J298" i="11" s="1"/>
  <c r="E298" i="11"/>
  <c r="G298" i="11"/>
  <c r="D299" i="11"/>
  <c r="H299" i="11" s="1"/>
  <c r="E299" i="11"/>
  <c r="G299" i="11"/>
  <c r="D300" i="11"/>
  <c r="H300" i="11" s="1"/>
  <c r="E300" i="11"/>
  <c r="G300" i="11"/>
  <c r="D301" i="11"/>
  <c r="J301" i="11" s="1"/>
  <c r="E301" i="11"/>
  <c r="G301" i="11"/>
  <c r="D302" i="11"/>
  <c r="J302" i="11" s="1"/>
  <c r="E302" i="11"/>
  <c r="G302" i="11"/>
  <c r="F192" i="11"/>
  <c r="F180" i="11"/>
  <c r="F179" i="11"/>
  <c r="F178" i="11"/>
  <c r="F177" i="11"/>
  <c r="D176" i="11"/>
  <c r="J176" i="11" s="1"/>
  <c r="E176" i="11"/>
  <c r="G176" i="11"/>
  <c r="D177" i="11"/>
  <c r="J177" i="11" s="1"/>
  <c r="E177" i="11"/>
  <c r="G177" i="11"/>
  <c r="D178" i="11"/>
  <c r="H178" i="11" s="1"/>
  <c r="E178" i="11"/>
  <c r="G178" i="11"/>
  <c r="D179" i="11"/>
  <c r="H179" i="11" s="1"/>
  <c r="E179" i="11"/>
  <c r="G179" i="11"/>
  <c r="D180" i="11"/>
  <c r="E180" i="11"/>
  <c r="G180" i="11"/>
  <c r="D181" i="11"/>
  <c r="J181" i="11" s="1"/>
  <c r="E181" i="11"/>
  <c r="G181" i="11"/>
  <c r="D182" i="11"/>
  <c r="J182" i="11" s="1"/>
  <c r="E182" i="11"/>
  <c r="G182" i="11"/>
  <c r="D183" i="11"/>
  <c r="J183" i="11" s="1"/>
  <c r="E183" i="11"/>
  <c r="G183" i="11"/>
  <c r="F168" i="11"/>
  <c r="F162" i="11"/>
  <c r="F142" i="11"/>
  <c r="F141" i="11"/>
  <c r="F140" i="11"/>
  <c r="F139" i="11"/>
  <c r="F138" i="11"/>
  <c r="F137" i="11"/>
  <c r="F136" i="11"/>
  <c r="F135" i="11"/>
  <c r="F134" i="11"/>
  <c r="D133" i="11"/>
  <c r="J133" i="11" s="1"/>
  <c r="E133" i="11"/>
  <c r="G133" i="11"/>
  <c r="D134" i="11"/>
  <c r="J134" i="11" s="1"/>
  <c r="E134" i="11"/>
  <c r="G134" i="11"/>
  <c r="D135" i="11"/>
  <c r="H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H139" i="11" s="1"/>
  <c r="E139" i="11"/>
  <c r="G139" i="11"/>
  <c r="D140" i="11"/>
  <c r="H140" i="11" s="1"/>
  <c r="E140" i="11"/>
  <c r="G140" i="11"/>
  <c r="D141" i="11"/>
  <c r="J141" i="11" s="1"/>
  <c r="E141" i="11"/>
  <c r="G141" i="11"/>
  <c r="D142" i="11"/>
  <c r="E142" i="11"/>
  <c r="G142" i="11"/>
  <c r="D143" i="11"/>
  <c r="H143" i="11" s="1"/>
  <c r="E143" i="11"/>
  <c r="G143" i="11"/>
  <c r="F149" i="11"/>
  <c r="F148" i="11"/>
  <c r="F147" i="11"/>
  <c r="F146" i="11"/>
  <c r="F145" i="11"/>
  <c r="D144" i="11"/>
  <c r="H144" i="11" s="1"/>
  <c r="E144" i="11"/>
  <c r="G144" i="11"/>
  <c r="D145" i="11"/>
  <c r="J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H148" i="11" s="1"/>
  <c r="E148" i="11"/>
  <c r="G148" i="11"/>
  <c r="D149" i="11"/>
  <c r="H149" i="11" s="1"/>
  <c r="E149" i="11"/>
  <c r="G149" i="11"/>
  <c r="D150" i="11"/>
  <c r="H150" i="11" s="1"/>
  <c r="E150" i="11"/>
  <c r="G150" i="11"/>
  <c r="D151" i="11"/>
  <c r="J151" i="11" s="1"/>
  <c r="E151" i="11"/>
  <c r="G151" i="11"/>
  <c r="D152" i="11"/>
  <c r="J152" i="11" s="1"/>
  <c r="E152" i="11"/>
  <c r="G152" i="11"/>
  <c r="D153" i="11"/>
  <c r="J153" i="11" s="1"/>
  <c r="E153" i="11"/>
  <c r="G153" i="11"/>
  <c r="F131" i="11"/>
  <c r="F130" i="11"/>
  <c r="F129" i="11"/>
  <c r="F128" i="11"/>
  <c r="F123" i="11"/>
  <c r="F122" i="11"/>
  <c r="F121" i="11"/>
  <c r="F120" i="11"/>
  <c r="F119" i="11"/>
  <c r="F118" i="11"/>
  <c r="F117" i="11"/>
  <c r="F116" i="11"/>
  <c r="F115" i="11"/>
  <c r="F114" i="11"/>
  <c r="D112" i="11"/>
  <c r="H112" i="11" s="1"/>
  <c r="E112" i="11"/>
  <c r="G112" i="11"/>
  <c r="D113" i="11"/>
  <c r="J113" i="11" s="1"/>
  <c r="E113" i="11"/>
  <c r="G113" i="11"/>
  <c r="D114" i="11"/>
  <c r="E114" i="11"/>
  <c r="G114" i="11"/>
  <c r="D115" i="11"/>
  <c r="J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H118" i="11" s="1"/>
  <c r="E118" i="11"/>
  <c r="G118" i="11"/>
  <c r="D119" i="11"/>
  <c r="J119" i="11" s="1"/>
  <c r="E119" i="11"/>
  <c r="G119" i="11"/>
  <c r="D120" i="11"/>
  <c r="J120" i="11" s="1"/>
  <c r="E120" i="11"/>
  <c r="G120" i="11"/>
  <c r="D121" i="11"/>
  <c r="J121" i="11" s="1"/>
  <c r="E121" i="11"/>
  <c r="G121" i="11"/>
  <c r="D122" i="11"/>
  <c r="H122" i="11" s="1"/>
  <c r="E122" i="11"/>
  <c r="G122" i="11"/>
  <c r="D123" i="11"/>
  <c r="E123" i="11"/>
  <c r="G123" i="11"/>
  <c r="D124" i="11"/>
  <c r="H124" i="11" s="1"/>
  <c r="E124" i="11"/>
  <c r="G124" i="11"/>
  <c r="D125" i="11"/>
  <c r="J125" i="11" s="1"/>
  <c r="E125" i="11"/>
  <c r="G125" i="11"/>
  <c r="D126" i="11"/>
  <c r="H126" i="11" s="1"/>
  <c r="E126" i="11"/>
  <c r="G126" i="11"/>
  <c r="D127" i="11"/>
  <c r="J127" i="11" s="1"/>
  <c r="E127" i="11"/>
  <c r="G127" i="11"/>
  <c r="D128" i="11"/>
  <c r="J128" i="11" s="1"/>
  <c r="E128" i="11"/>
  <c r="G128" i="11"/>
  <c r="D129" i="11"/>
  <c r="J129" i="11" s="1"/>
  <c r="E129" i="11"/>
  <c r="G129" i="11"/>
  <c r="D130" i="11"/>
  <c r="E130" i="11"/>
  <c r="G130" i="11"/>
  <c r="D131" i="11"/>
  <c r="E131" i="11"/>
  <c r="G131" i="11"/>
  <c r="D132" i="11"/>
  <c r="J132" i="11" s="1"/>
  <c r="E132" i="11"/>
  <c r="G132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D105" i="11"/>
  <c r="J105" i="11" s="1"/>
  <c r="E105" i="11"/>
  <c r="G105" i="11"/>
  <c r="D106" i="11"/>
  <c r="J106" i="11" s="1"/>
  <c r="E106" i="11"/>
  <c r="G106" i="11"/>
  <c r="D107" i="11"/>
  <c r="H107" i="11" s="1"/>
  <c r="E107" i="11"/>
  <c r="G107" i="11"/>
  <c r="D108" i="11"/>
  <c r="H108" i="11" s="1"/>
  <c r="E108" i="11"/>
  <c r="G108" i="11"/>
  <c r="D109" i="11"/>
  <c r="H109" i="11" s="1"/>
  <c r="E109" i="11"/>
  <c r="G109" i="11"/>
  <c r="D110" i="11"/>
  <c r="J110" i="11" s="1"/>
  <c r="E110" i="11"/>
  <c r="G110" i="11"/>
  <c r="D111" i="11"/>
  <c r="H111" i="11" s="1"/>
  <c r="E111" i="11"/>
  <c r="G111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D15" i="11"/>
  <c r="J15" i="11" s="1"/>
  <c r="E15" i="11"/>
  <c r="G15" i="11"/>
  <c r="D16" i="11"/>
  <c r="J16" i="11" s="1"/>
  <c r="E16" i="11"/>
  <c r="G16" i="11"/>
  <c r="D17" i="11"/>
  <c r="I17" i="11" s="1"/>
  <c r="E17" i="11"/>
  <c r="G17" i="11"/>
  <c r="Y89" i="64"/>
  <c r="J197" i="11" l="1"/>
  <c r="J255" i="11"/>
  <c r="I251" i="11"/>
  <c r="F382" i="11"/>
  <c r="F380" i="11"/>
  <c r="I380" i="11" s="1"/>
  <c r="F379" i="11"/>
  <c r="F381" i="11"/>
  <c r="I381" i="11" s="1"/>
  <c r="I256" i="11"/>
  <c r="J264" i="11"/>
  <c r="F365" i="11"/>
  <c r="I264" i="11"/>
  <c r="I254" i="11"/>
  <c r="H250" i="11"/>
  <c r="I255" i="11"/>
  <c r="K255" i="11" s="1"/>
  <c r="J251" i="11"/>
  <c r="K251" i="11" s="1"/>
  <c r="J250" i="11"/>
  <c r="I248" i="11"/>
  <c r="I263" i="11"/>
  <c r="I252" i="11"/>
  <c r="I250" i="11"/>
  <c r="H248" i="11"/>
  <c r="H260" i="11"/>
  <c r="J259" i="11"/>
  <c r="J262" i="11"/>
  <c r="I260" i="11"/>
  <c r="J258" i="11"/>
  <c r="H256" i="11"/>
  <c r="J263" i="11"/>
  <c r="I262" i="11"/>
  <c r="I259" i="11"/>
  <c r="I258" i="11"/>
  <c r="J254" i="11"/>
  <c r="H252" i="11"/>
  <c r="I261" i="11"/>
  <c r="I253" i="11"/>
  <c r="H261" i="11"/>
  <c r="H257" i="11"/>
  <c r="H253" i="11"/>
  <c r="H249" i="11"/>
  <c r="I257" i="11"/>
  <c r="I249" i="11"/>
  <c r="I202" i="11"/>
  <c r="H199" i="11"/>
  <c r="I193" i="11"/>
  <c r="I197" i="11"/>
  <c r="J201" i="11"/>
  <c r="H194" i="11"/>
  <c r="J192" i="11"/>
  <c r="H198" i="11"/>
  <c r="J196" i="11"/>
  <c r="H202" i="11"/>
  <c r="I201" i="11"/>
  <c r="J200" i="11"/>
  <c r="H197" i="11"/>
  <c r="I196" i="11"/>
  <c r="J195" i="11"/>
  <c r="H193" i="11"/>
  <c r="I192" i="11"/>
  <c r="I200" i="11"/>
  <c r="J199" i="11"/>
  <c r="J198" i="11"/>
  <c r="K198" i="11" s="1"/>
  <c r="I195" i="11"/>
  <c r="J194" i="11"/>
  <c r="I370" i="11"/>
  <c r="I376" i="11"/>
  <c r="I334" i="11"/>
  <c r="J318" i="11"/>
  <c r="I389" i="11"/>
  <c r="I310" i="11"/>
  <c r="I337" i="11"/>
  <c r="H402" i="11"/>
  <c r="I401" i="11"/>
  <c r="I400" i="11"/>
  <c r="J395" i="11"/>
  <c r="H388" i="11"/>
  <c r="J387" i="11"/>
  <c r="I354" i="11"/>
  <c r="J388" i="11"/>
  <c r="H354" i="11"/>
  <c r="I352" i="11"/>
  <c r="I351" i="11"/>
  <c r="J342" i="11"/>
  <c r="J341" i="11"/>
  <c r="H334" i="11"/>
  <c r="J303" i="11"/>
  <c r="I402" i="11"/>
  <c r="I383" i="11"/>
  <c r="J378" i="11"/>
  <c r="H376" i="11"/>
  <c r="I374" i="11"/>
  <c r="I341" i="11"/>
  <c r="J337" i="11"/>
  <c r="I336" i="11"/>
  <c r="J330" i="11"/>
  <c r="H234" i="11"/>
  <c r="H400" i="11"/>
  <c r="J399" i="11"/>
  <c r="I398" i="11"/>
  <c r="I397" i="11"/>
  <c r="I395" i="11"/>
  <c r="I394" i="11"/>
  <c r="J393" i="11"/>
  <c r="J392" i="11"/>
  <c r="J326" i="11"/>
  <c r="J321" i="11"/>
  <c r="H367" i="11"/>
  <c r="J366" i="11"/>
  <c r="J338" i="11"/>
  <c r="I303" i="11"/>
  <c r="J382" i="11"/>
  <c r="I338" i="11"/>
  <c r="J231" i="11"/>
  <c r="H401" i="11"/>
  <c r="I393" i="11"/>
  <c r="I386" i="11"/>
  <c r="H359" i="11"/>
  <c r="J358" i="11"/>
  <c r="J350" i="11"/>
  <c r="I327" i="11"/>
  <c r="H389" i="11"/>
  <c r="I378" i="11"/>
  <c r="J362" i="11"/>
  <c r="I359" i="11"/>
  <c r="I348" i="11"/>
  <c r="H346" i="11"/>
  <c r="I329" i="11"/>
  <c r="H327" i="11"/>
  <c r="H322" i="11"/>
  <c r="H319" i="11"/>
  <c r="I311" i="11"/>
  <c r="F367" i="11"/>
  <c r="I367" i="11" s="1"/>
  <c r="I231" i="11"/>
  <c r="H397" i="11"/>
  <c r="I346" i="11"/>
  <c r="J329" i="11"/>
  <c r="J300" i="11"/>
  <c r="J396" i="11"/>
  <c r="I392" i="11"/>
  <c r="J391" i="11"/>
  <c r="H386" i="11"/>
  <c r="H383" i="11"/>
  <c r="I382" i="11"/>
  <c r="H370" i="11"/>
  <c r="I362" i="11"/>
  <c r="J349" i="11"/>
  <c r="I301" i="11"/>
  <c r="I300" i="11"/>
  <c r="I406" i="11"/>
  <c r="I396" i="11"/>
  <c r="J377" i="11"/>
  <c r="H362" i="11"/>
  <c r="I350" i="11"/>
  <c r="I326" i="11"/>
  <c r="I325" i="11"/>
  <c r="I322" i="11"/>
  <c r="I321" i="11"/>
  <c r="I319" i="11"/>
  <c r="J313" i="11"/>
  <c r="J311" i="11"/>
  <c r="J307" i="11"/>
  <c r="J325" i="11"/>
  <c r="I318" i="11"/>
  <c r="I308" i="11"/>
  <c r="I307" i="11"/>
  <c r="F372" i="11"/>
  <c r="I372" i="11" s="1"/>
  <c r="J404" i="11"/>
  <c r="I404" i="11"/>
  <c r="J384" i="11"/>
  <c r="I384" i="11"/>
  <c r="J379" i="11"/>
  <c r="H379" i="11"/>
  <c r="J364" i="11"/>
  <c r="I364" i="11"/>
  <c r="H361" i="11"/>
  <c r="I361" i="11"/>
  <c r="H357" i="11"/>
  <c r="I357" i="11"/>
  <c r="J343" i="11"/>
  <c r="H343" i="11"/>
  <c r="J335" i="11"/>
  <c r="H335" i="11"/>
  <c r="J331" i="11"/>
  <c r="H331" i="11"/>
  <c r="J314" i="11"/>
  <c r="H314" i="11"/>
  <c r="H405" i="11"/>
  <c r="I405" i="11"/>
  <c r="H403" i="11"/>
  <c r="I403" i="11"/>
  <c r="J390" i="11"/>
  <c r="H390" i="11"/>
  <c r="H385" i="11"/>
  <c r="J385" i="11"/>
  <c r="J380" i="11"/>
  <c r="J372" i="11"/>
  <c r="H369" i="11"/>
  <c r="I369" i="11"/>
  <c r="H365" i="11"/>
  <c r="I365" i="11"/>
  <c r="J361" i="11"/>
  <c r="J357" i="11"/>
  <c r="J347" i="11"/>
  <c r="H347" i="11"/>
  <c r="J344" i="11"/>
  <c r="I344" i="11"/>
  <c r="I335" i="11"/>
  <c r="H333" i="11"/>
  <c r="I333" i="11"/>
  <c r="I331" i="11"/>
  <c r="I314" i="11"/>
  <c r="J306" i="11"/>
  <c r="H203" i="11"/>
  <c r="I203" i="11"/>
  <c r="H406" i="11"/>
  <c r="J405" i="11"/>
  <c r="J403" i="11"/>
  <c r="I391" i="11"/>
  <c r="I390" i="11"/>
  <c r="H381" i="11"/>
  <c r="J369" i="11"/>
  <c r="J365" i="11"/>
  <c r="I347" i="11"/>
  <c r="H345" i="11"/>
  <c r="I345" i="11"/>
  <c r="J333" i="11"/>
  <c r="H317" i="11"/>
  <c r="I317" i="11"/>
  <c r="H284" i="11"/>
  <c r="J284" i="11"/>
  <c r="J375" i="11"/>
  <c r="H375" i="11"/>
  <c r="J356" i="11"/>
  <c r="I356" i="11"/>
  <c r="H353" i="11"/>
  <c r="I353" i="11"/>
  <c r="J317" i="11"/>
  <c r="H305" i="11"/>
  <c r="J305" i="11"/>
  <c r="I355" i="11"/>
  <c r="F368" i="11"/>
  <c r="J368" i="11" s="1"/>
  <c r="F373" i="11"/>
  <c r="I373" i="11" s="1"/>
  <c r="I366" i="11"/>
  <c r="I363" i="11"/>
  <c r="I360" i="11"/>
  <c r="I358" i="11"/>
  <c r="I315" i="11"/>
  <c r="I302" i="11"/>
  <c r="I379" i="11"/>
  <c r="J373" i="11"/>
  <c r="H371" i="11"/>
  <c r="H368" i="11"/>
  <c r="H363" i="11"/>
  <c r="H360" i="11"/>
  <c r="H355" i="11"/>
  <c r="H352" i="11"/>
  <c r="I343" i="11"/>
  <c r="H339" i="11"/>
  <c r="H323" i="11"/>
  <c r="H315" i="11"/>
  <c r="I313" i="11"/>
  <c r="J310" i="11"/>
  <c r="J309" i="11"/>
  <c r="I306" i="11"/>
  <c r="I305" i="11"/>
  <c r="F374" i="11"/>
  <c r="J374" i="11" s="1"/>
  <c r="I276" i="11"/>
  <c r="H387" i="11"/>
  <c r="I371" i="11"/>
  <c r="I342" i="11"/>
  <c r="I339" i="11"/>
  <c r="I330" i="11"/>
  <c r="I323" i="11"/>
  <c r="I309" i="11"/>
  <c r="J340" i="11"/>
  <c r="H340" i="11"/>
  <c r="J332" i="11"/>
  <c r="H332" i="11"/>
  <c r="J328" i="11"/>
  <c r="H328" i="11"/>
  <c r="J320" i="11"/>
  <c r="H320" i="11"/>
  <c r="J312" i="11"/>
  <c r="H312" i="11"/>
  <c r="J288" i="11"/>
  <c r="I277" i="11"/>
  <c r="J243" i="11"/>
  <c r="J238" i="11"/>
  <c r="I225" i="11"/>
  <c r="I219" i="11"/>
  <c r="J218" i="11"/>
  <c r="H404" i="11"/>
  <c r="I399" i="11"/>
  <c r="H394" i="11"/>
  <c r="I385" i="11"/>
  <c r="H380" i="11"/>
  <c r="H364" i="11"/>
  <c r="H356" i="11"/>
  <c r="J351" i="11"/>
  <c r="I349" i="11"/>
  <c r="H344" i="11"/>
  <c r="I340" i="11"/>
  <c r="I332" i="11"/>
  <c r="I328" i="11"/>
  <c r="J324" i="11"/>
  <c r="H324" i="11"/>
  <c r="I320" i="11"/>
  <c r="I312" i="11"/>
  <c r="J304" i="11"/>
  <c r="H304" i="11"/>
  <c r="H398" i="11"/>
  <c r="H384" i="11"/>
  <c r="I377" i="11"/>
  <c r="H372" i="11"/>
  <c r="H348" i="11"/>
  <c r="I324" i="11"/>
  <c r="J308" i="11"/>
  <c r="H308" i="11"/>
  <c r="I304" i="11"/>
  <c r="H267" i="11"/>
  <c r="I243" i="11"/>
  <c r="I241" i="11"/>
  <c r="H292" i="11"/>
  <c r="I284" i="11"/>
  <c r="J267" i="11"/>
  <c r="J336" i="11"/>
  <c r="H336" i="11"/>
  <c r="J316" i="11"/>
  <c r="H316" i="11"/>
  <c r="H290" i="11"/>
  <c r="J280" i="11"/>
  <c r="I269" i="11"/>
  <c r="I267" i="11"/>
  <c r="I265" i="11"/>
  <c r="J247" i="11"/>
  <c r="H291" i="11"/>
  <c r="I288" i="11"/>
  <c r="I236" i="11"/>
  <c r="J207" i="11"/>
  <c r="J271" i="11"/>
  <c r="I247" i="11"/>
  <c r="I240" i="11"/>
  <c r="I238" i="11"/>
  <c r="H236" i="11"/>
  <c r="I235" i="11"/>
  <c r="J234" i="11"/>
  <c r="I227" i="11"/>
  <c r="I207" i="11"/>
  <c r="J206" i="11"/>
  <c r="I297" i="11"/>
  <c r="I292" i="11"/>
  <c r="J291" i="11"/>
  <c r="I290" i="11"/>
  <c r="I289" i="11"/>
  <c r="J283" i="11"/>
  <c r="J282" i="11"/>
  <c r="I280" i="11"/>
  <c r="I273" i="11"/>
  <c r="I216" i="11"/>
  <c r="I215" i="11"/>
  <c r="J214" i="11"/>
  <c r="I220" i="11"/>
  <c r="I282" i="11"/>
  <c r="I281" i="11"/>
  <c r="H276" i="11"/>
  <c r="J275" i="11"/>
  <c r="I274" i="11"/>
  <c r="I244" i="11"/>
  <c r="I234" i="11"/>
  <c r="I232" i="11"/>
  <c r="J299" i="11"/>
  <c r="I298" i="11"/>
  <c r="J287" i="11"/>
  <c r="I286" i="11"/>
  <c r="I285" i="11"/>
  <c r="H273" i="11"/>
  <c r="I272" i="11"/>
  <c r="J246" i="11"/>
  <c r="I228" i="11"/>
  <c r="I224" i="11"/>
  <c r="I223" i="11"/>
  <c r="J222" i="11"/>
  <c r="H297" i="11"/>
  <c r="I296" i="11"/>
  <c r="J279" i="11"/>
  <c r="H277" i="11"/>
  <c r="I271" i="11"/>
  <c r="H269" i="11"/>
  <c r="I268" i="11"/>
  <c r="J242" i="11"/>
  <c r="H240" i="11"/>
  <c r="I239" i="11"/>
  <c r="J230" i="11"/>
  <c r="H227" i="11"/>
  <c r="J226" i="11"/>
  <c r="I212" i="11"/>
  <c r="I211" i="11"/>
  <c r="J210" i="11"/>
  <c r="I208" i="11"/>
  <c r="I204" i="11"/>
  <c r="H298" i="11"/>
  <c r="H296" i="11"/>
  <c r="J295" i="11"/>
  <c r="I294" i="11"/>
  <c r="I293" i="11"/>
  <c r="J292" i="11"/>
  <c r="I291" i="11"/>
  <c r="J290" i="11"/>
  <c r="H289" i="11"/>
  <c r="H281" i="11"/>
  <c r="I279" i="11"/>
  <c r="I278" i="11"/>
  <c r="H274" i="11"/>
  <c r="H272" i="11"/>
  <c r="H268" i="11"/>
  <c r="J239" i="11"/>
  <c r="J235" i="11"/>
  <c r="H232" i="11"/>
  <c r="I230" i="11"/>
  <c r="H228" i="11"/>
  <c r="I226" i="11"/>
  <c r="H223" i="11"/>
  <c r="H219" i="11"/>
  <c r="H215" i="11"/>
  <c r="H211" i="11"/>
  <c r="H224" i="11"/>
  <c r="I222" i="11"/>
  <c r="H220" i="11"/>
  <c r="I218" i="11"/>
  <c r="H216" i="11"/>
  <c r="I214" i="11"/>
  <c r="H212" i="11"/>
  <c r="I210" i="11"/>
  <c r="I299" i="11"/>
  <c r="I283" i="11"/>
  <c r="H265" i="11"/>
  <c r="I246" i="11"/>
  <c r="H244" i="11"/>
  <c r="I242" i="11"/>
  <c r="H208" i="11"/>
  <c r="I206" i="11"/>
  <c r="H204" i="11"/>
  <c r="J270" i="11"/>
  <c r="H270" i="11"/>
  <c r="J237" i="11"/>
  <c r="H237" i="11"/>
  <c r="J221" i="11"/>
  <c r="H221" i="11"/>
  <c r="J205" i="11"/>
  <c r="H205" i="11"/>
  <c r="H302" i="11"/>
  <c r="I295" i="11"/>
  <c r="J294" i="11"/>
  <c r="H293" i="11"/>
  <c r="H286" i="11"/>
  <c r="H278" i="11"/>
  <c r="I270" i="11"/>
  <c r="J266" i="11"/>
  <c r="H266" i="11"/>
  <c r="I237" i="11"/>
  <c r="J233" i="11"/>
  <c r="H233" i="11"/>
  <c r="I221" i="11"/>
  <c r="J217" i="11"/>
  <c r="H217" i="11"/>
  <c r="I205" i="11"/>
  <c r="J245" i="11"/>
  <c r="H245" i="11"/>
  <c r="J229" i="11"/>
  <c r="H229" i="11"/>
  <c r="I217" i="11"/>
  <c r="J213" i="11"/>
  <c r="H213" i="11"/>
  <c r="H301" i="11"/>
  <c r="I287" i="11"/>
  <c r="H285" i="11"/>
  <c r="I275" i="11"/>
  <c r="I245" i="11"/>
  <c r="J241" i="11"/>
  <c r="H241" i="11"/>
  <c r="I229" i="11"/>
  <c r="J225" i="11"/>
  <c r="H225" i="11"/>
  <c r="I213" i="11"/>
  <c r="J209" i="11"/>
  <c r="H209" i="11"/>
  <c r="I176" i="11"/>
  <c r="I179" i="11"/>
  <c r="I177" i="11"/>
  <c r="J179" i="11"/>
  <c r="I178" i="11"/>
  <c r="J178" i="11"/>
  <c r="H176" i="11"/>
  <c r="I181" i="11"/>
  <c r="I183" i="11"/>
  <c r="H181" i="11"/>
  <c r="J180" i="11"/>
  <c r="I180" i="11"/>
  <c r="H182" i="11"/>
  <c r="I182" i="11"/>
  <c r="H180" i="11"/>
  <c r="H183" i="11"/>
  <c r="H177" i="11"/>
  <c r="J140" i="11"/>
  <c r="J139" i="11"/>
  <c r="J143" i="11"/>
  <c r="I143" i="11"/>
  <c r="H137" i="11"/>
  <c r="J136" i="11"/>
  <c r="I135" i="11"/>
  <c r="J142" i="11"/>
  <c r="I136" i="11"/>
  <c r="I133" i="11"/>
  <c r="H141" i="11"/>
  <c r="I141" i="11"/>
  <c r="I140" i="11"/>
  <c r="K140" i="11" s="1"/>
  <c r="I139" i="11"/>
  <c r="K139" i="11" s="1"/>
  <c r="I137" i="11"/>
  <c r="J135" i="11"/>
  <c r="H133" i="11"/>
  <c r="H142" i="11"/>
  <c r="H138" i="11"/>
  <c r="H134" i="11"/>
  <c r="I142" i="11"/>
  <c r="I138" i="11"/>
  <c r="I134" i="11"/>
  <c r="I152" i="11"/>
  <c r="I151" i="11"/>
  <c r="J150" i="11"/>
  <c r="J149" i="11"/>
  <c r="J146" i="11"/>
  <c r="I146" i="11"/>
  <c r="I149" i="11"/>
  <c r="J148" i="11"/>
  <c r="I144" i="11"/>
  <c r="H151" i="11"/>
  <c r="K151" i="11" s="1"/>
  <c r="H145" i="11"/>
  <c r="J144" i="11"/>
  <c r="H152" i="11"/>
  <c r="I150" i="11"/>
  <c r="I145" i="11"/>
  <c r="I148" i="11"/>
  <c r="H153" i="11"/>
  <c r="H147" i="11"/>
  <c r="I153" i="11"/>
  <c r="I147" i="11"/>
  <c r="J131" i="11"/>
  <c r="H130" i="11"/>
  <c r="I120" i="11"/>
  <c r="H114" i="11"/>
  <c r="J112" i="11"/>
  <c r="J123" i="11"/>
  <c r="I127" i="11"/>
  <c r="J118" i="11"/>
  <c r="I112" i="11"/>
  <c r="I119" i="11"/>
  <c r="J114" i="11"/>
  <c r="I128" i="11"/>
  <c r="J124" i="11"/>
  <c r="J116" i="11"/>
  <c r="H127" i="11"/>
  <c r="K127" i="11" s="1"/>
  <c r="J126" i="11"/>
  <c r="H119" i="11"/>
  <c r="I124" i="11"/>
  <c r="I123" i="11"/>
  <c r="J122" i="11"/>
  <c r="H120" i="11"/>
  <c r="I118" i="11"/>
  <c r="I117" i="11"/>
  <c r="I131" i="11"/>
  <c r="J130" i="11"/>
  <c r="H128" i="11"/>
  <c r="I126" i="11"/>
  <c r="I125" i="11"/>
  <c r="I116" i="11"/>
  <c r="I115" i="11"/>
  <c r="I130" i="11"/>
  <c r="I129" i="11"/>
  <c r="I122" i="11"/>
  <c r="I121" i="11"/>
  <c r="I114" i="11"/>
  <c r="I113" i="11"/>
  <c r="H131" i="11"/>
  <c r="H123" i="11"/>
  <c r="H115" i="11"/>
  <c r="H129" i="11"/>
  <c r="H125" i="11"/>
  <c r="H121" i="11"/>
  <c r="H117" i="11"/>
  <c r="H113" i="11"/>
  <c r="I132" i="11"/>
  <c r="H132" i="11"/>
  <c r="I109" i="11"/>
  <c r="J108" i="11"/>
  <c r="I108" i="11"/>
  <c r="I105" i="11"/>
  <c r="H105" i="11"/>
  <c r="J111" i="11"/>
  <c r="I110" i="11"/>
  <c r="J109" i="11"/>
  <c r="J107" i="11"/>
  <c r="I106" i="11"/>
  <c r="I111" i="11"/>
  <c r="I107" i="11"/>
  <c r="H110" i="11"/>
  <c r="H106" i="11"/>
  <c r="K106" i="11" s="1"/>
  <c r="I15" i="11"/>
  <c r="H15" i="11"/>
  <c r="J17" i="11"/>
  <c r="I16" i="11"/>
  <c r="H16" i="11"/>
  <c r="H17" i="11"/>
  <c r="Y34" i="64"/>
  <c r="E104" i="11"/>
  <c r="D104" i="11"/>
  <c r="J104" i="11" s="1"/>
  <c r="E103" i="11"/>
  <c r="D103" i="11"/>
  <c r="J103" i="11" s="1"/>
  <c r="E102" i="11"/>
  <c r="D102" i="11"/>
  <c r="J102" i="11" s="1"/>
  <c r="E101" i="11"/>
  <c r="D101" i="11"/>
  <c r="J101" i="11" s="1"/>
  <c r="E100" i="11"/>
  <c r="D100" i="11"/>
  <c r="J100" i="11" s="1"/>
  <c r="E99" i="11"/>
  <c r="D99" i="11"/>
  <c r="H99" i="11" s="1"/>
  <c r="E98" i="11"/>
  <c r="D98" i="11"/>
  <c r="J98" i="11" s="1"/>
  <c r="E97" i="11"/>
  <c r="D97" i="11"/>
  <c r="J97" i="11" s="1"/>
  <c r="E96" i="11"/>
  <c r="D96" i="11"/>
  <c r="J96" i="11" s="1"/>
  <c r="E95" i="11"/>
  <c r="D95" i="11"/>
  <c r="J95" i="11" s="1"/>
  <c r="E94" i="11"/>
  <c r="D94" i="11"/>
  <c r="J94" i="11" s="1"/>
  <c r="E93" i="11"/>
  <c r="D93" i="11"/>
  <c r="H93" i="11" s="1"/>
  <c r="E92" i="11"/>
  <c r="D92" i="11"/>
  <c r="J92" i="11" s="1"/>
  <c r="E91" i="11"/>
  <c r="D91" i="11"/>
  <c r="J91" i="11" s="1"/>
  <c r="E90" i="11"/>
  <c r="D90" i="11"/>
  <c r="E89" i="11"/>
  <c r="D89" i="11"/>
  <c r="J89" i="11" s="1"/>
  <c r="E88" i="11"/>
  <c r="D88" i="11"/>
  <c r="J88" i="11" s="1"/>
  <c r="G87" i="11"/>
  <c r="E87" i="11"/>
  <c r="D87" i="11"/>
  <c r="J87" i="11" s="1"/>
  <c r="G86" i="11"/>
  <c r="E86" i="11"/>
  <c r="D86" i="11"/>
  <c r="J86" i="11" s="1"/>
  <c r="E85" i="11"/>
  <c r="D85" i="11"/>
  <c r="H85" i="11" s="1"/>
  <c r="E84" i="11"/>
  <c r="D84" i="11"/>
  <c r="J84" i="11" s="1"/>
  <c r="E83" i="11"/>
  <c r="D83" i="11"/>
  <c r="J83" i="11" s="1"/>
  <c r="E82" i="11"/>
  <c r="D82" i="11"/>
  <c r="J82" i="11" s="1"/>
  <c r="E81" i="11"/>
  <c r="D81" i="11"/>
  <c r="J81" i="11" s="1"/>
  <c r="E80" i="11"/>
  <c r="D80" i="11"/>
  <c r="J80" i="11" s="1"/>
  <c r="E79" i="11"/>
  <c r="D79" i="11"/>
  <c r="J79" i="11" s="1"/>
  <c r="E78" i="11"/>
  <c r="D78" i="11"/>
  <c r="J78" i="11" s="1"/>
  <c r="E77" i="11"/>
  <c r="D77" i="11"/>
  <c r="J77" i="11" s="1"/>
  <c r="E76" i="11"/>
  <c r="D76" i="11"/>
  <c r="H76" i="11" s="1"/>
  <c r="E75" i="11"/>
  <c r="D75" i="11"/>
  <c r="H75" i="11" s="1"/>
  <c r="E74" i="11"/>
  <c r="D74" i="11"/>
  <c r="J74" i="11" s="1"/>
  <c r="E73" i="11"/>
  <c r="D73" i="11"/>
  <c r="J73" i="11" s="1"/>
  <c r="E72" i="11"/>
  <c r="D72" i="11"/>
  <c r="H72" i="11" s="1"/>
  <c r="E71" i="11"/>
  <c r="D71" i="11"/>
  <c r="J71" i="11" s="1"/>
  <c r="E70" i="11"/>
  <c r="D70" i="11"/>
  <c r="H70" i="11" s="1"/>
  <c r="E69" i="11"/>
  <c r="D69" i="11"/>
  <c r="J69" i="11" s="1"/>
  <c r="E68" i="11"/>
  <c r="D68" i="11"/>
  <c r="J68" i="11" s="1"/>
  <c r="G67" i="11"/>
  <c r="E67" i="11"/>
  <c r="D67" i="11"/>
  <c r="G66" i="11"/>
  <c r="E66" i="11"/>
  <c r="D66" i="11"/>
  <c r="J66" i="11" s="1"/>
  <c r="E65" i="11"/>
  <c r="D65" i="11"/>
  <c r="I65" i="11" s="1"/>
  <c r="E64" i="11"/>
  <c r="D64" i="11"/>
  <c r="J64" i="11" s="1"/>
  <c r="E63" i="11"/>
  <c r="D63" i="11"/>
  <c r="J63" i="11" s="1"/>
  <c r="E62" i="11"/>
  <c r="D62" i="11"/>
  <c r="J62" i="11" s="1"/>
  <c r="E61" i="11"/>
  <c r="D61" i="11"/>
  <c r="H61" i="11" s="1"/>
  <c r="E60" i="11"/>
  <c r="D60" i="11"/>
  <c r="J60" i="11" s="1"/>
  <c r="E59" i="11"/>
  <c r="D59" i="11"/>
  <c r="J59" i="11" s="1"/>
  <c r="E58" i="11"/>
  <c r="D58" i="11"/>
  <c r="H58" i="11" s="1"/>
  <c r="E57" i="11"/>
  <c r="D57" i="11"/>
  <c r="J57" i="11" s="1"/>
  <c r="E56" i="11"/>
  <c r="D56" i="11"/>
  <c r="H56" i="11" s="1"/>
  <c r="E55" i="11"/>
  <c r="D55" i="11"/>
  <c r="E54" i="11"/>
  <c r="D54" i="11"/>
  <c r="J54" i="11" s="1"/>
  <c r="E53" i="11"/>
  <c r="D53" i="11"/>
  <c r="J53" i="11" s="1"/>
  <c r="E52" i="11"/>
  <c r="D52" i="11"/>
  <c r="H52" i="11" s="1"/>
  <c r="E51" i="11"/>
  <c r="D51" i="11"/>
  <c r="J51" i="11" s="1"/>
  <c r="E50" i="11"/>
  <c r="D50" i="11"/>
  <c r="J50" i="11" s="1"/>
  <c r="E49" i="11"/>
  <c r="D49" i="11"/>
  <c r="E48" i="11"/>
  <c r="D48" i="11"/>
  <c r="J48" i="11" s="1"/>
  <c r="G47" i="11"/>
  <c r="E47" i="11"/>
  <c r="D47" i="11"/>
  <c r="J47" i="11" s="1"/>
  <c r="E21" i="11"/>
  <c r="D21" i="11"/>
  <c r="J21" i="11" s="1"/>
  <c r="E20" i="11"/>
  <c r="D20" i="11"/>
  <c r="J20" i="11" s="1"/>
  <c r="K326" i="11" l="1"/>
  <c r="K262" i="11"/>
  <c r="K256" i="11"/>
  <c r="K264" i="11"/>
  <c r="K334" i="11"/>
  <c r="K261" i="11"/>
  <c r="K248" i="11"/>
  <c r="K258" i="11"/>
  <c r="K252" i="11"/>
  <c r="K254" i="11"/>
  <c r="K259" i="11"/>
  <c r="K250" i="11"/>
  <c r="K263" i="11"/>
  <c r="K253" i="11"/>
  <c r="K260" i="11"/>
  <c r="K202" i="11"/>
  <c r="K249" i="11"/>
  <c r="K257" i="11"/>
  <c r="K112" i="11"/>
  <c r="K200" i="11"/>
  <c r="K201" i="11"/>
  <c r="K199" i="11"/>
  <c r="K313" i="11"/>
  <c r="K391" i="11"/>
  <c r="K393" i="11"/>
  <c r="K193" i="11"/>
  <c r="K192" i="11"/>
  <c r="K197" i="11"/>
  <c r="K388" i="11"/>
  <c r="K195" i="11"/>
  <c r="K370" i="11"/>
  <c r="K342" i="11"/>
  <c r="K303" i="11"/>
  <c r="K196" i="11"/>
  <c r="K194" i="11"/>
  <c r="K352" i="11"/>
  <c r="K401" i="11"/>
  <c r="K242" i="11"/>
  <c r="K387" i="11"/>
  <c r="K376" i="11"/>
  <c r="K330" i="11"/>
  <c r="K398" i="11"/>
  <c r="K351" i="11"/>
  <c r="K354" i="11"/>
  <c r="K316" i="11"/>
  <c r="K374" i="11"/>
  <c r="K318" i="11"/>
  <c r="K395" i="11"/>
  <c r="K345" i="11"/>
  <c r="K367" i="11"/>
  <c r="K373" i="11"/>
  <c r="K389" i="11"/>
  <c r="K310" i="11"/>
  <c r="K315" i="11"/>
  <c r="K231" i="11"/>
  <c r="K337" i="11"/>
  <c r="K287" i="11"/>
  <c r="K219" i="11"/>
  <c r="K271" i="11"/>
  <c r="K203" i="11"/>
  <c r="K333" i="11"/>
  <c r="K382" i="11"/>
  <c r="K400" i="11"/>
  <c r="K341" i="11"/>
  <c r="K309" i="11"/>
  <c r="K338" i="11"/>
  <c r="K349" i="11"/>
  <c r="K399" i="11"/>
  <c r="K302" i="11"/>
  <c r="K348" i="11"/>
  <c r="K344" i="11"/>
  <c r="K394" i="11"/>
  <c r="K339" i="11"/>
  <c r="K306" i="11"/>
  <c r="K358" i="11"/>
  <c r="K331" i="11"/>
  <c r="K361" i="11"/>
  <c r="K383" i="11"/>
  <c r="K378" i="11"/>
  <c r="K350" i="11"/>
  <c r="K323" i="11"/>
  <c r="K402" i="11"/>
  <c r="K343" i="11"/>
  <c r="K363" i="11"/>
  <c r="K379" i="11"/>
  <c r="K366" i="11"/>
  <c r="K325" i="11"/>
  <c r="K311" i="11"/>
  <c r="K327" i="11"/>
  <c r="K321" i="11"/>
  <c r="K301" i="11"/>
  <c r="K392" i="11"/>
  <c r="K397" i="11"/>
  <c r="K319" i="11"/>
  <c r="K346" i="11"/>
  <c r="K274" i="11"/>
  <c r="K355" i="11"/>
  <c r="K353" i="11"/>
  <c r="K220" i="11"/>
  <c r="K276" i="11"/>
  <c r="K377" i="11"/>
  <c r="K356" i="11"/>
  <c r="K317" i="11"/>
  <c r="K381" i="11"/>
  <c r="K406" i="11"/>
  <c r="K335" i="11"/>
  <c r="K357" i="11"/>
  <c r="K307" i="11"/>
  <c r="K322" i="11"/>
  <c r="K300" i="11"/>
  <c r="K386" i="11"/>
  <c r="K329" i="11"/>
  <c r="K223" i="11"/>
  <c r="K232" i="11"/>
  <c r="K272" i="11"/>
  <c r="K240" i="11"/>
  <c r="K297" i="11"/>
  <c r="K267" i="11"/>
  <c r="K243" i="11"/>
  <c r="K396" i="11"/>
  <c r="K265" i="11"/>
  <c r="K211" i="11"/>
  <c r="K384" i="11"/>
  <c r="K369" i="11"/>
  <c r="K359" i="11"/>
  <c r="K336" i="11"/>
  <c r="K284" i="11"/>
  <c r="K365" i="11"/>
  <c r="K362" i="11"/>
  <c r="K347" i="11"/>
  <c r="K380" i="11"/>
  <c r="K403" i="11"/>
  <c r="K215" i="11"/>
  <c r="K372" i="11"/>
  <c r="K385" i="11"/>
  <c r="K332" i="11"/>
  <c r="K371" i="11"/>
  <c r="K390" i="11"/>
  <c r="K405" i="11"/>
  <c r="K288" i="11"/>
  <c r="K404" i="11"/>
  <c r="K368" i="11"/>
  <c r="K305" i="11"/>
  <c r="K375" i="11"/>
  <c r="K214" i="11"/>
  <c r="K222" i="11"/>
  <c r="K230" i="11"/>
  <c r="K268" i="11"/>
  <c r="K279" i="11"/>
  <c r="K291" i="11"/>
  <c r="K204" i="11"/>
  <c r="K273" i="11"/>
  <c r="K298" i="11"/>
  <c r="K234" i="11"/>
  <c r="K238" i="11"/>
  <c r="K308" i="11"/>
  <c r="K364" i="11"/>
  <c r="K328" i="11"/>
  <c r="K360" i="11"/>
  <c r="K314" i="11"/>
  <c r="K218" i="11"/>
  <c r="K289" i="11"/>
  <c r="K227" i="11"/>
  <c r="K277" i="11"/>
  <c r="K280" i="11"/>
  <c r="K247" i="11"/>
  <c r="K304" i="11"/>
  <c r="K320" i="11"/>
  <c r="K324" i="11"/>
  <c r="K292" i="11"/>
  <c r="K212" i="11"/>
  <c r="K239" i="11"/>
  <c r="K290" i="11"/>
  <c r="K216" i="11"/>
  <c r="K282" i="11"/>
  <c r="K207" i="11"/>
  <c r="K236" i="11"/>
  <c r="K312" i="11"/>
  <c r="K340" i="11"/>
  <c r="K278" i="11"/>
  <c r="K295" i="11"/>
  <c r="K244" i="11"/>
  <c r="K283" i="11"/>
  <c r="K225" i="11"/>
  <c r="K233" i="11"/>
  <c r="K286" i="11"/>
  <c r="K269" i="11"/>
  <c r="K246" i="11"/>
  <c r="K285" i="11"/>
  <c r="K206" i="11"/>
  <c r="K235" i="11"/>
  <c r="K208" i="11"/>
  <c r="K228" i="11"/>
  <c r="K224" i="11"/>
  <c r="K275" i="11"/>
  <c r="K293" i="11"/>
  <c r="K294" i="11"/>
  <c r="K299" i="11"/>
  <c r="K210" i="11"/>
  <c r="K226" i="11"/>
  <c r="K281" i="11"/>
  <c r="K296" i="11"/>
  <c r="K205" i="11"/>
  <c r="K266" i="11"/>
  <c r="K241" i="11"/>
  <c r="K245" i="11"/>
  <c r="K270" i="11"/>
  <c r="K213" i="11"/>
  <c r="K229" i="11"/>
  <c r="K237" i="11"/>
  <c r="K179" i="11"/>
  <c r="K209" i="11"/>
  <c r="K217" i="11"/>
  <c r="K221" i="11"/>
  <c r="K177" i="11"/>
  <c r="K181" i="11"/>
  <c r="K176" i="11"/>
  <c r="K178" i="11"/>
  <c r="K183" i="11"/>
  <c r="K182" i="11"/>
  <c r="K180" i="11"/>
  <c r="K137" i="11"/>
  <c r="K135" i="11"/>
  <c r="K141" i="11"/>
  <c r="K143" i="11"/>
  <c r="K136" i="11"/>
  <c r="K146" i="11"/>
  <c r="K133" i="11"/>
  <c r="K138" i="11"/>
  <c r="K144" i="11"/>
  <c r="K142" i="11"/>
  <c r="K152" i="11"/>
  <c r="K134" i="11"/>
  <c r="K148" i="11"/>
  <c r="K116" i="11"/>
  <c r="K120" i="11"/>
  <c r="K119" i="11"/>
  <c r="K150" i="11"/>
  <c r="K149" i="11"/>
  <c r="K145" i="11"/>
  <c r="K128" i="11"/>
  <c r="K114" i="11"/>
  <c r="K126" i="11"/>
  <c r="K147" i="11"/>
  <c r="K118" i="11"/>
  <c r="K108" i="11"/>
  <c r="K153" i="11"/>
  <c r="K125" i="11"/>
  <c r="K115" i="11"/>
  <c r="K124" i="11"/>
  <c r="K131" i="11"/>
  <c r="K130" i="11"/>
  <c r="K122" i="11"/>
  <c r="K123" i="11"/>
  <c r="K109" i="11"/>
  <c r="K132" i="11"/>
  <c r="K117" i="11"/>
  <c r="K121" i="11"/>
  <c r="K113" i="11"/>
  <c r="K129" i="11"/>
  <c r="K105" i="11"/>
  <c r="K110" i="11"/>
  <c r="K111" i="11"/>
  <c r="K107" i="11"/>
  <c r="I67" i="11"/>
  <c r="K15" i="11"/>
  <c r="K16" i="11"/>
  <c r="K17" i="11"/>
  <c r="J99" i="11"/>
  <c r="J93" i="11"/>
  <c r="H96" i="11"/>
  <c r="H102" i="11"/>
  <c r="H87" i="11"/>
  <c r="J76" i="11"/>
  <c r="I87" i="11"/>
  <c r="H82" i="11"/>
  <c r="J90" i="11"/>
  <c r="H79" i="11"/>
  <c r="H91" i="11"/>
  <c r="H94" i="11"/>
  <c r="H97" i="11"/>
  <c r="H100" i="11"/>
  <c r="H103" i="11"/>
  <c r="H98" i="11"/>
  <c r="J67" i="11"/>
  <c r="I85" i="11"/>
  <c r="J70" i="11"/>
  <c r="H73" i="11"/>
  <c r="I88" i="11"/>
  <c r="H67" i="11"/>
  <c r="J56" i="11"/>
  <c r="H92" i="11"/>
  <c r="H95" i="11"/>
  <c r="H101" i="11"/>
  <c r="H104" i="11"/>
  <c r="H59" i="11"/>
  <c r="H62" i="11"/>
  <c r="H47" i="11"/>
  <c r="H78" i="11"/>
  <c r="H86" i="11"/>
  <c r="H71" i="11"/>
  <c r="H74" i="11"/>
  <c r="H77" i="11"/>
  <c r="H80" i="11"/>
  <c r="H83" i="11"/>
  <c r="I86" i="11"/>
  <c r="I47" i="11"/>
  <c r="H69" i="11"/>
  <c r="H81" i="11"/>
  <c r="H84" i="11"/>
  <c r="H50" i="11"/>
  <c r="J72" i="11"/>
  <c r="J75" i="11"/>
  <c r="H53" i="11"/>
  <c r="F22" i="11"/>
  <c r="H66" i="11"/>
  <c r="H51" i="11"/>
  <c r="H54" i="11"/>
  <c r="H57" i="11"/>
  <c r="H60" i="11"/>
  <c r="H63" i="11"/>
  <c r="I66" i="11"/>
  <c r="J49" i="11"/>
  <c r="J52" i="11"/>
  <c r="J55" i="11"/>
  <c r="J58" i="11"/>
  <c r="H55" i="11"/>
  <c r="I48" i="11"/>
  <c r="H21" i="11"/>
  <c r="H20" i="11"/>
  <c r="K66" i="11" l="1"/>
  <c r="K67" i="11"/>
  <c r="K86" i="11"/>
  <c r="K87" i="11"/>
  <c r="K47" i="11"/>
  <c r="G168" i="11" l="1"/>
  <c r="G173" i="11"/>
  <c r="G184" i="11"/>
  <c r="G189" i="11"/>
  <c r="D189" i="11"/>
  <c r="J189" i="11" s="1"/>
  <c r="E189" i="11"/>
  <c r="D168" i="11"/>
  <c r="H168" i="11" s="1"/>
  <c r="E168" i="11"/>
  <c r="D169" i="11"/>
  <c r="H169" i="11" s="1"/>
  <c r="E169" i="11"/>
  <c r="D170" i="11"/>
  <c r="J170" i="11" s="1"/>
  <c r="E170" i="11"/>
  <c r="D171" i="11"/>
  <c r="H171" i="11" s="1"/>
  <c r="E171" i="11"/>
  <c r="D172" i="11"/>
  <c r="H172" i="11" s="1"/>
  <c r="E172" i="11"/>
  <c r="D173" i="11"/>
  <c r="J173" i="11" s="1"/>
  <c r="E173" i="11"/>
  <c r="D184" i="11"/>
  <c r="I184" i="11" s="1"/>
  <c r="E184" i="11"/>
  <c r="D185" i="11"/>
  <c r="I185" i="11" s="1"/>
  <c r="E185" i="11"/>
  <c r="D186" i="11"/>
  <c r="H186" i="11" s="1"/>
  <c r="E186" i="11"/>
  <c r="D187" i="11"/>
  <c r="H187" i="11" s="1"/>
  <c r="E187" i="11"/>
  <c r="D188" i="11"/>
  <c r="I188" i="11" s="1"/>
  <c r="E188" i="11"/>
  <c r="F188" i="11"/>
  <c r="F186" i="11"/>
  <c r="F185" i="11"/>
  <c r="F187" i="11" s="1"/>
  <c r="F172" i="11"/>
  <c r="F171" i="11"/>
  <c r="F170" i="11"/>
  <c r="F169" i="11"/>
  <c r="H170" i="11" l="1"/>
  <c r="J185" i="11"/>
  <c r="H188" i="11"/>
  <c r="H184" i="11"/>
  <c r="J168" i="11"/>
  <c r="J184" i="11"/>
  <c r="I173" i="11"/>
  <c r="I168" i="11"/>
  <c r="H173" i="11"/>
  <c r="J187" i="11"/>
  <c r="I189" i="11"/>
  <c r="H189" i="11"/>
  <c r="J169" i="11"/>
  <c r="J186" i="11"/>
  <c r="J171" i="11"/>
  <c r="I172" i="11"/>
  <c r="K168" i="11" l="1"/>
  <c r="K173" i="11"/>
  <c r="K184" i="11"/>
  <c r="K189" i="11"/>
  <c r="F166" i="11" l="1"/>
  <c r="F165" i="11"/>
  <c r="F164" i="11"/>
  <c r="F163" i="11"/>
  <c r="F160" i="11"/>
  <c r="F159" i="11"/>
  <c r="F158" i="11"/>
  <c r="F157" i="11"/>
  <c r="F156" i="11"/>
  <c r="F155" i="11"/>
  <c r="G167" i="11"/>
  <c r="E167" i="11"/>
  <c r="D167" i="11"/>
  <c r="J167" i="11" s="1"/>
  <c r="E166" i="11"/>
  <c r="D166" i="11"/>
  <c r="E165" i="11"/>
  <c r="D165" i="11"/>
  <c r="J165" i="11" s="1"/>
  <c r="E164" i="11"/>
  <c r="D164" i="11"/>
  <c r="J164" i="11" s="1"/>
  <c r="E163" i="11"/>
  <c r="D163" i="11"/>
  <c r="J163" i="11" s="1"/>
  <c r="G162" i="11"/>
  <c r="E162" i="11"/>
  <c r="D162" i="11"/>
  <c r="J162" i="11" s="1"/>
  <c r="G161" i="11"/>
  <c r="E161" i="11"/>
  <c r="D161" i="11"/>
  <c r="J161" i="11" s="1"/>
  <c r="E160" i="11"/>
  <c r="D160" i="11"/>
  <c r="H160" i="11" s="1"/>
  <c r="E159" i="11"/>
  <c r="D159" i="11"/>
  <c r="J159" i="11" s="1"/>
  <c r="E158" i="11"/>
  <c r="D158" i="11"/>
  <c r="J158" i="11" s="1"/>
  <c r="E157" i="11"/>
  <c r="D157" i="11"/>
  <c r="H157" i="11" s="1"/>
  <c r="E156" i="11"/>
  <c r="D156" i="11"/>
  <c r="J156" i="11" s="1"/>
  <c r="E155" i="11"/>
  <c r="D155" i="11"/>
  <c r="J155" i="11" s="1"/>
  <c r="G154" i="11"/>
  <c r="E154" i="11"/>
  <c r="D154" i="11"/>
  <c r="J154" i="11" s="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E40" i="11"/>
  <c r="D40" i="11"/>
  <c r="E39" i="11"/>
  <c r="D39" i="11"/>
  <c r="H39" i="11" s="1"/>
  <c r="E38" i="11"/>
  <c r="D38" i="11"/>
  <c r="J38" i="11" s="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J157" i="11" l="1"/>
  <c r="I160" i="11"/>
  <c r="H163" i="11"/>
  <c r="I166" i="11"/>
  <c r="H166" i="11"/>
  <c r="H154" i="11"/>
  <c r="I154" i="11"/>
  <c r="H156" i="11"/>
  <c r="H159" i="11"/>
  <c r="H162" i="11"/>
  <c r="H165" i="11"/>
  <c r="I162" i="11"/>
  <c r="H155" i="11"/>
  <c r="H158" i="11"/>
  <c r="H161" i="11"/>
  <c r="H164" i="11"/>
  <c r="H167" i="11"/>
  <c r="I161" i="11"/>
  <c r="I167" i="11"/>
  <c r="J39" i="11"/>
  <c r="H36" i="11"/>
  <c r="H34" i="11"/>
  <c r="H40" i="11"/>
  <c r="H35" i="11"/>
  <c r="H38" i="11"/>
  <c r="H37" i="11"/>
  <c r="J40" i="11"/>
  <c r="F455" i="11"/>
  <c r="F454" i="11"/>
  <c r="F453" i="11"/>
  <c r="F452" i="11"/>
  <c r="F451" i="11"/>
  <c r="F450" i="11"/>
  <c r="F449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8" i="11"/>
  <c r="G46" i="11"/>
  <c r="G190" i="11"/>
  <c r="D33" i="11"/>
  <c r="H33" i="11" s="1"/>
  <c r="E33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E45" i="11"/>
  <c r="D46" i="11"/>
  <c r="I46" i="11" s="1"/>
  <c r="E46" i="11"/>
  <c r="D190" i="11"/>
  <c r="H190" i="11" s="1"/>
  <c r="E190" i="11"/>
  <c r="D191" i="11"/>
  <c r="E191" i="11"/>
  <c r="D22" i="11"/>
  <c r="I22" i="11" s="1"/>
  <c r="E22" i="11"/>
  <c r="D26" i="11"/>
  <c r="J26" i="11" s="1"/>
  <c r="E26" i="11"/>
  <c r="G26" i="11"/>
  <c r="D27" i="11"/>
  <c r="J27" i="11" s="1"/>
  <c r="E27" i="11"/>
  <c r="G27" i="11"/>
  <c r="D28" i="11"/>
  <c r="J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19" i="11"/>
  <c r="H19" i="11" s="1"/>
  <c r="E19" i="11"/>
  <c r="K161" i="11" l="1"/>
  <c r="K162" i="11"/>
  <c r="K167" i="11"/>
  <c r="K154" i="11"/>
  <c r="H46" i="11"/>
  <c r="J191" i="11"/>
  <c r="I45" i="11"/>
  <c r="H42" i="11"/>
  <c r="J33" i="11"/>
  <c r="J44" i="11"/>
  <c r="I191" i="11"/>
  <c r="J190" i="11"/>
  <c r="H45" i="11"/>
  <c r="J43" i="11"/>
  <c r="H41" i="11"/>
  <c r="I190" i="11"/>
  <c r="J46" i="11"/>
  <c r="J42" i="11"/>
  <c r="H22" i="11"/>
  <c r="I27" i="11"/>
  <c r="I26" i="11"/>
  <c r="H26" i="11"/>
  <c r="H31" i="11"/>
  <c r="J29" i="11"/>
  <c r="H27" i="11"/>
  <c r="J32" i="11"/>
  <c r="I28" i="11"/>
  <c r="H32" i="11"/>
  <c r="J30" i="11"/>
  <c r="J19" i="11"/>
  <c r="D407" i="11"/>
  <c r="J407" i="11" s="1"/>
  <c r="E407" i="11"/>
  <c r="G407" i="11"/>
  <c r="J408" i="11"/>
  <c r="E408" i="11"/>
  <c r="D409" i="11"/>
  <c r="H409" i="11" s="1"/>
  <c r="E409" i="11"/>
  <c r="G409" i="11"/>
  <c r="D410" i="11"/>
  <c r="E410" i="11"/>
  <c r="D411" i="11"/>
  <c r="J411" i="11" s="1"/>
  <c r="E411" i="11"/>
  <c r="D412" i="11"/>
  <c r="E412" i="11"/>
  <c r="D413" i="11"/>
  <c r="E413" i="11"/>
  <c r="K46" i="11" l="1"/>
  <c r="K190" i="11"/>
  <c r="K27" i="11"/>
  <c r="K26" i="11"/>
  <c r="I410" i="11"/>
  <c r="J409" i="11"/>
  <c r="J412" i="11"/>
  <c r="I407" i="11"/>
  <c r="I413" i="11"/>
  <c r="I411" i="11"/>
  <c r="I409" i="11"/>
  <c r="H407" i="11"/>
  <c r="I412" i="11"/>
  <c r="I408" i="11"/>
  <c r="J413" i="11"/>
  <c r="J410" i="11"/>
  <c r="K409" i="11" l="1"/>
  <c r="K407" i="11"/>
  <c r="G446" i="11" l="1"/>
  <c r="G448" i="11"/>
  <c r="G456" i="11"/>
  <c r="G457" i="11"/>
  <c r="G458" i="11"/>
  <c r="G459" i="11"/>
  <c r="D446" i="11"/>
  <c r="H446" i="11" s="1"/>
  <c r="E446" i="11"/>
  <c r="D448" i="11"/>
  <c r="J448" i="11" s="1"/>
  <c r="E448" i="11"/>
  <c r="D449" i="11"/>
  <c r="E449" i="11"/>
  <c r="D450" i="11"/>
  <c r="H450" i="11" s="1"/>
  <c r="E450" i="11"/>
  <c r="D451" i="11"/>
  <c r="H451" i="11" s="1"/>
  <c r="E451" i="11"/>
  <c r="D452" i="11"/>
  <c r="J452" i="11" s="1"/>
  <c r="E452" i="11"/>
  <c r="D453" i="11"/>
  <c r="E453" i="11"/>
  <c r="D454" i="11"/>
  <c r="H454" i="11" s="1"/>
  <c r="E454" i="11"/>
  <c r="D455" i="11"/>
  <c r="H455" i="11" s="1"/>
  <c r="E455" i="11"/>
  <c r="D456" i="11"/>
  <c r="J456" i="11" s="1"/>
  <c r="E456" i="11"/>
  <c r="D457" i="11"/>
  <c r="J457" i="11" s="1"/>
  <c r="E457" i="11"/>
  <c r="D458" i="11"/>
  <c r="I458" i="11" s="1"/>
  <c r="E458" i="11"/>
  <c r="D459" i="11"/>
  <c r="H459" i="11" s="1"/>
  <c r="E459" i="11"/>
  <c r="J446" i="11" l="1"/>
  <c r="H458" i="11"/>
  <c r="J451" i="11"/>
  <c r="H449" i="11"/>
  <c r="I446" i="11"/>
  <c r="J455" i="11"/>
  <c r="H453" i="11"/>
  <c r="I457" i="11"/>
  <c r="I456" i="11"/>
  <c r="I448" i="11"/>
  <c r="J459" i="11"/>
  <c r="H457" i="11"/>
  <c r="H456" i="11"/>
  <c r="J454" i="11"/>
  <c r="H452" i="11"/>
  <c r="J450" i="11"/>
  <c r="H448" i="11"/>
  <c r="I459" i="11"/>
  <c r="J458" i="11"/>
  <c r="J453" i="11"/>
  <c r="J449" i="11"/>
  <c r="K456" i="11" l="1"/>
  <c r="K459" i="11"/>
  <c r="K448" i="11"/>
  <c r="K457" i="11"/>
  <c r="K446" i="11"/>
  <c r="K458" i="11"/>
  <c r="D440" i="11" l="1"/>
  <c r="D441" i="11"/>
  <c r="D442" i="11"/>
  <c r="D443" i="11"/>
  <c r="D444" i="11"/>
  <c r="D445" i="11"/>
  <c r="D23" i="11"/>
  <c r="J23" i="11" s="1"/>
  <c r="E23" i="11"/>
  <c r="D25" i="11"/>
  <c r="H25" i="11" s="1"/>
  <c r="E25" i="11"/>
  <c r="G25" i="11"/>
  <c r="G3" i="64"/>
  <c r="E59" i="64" s="1"/>
  <c r="D18" i="11"/>
  <c r="J18" i="11" s="1"/>
  <c r="E18" i="11"/>
  <c r="G18" i="11"/>
  <c r="G427" i="11"/>
  <c r="D427" i="11"/>
  <c r="J427" i="11" s="1"/>
  <c r="E427" i="11"/>
  <c r="J25" i="11" l="1"/>
  <c r="I25" i="11"/>
  <c r="H23" i="11"/>
  <c r="I18" i="11"/>
  <c r="H18" i="11"/>
  <c r="I427" i="11"/>
  <c r="H427" i="11"/>
  <c r="K25" i="11" l="1"/>
  <c r="K427" i="11"/>
  <c r="K18" i="11"/>
  <c r="F437" i="11" l="1"/>
  <c r="F436" i="11"/>
  <c r="F435" i="11"/>
  <c r="F434" i="11"/>
  <c r="F433" i="11"/>
  <c r="F432" i="11"/>
  <c r="F431" i="11"/>
  <c r="F430" i="11"/>
  <c r="F429" i="11"/>
  <c r="D428" i="11"/>
  <c r="H428" i="11" s="1"/>
  <c r="E428" i="11"/>
  <c r="G428" i="11"/>
  <c r="D429" i="11"/>
  <c r="J429" i="11" s="1"/>
  <c r="E429" i="11"/>
  <c r="D430" i="11"/>
  <c r="J430" i="11" s="1"/>
  <c r="E430" i="11"/>
  <c r="D431" i="11"/>
  <c r="H431" i="11" s="1"/>
  <c r="E431" i="11"/>
  <c r="D432" i="11"/>
  <c r="J432" i="11" s="1"/>
  <c r="E432" i="11"/>
  <c r="D433" i="11"/>
  <c r="J433" i="11" s="1"/>
  <c r="E433" i="11"/>
  <c r="D434" i="11"/>
  <c r="J434" i="11" s="1"/>
  <c r="E434" i="11"/>
  <c r="D435" i="11"/>
  <c r="H435" i="11" s="1"/>
  <c r="E435" i="11"/>
  <c r="D436" i="11"/>
  <c r="H436" i="11" s="1"/>
  <c r="E436" i="11"/>
  <c r="D437" i="11"/>
  <c r="E437" i="11"/>
  <c r="D438" i="11"/>
  <c r="J438" i="11" s="1"/>
  <c r="E438" i="11"/>
  <c r="G438" i="11"/>
  <c r="D414" i="11"/>
  <c r="J414" i="11" s="1"/>
  <c r="E414" i="11"/>
  <c r="D415" i="11"/>
  <c r="E415" i="11"/>
  <c r="D416" i="11"/>
  <c r="J416" i="11" s="1"/>
  <c r="E416" i="11"/>
  <c r="D417" i="11"/>
  <c r="J417" i="11" s="1"/>
  <c r="E417" i="11"/>
  <c r="D418" i="11"/>
  <c r="J418" i="11" s="1"/>
  <c r="E418" i="11"/>
  <c r="D419" i="11"/>
  <c r="E419" i="11"/>
  <c r="D420" i="11"/>
  <c r="J420" i="11" s="1"/>
  <c r="E420" i="11"/>
  <c r="D421" i="11"/>
  <c r="J421" i="11" s="1"/>
  <c r="E421" i="11"/>
  <c r="D422" i="11"/>
  <c r="J422" i="11" s="1"/>
  <c r="E422" i="11"/>
  <c r="D423" i="11"/>
  <c r="J423" i="11" s="1"/>
  <c r="E423" i="11"/>
  <c r="D424" i="11"/>
  <c r="H424" i="11" s="1"/>
  <c r="E424" i="11"/>
  <c r="D425" i="11"/>
  <c r="J425" i="11" s="1"/>
  <c r="E425" i="11"/>
  <c r="D426" i="11"/>
  <c r="E426" i="11"/>
  <c r="G6" i="11"/>
  <c r="D439" i="11"/>
  <c r="J439" i="11" s="1"/>
  <c r="E439" i="11"/>
  <c r="G439" i="11"/>
  <c r="H440" i="11"/>
  <c r="E440" i="11"/>
  <c r="G440" i="11"/>
  <c r="E441" i="11"/>
  <c r="G441" i="11"/>
  <c r="J442" i="11"/>
  <c r="E442" i="11"/>
  <c r="J443" i="11"/>
  <c r="E443" i="11"/>
  <c r="E444" i="11"/>
  <c r="E445" i="11"/>
  <c r="J436" i="11" l="1"/>
  <c r="J428" i="11"/>
  <c r="I428" i="11"/>
  <c r="H434" i="11"/>
  <c r="H430" i="11"/>
  <c r="I438" i="11"/>
  <c r="J415" i="11"/>
  <c r="H438" i="11"/>
  <c r="H432" i="11"/>
  <c r="I437" i="11"/>
  <c r="H437" i="11"/>
  <c r="J435" i="11"/>
  <c r="H433" i="11"/>
  <c r="J431" i="11"/>
  <c r="H429" i="11"/>
  <c r="J419" i="11"/>
  <c r="H419" i="11"/>
  <c r="H423" i="11"/>
  <c r="J424" i="11"/>
  <c r="H420" i="11"/>
  <c r="H415" i="11"/>
  <c r="H425" i="11"/>
  <c r="H421" i="11"/>
  <c r="H416" i="11"/>
  <c r="H417" i="11"/>
  <c r="H426" i="11"/>
  <c r="H422" i="11"/>
  <c r="H418" i="11"/>
  <c r="H414" i="11"/>
  <c r="I426" i="11"/>
  <c r="H441" i="11"/>
  <c r="J444" i="11"/>
  <c r="I442" i="11"/>
  <c r="J441" i="11"/>
  <c r="J440" i="11"/>
  <c r="I440" i="11"/>
  <c r="H439" i="11"/>
  <c r="I443" i="11"/>
  <c r="I439" i="11"/>
  <c r="I445" i="11"/>
  <c r="I441" i="11"/>
  <c r="D14" i="11"/>
  <c r="J14" i="11" s="1"/>
  <c r="E14" i="11"/>
  <c r="G14" i="11"/>
  <c r="K19" i="60"/>
  <c r="D19" i="60"/>
  <c r="K428" i="11" l="1"/>
  <c r="K438" i="11"/>
  <c r="K440" i="11"/>
  <c r="K441" i="11"/>
  <c r="K439" i="11"/>
  <c r="H14" i="11"/>
  <c r="I14" i="11"/>
  <c r="K14" i="11" l="1"/>
  <c r="W48" i="64" l="1"/>
  <c r="W102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8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7" i="11" l="1"/>
  <c r="D460" i="11" l="1"/>
  <c r="I88" i="10"/>
  <c r="I92" i="10"/>
  <c r="G443" i="11" s="1"/>
  <c r="H443" i="11" s="1"/>
  <c r="K443" i="11" s="1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60" i="11"/>
  <c r="D461" i="11"/>
  <c r="H461" i="11" s="1"/>
  <c r="E4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M120" i="10" s="1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/>
  <c r="J123" i="10"/>
  <c r="L123" i="10" s="1"/>
  <c r="N123" i="10" s="1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M197" i="10" s="1"/>
  <c r="N197" i="10" s="1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L204" i="10" s="1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N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N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N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N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N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N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N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N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N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N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N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/>
  <c r="J934" i="10"/>
  <c r="L934" i="10" s="1"/>
  <c r="N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N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N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N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N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N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N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N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N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N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N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N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N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N1268" i="10" s="1"/>
  <c r="O1268" i="10"/>
  <c r="P1268" i="10" s="1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N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N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739" i="10"/>
  <c r="N1113" i="10"/>
  <c r="N874" i="10"/>
  <c r="N1073" i="10"/>
  <c r="N886" i="10"/>
  <c r="N857" i="10"/>
  <c r="N1081" i="10"/>
  <c r="N828" i="10"/>
  <c r="N700" i="10"/>
  <c r="N1050" i="10"/>
  <c r="N971" i="10"/>
  <c r="N873" i="10"/>
  <c r="N905" i="10"/>
  <c r="N699" i="10"/>
  <c r="N983" i="10"/>
  <c r="N965" i="10"/>
  <c r="N960" i="10"/>
  <c r="N944" i="10"/>
  <c r="N676" i="10"/>
  <c r="N822" i="10"/>
  <c r="N723" i="10"/>
  <c r="N973" i="10"/>
  <c r="N968" i="10"/>
  <c r="N963" i="10"/>
  <c r="N954" i="10"/>
  <c r="N751" i="10"/>
  <c r="N698" i="10"/>
  <c r="N1143" i="10"/>
  <c r="N912" i="10"/>
  <c r="N1132" i="10"/>
  <c r="N1124" i="10"/>
  <c r="N958" i="10"/>
  <c r="N952" i="10"/>
  <c r="N863" i="10"/>
  <c r="N855" i="10"/>
  <c r="N838" i="10"/>
  <c r="N831" i="10"/>
  <c r="N798" i="10"/>
  <c r="N664" i="10"/>
  <c r="N922" i="10"/>
  <c r="N921" i="10"/>
  <c r="N908" i="10"/>
  <c r="N892" i="10"/>
  <c r="N876" i="10"/>
  <c r="N868" i="10"/>
  <c r="N763" i="10"/>
  <c r="N633" i="10"/>
  <c r="N993" i="10"/>
  <c r="N1040" i="10"/>
  <c r="N1085" i="10"/>
  <c r="N1077" i="10"/>
  <c r="N1053" i="10"/>
  <c r="N1045" i="10"/>
  <c r="N977" i="10"/>
  <c r="N945" i="10"/>
  <c r="N877" i="10"/>
  <c r="N845" i="10"/>
  <c r="N911" i="10"/>
  <c r="N909" i="10"/>
  <c r="N896" i="10"/>
  <c r="N856" i="10"/>
  <c r="N840" i="10"/>
  <c r="N701" i="10"/>
  <c r="N689" i="10"/>
  <c r="N681" i="10"/>
  <c r="N693" i="10"/>
  <c r="N677" i="10"/>
  <c r="N668" i="10"/>
  <c r="L207" i="10"/>
  <c r="P184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434" i="11" s="1"/>
  <c r="I434" i="11" s="1"/>
  <c r="K434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461" i="11"/>
  <c r="I14" i="10"/>
  <c r="G442" i="11" s="1"/>
  <c r="H442" i="11" s="1"/>
  <c r="K442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25" i="11" s="1"/>
  <c r="I425" i="11" s="1"/>
  <c r="K425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G185" i="11" s="1"/>
  <c r="H185" i="11" s="1"/>
  <c r="K185" i="11" s="1"/>
  <c r="I233" i="10"/>
  <c r="I270" i="10"/>
  <c r="I294" i="10"/>
  <c r="I315" i="10"/>
  <c r="I336" i="10"/>
  <c r="I358" i="10"/>
  <c r="I379" i="10"/>
  <c r="I401" i="10"/>
  <c r="I423" i="10"/>
  <c r="I444" i="10"/>
  <c r="G421" i="11" s="1"/>
  <c r="I421" i="11" s="1"/>
  <c r="K421" i="11" s="1"/>
  <c r="I465" i="10"/>
  <c r="I487" i="10"/>
  <c r="G423" i="11" s="1"/>
  <c r="I423" i="11" s="1"/>
  <c r="K423" i="11" s="1"/>
  <c r="I508" i="10"/>
  <c r="I529" i="10"/>
  <c r="I552" i="10"/>
  <c r="G187" i="11" s="1"/>
  <c r="I187" i="11" s="1"/>
  <c r="K187" i="11" s="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22" i="11" s="1"/>
  <c r="J22" i="11" s="1"/>
  <c r="K22" i="11" s="1"/>
  <c r="I244" i="10"/>
  <c r="I262" i="10"/>
  <c r="I285" i="10"/>
  <c r="I307" i="10"/>
  <c r="I328" i="10"/>
  <c r="I350" i="10"/>
  <c r="I376" i="10"/>
  <c r="I399" i="10"/>
  <c r="I431" i="10"/>
  <c r="G429" i="11" s="1"/>
  <c r="I429" i="11" s="1"/>
  <c r="K429" i="11" s="1"/>
  <c r="I463" i="10"/>
  <c r="I20" i="10"/>
  <c r="I77" i="10"/>
  <c r="I98" i="10"/>
  <c r="I123" i="10"/>
  <c r="I145" i="10"/>
  <c r="I163" i="10"/>
  <c r="I179" i="10"/>
  <c r="I204" i="10"/>
  <c r="G21" i="11" s="1"/>
  <c r="I21" i="11" s="1"/>
  <c r="K21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G188" i="11" s="1"/>
  <c r="J188" i="11" s="1"/>
  <c r="K188" i="11" s="1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G451" i="11" s="1"/>
  <c r="I451" i="11" s="1"/>
  <c r="K451" i="11" s="1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G450" i="11" s="1"/>
  <c r="I450" i="11" s="1"/>
  <c r="K450" i="11" s="1"/>
  <c r="I377" i="10"/>
  <c r="I402" i="10"/>
  <c r="G418" i="11" s="1"/>
  <c r="I418" i="11" s="1"/>
  <c r="K418" i="11" s="1"/>
  <c r="I422" i="10"/>
  <c r="I442" i="10"/>
  <c r="I466" i="10"/>
  <c r="I486" i="10"/>
  <c r="I506" i="10"/>
  <c r="I530" i="10"/>
  <c r="I551" i="10"/>
  <c r="G158" i="11" s="1"/>
  <c r="I158" i="11" s="1"/>
  <c r="K158" i="11" s="1"/>
  <c r="I571" i="10"/>
  <c r="I634" i="10"/>
  <c r="I654" i="10"/>
  <c r="I673" i="10"/>
  <c r="I697" i="10"/>
  <c r="I717" i="10"/>
  <c r="I737" i="10"/>
  <c r="I771" i="10"/>
  <c r="I791" i="10"/>
  <c r="I815" i="10"/>
  <c r="G172" i="11" s="1"/>
  <c r="J172" i="11" s="1"/>
  <c r="K172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412" i="11" s="1"/>
  <c r="H412" i="11" s="1"/>
  <c r="K412" i="11" s="1"/>
  <c r="I203" i="10"/>
  <c r="I222" i="10"/>
  <c r="I248" i="10"/>
  <c r="I273" i="10"/>
  <c r="I302" i="10"/>
  <c r="I334" i="10"/>
  <c r="I360" i="10"/>
  <c r="I393" i="10"/>
  <c r="I436" i="10"/>
  <c r="G431" i="11" s="1"/>
  <c r="I431" i="11" s="1"/>
  <c r="K431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G424" i="11" s="1"/>
  <c r="I424" i="11" s="1"/>
  <c r="K424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166" i="11" s="1"/>
  <c r="J166" i="11" s="1"/>
  <c r="K166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23" i="11" s="1"/>
  <c r="I23" i="11" s="1"/>
  <c r="K23" i="11" s="1"/>
  <c r="I228" i="10"/>
  <c r="I246" i="10"/>
  <c r="I263" i="10"/>
  <c r="I288" i="10"/>
  <c r="I309" i="10"/>
  <c r="I329" i="10"/>
  <c r="I353" i="10"/>
  <c r="I373" i="10"/>
  <c r="I394" i="10"/>
  <c r="G417" i="11" s="1"/>
  <c r="I417" i="11" s="1"/>
  <c r="K417" i="11" s="1"/>
  <c r="I418" i="10"/>
  <c r="I438" i="10"/>
  <c r="G156" i="11" s="1"/>
  <c r="I156" i="11" s="1"/>
  <c r="K156" i="11" s="1"/>
  <c r="I458" i="10"/>
  <c r="I482" i="10"/>
  <c r="I502" i="10"/>
  <c r="I522" i="10"/>
  <c r="G436" i="11" s="1"/>
  <c r="I436" i="11" s="1"/>
  <c r="K436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408" i="11" s="1"/>
  <c r="H408" i="11" s="1"/>
  <c r="K408" i="11" s="1"/>
  <c r="I164" i="10"/>
  <c r="I186" i="10"/>
  <c r="I220" i="10"/>
  <c r="I242" i="10"/>
  <c r="I265" i="10"/>
  <c r="I299" i="10"/>
  <c r="I326" i="10"/>
  <c r="G455" i="11" s="1"/>
  <c r="I455" i="11" s="1"/>
  <c r="K455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G453" i="11" s="1"/>
  <c r="I453" i="11" s="1"/>
  <c r="K453" i="11" s="1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G452" i="11" s="1"/>
  <c r="I452" i="11" s="1"/>
  <c r="K452" i="11" s="1"/>
  <c r="I369" i="10"/>
  <c r="I410" i="10"/>
  <c r="G419" i="11" s="1"/>
  <c r="I419" i="11" s="1"/>
  <c r="K419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G454" i="11" s="1"/>
  <c r="I454" i="11" s="1"/>
  <c r="K454" i="11" s="1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165" i="11" s="1"/>
  <c r="I165" i="11" s="1"/>
  <c r="K165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157" i="11" s="1"/>
  <c r="I157" i="11" s="1"/>
  <c r="K157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426" i="11" s="1"/>
  <c r="J426" i="11" s="1"/>
  <c r="K426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415" i="11" s="1"/>
  <c r="I415" i="11" s="1"/>
  <c r="K415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G20" i="11" s="1"/>
  <c r="I20" i="11" s="1"/>
  <c r="K20" i="11" s="1"/>
  <c r="I236" i="10"/>
  <c r="I275" i="10"/>
  <c r="I321" i="10"/>
  <c r="G449" i="11" s="1"/>
  <c r="I449" i="11" s="1"/>
  <c r="K449" i="11" s="1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60" i="11" s="1"/>
  <c r="J160" i="11" s="1"/>
  <c r="K160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435" i="11" s="1"/>
  <c r="I435" i="11" s="1"/>
  <c r="K435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414" i="11" s="1"/>
  <c r="I414" i="11" s="1"/>
  <c r="K414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444" i="11" s="1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164" i="11" s="1"/>
  <c r="I164" i="11" s="1"/>
  <c r="K164" i="11" s="1"/>
  <c r="I580" i="10"/>
  <c r="I671" i="10"/>
  <c r="I724" i="10"/>
  <c r="I813" i="10"/>
  <c r="G437" i="11" s="1"/>
  <c r="J437" i="11" s="1"/>
  <c r="K437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413" i="11" s="1"/>
  <c r="H413" i="11" s="1"/>
  <c r="K413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445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411" i="11" s="1"/>
  <c r="H411" i="11" s="1"/>
  <c r="K411" i="11" s="1"/>
  <c r="I278" i="10"/>
  <c r="I339" i="10"/>
  <c r="I404" i="10"/>
  <c r="I110" i="10"/>
  <c r="I168" i="10"/>
  <c r="I198" i="10"/>
  <c r="I245" i="10"/>
  <c r="I304" i="10"/>
  <c r="I356" i="10"/>
  <c r="I416" i="10"/>
  <c r="G163" i="11" s="1"/>
  <c r="I163" i="11" s="1"/>
  <c r="K163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G19" i="11" s="1"/>
  <c r="I19" i="11" s="1"/>
  <c r="K19" i="11" s="1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6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203" i="10"/>
  <c r="L126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16" i="10"/>
  <c r="N1008" i="10"/>
  <c r="L172" i="29"/>
  <c r="B171" i="29" s="1"/>
  <c r="L42" i="39"/>
  <c r="B41" i="39" s="1"/>
  <c r="L206" i="10"/>
  <c r="L129" i="10"/>
  <c r="L247" i="10"/>
  <c r="N1192" i="10"/>
  <c r="N1155" i="10"/>
  <c r="N1099" i="10"/>
  <c r="N1059" i="10"/>
  <c r="G8" i="39"/>
  <c r="I107" i="10"/>
  <c r="I1408" i="10"/>
  <c r="I1411" i="10"/>
  <c r="I1414" i="10"/>
  <c r="M229" i="10"/>
  <c r="M228" i="10"/>
  <c r="M227" i="10"/>
  <c r="M1417" i="10"/>
  <c r="M1405" i="10"/>
  <c r="M223" i="10"/>
  <c r="M144" i="10"/>
  <c r="M140" i="10"/>
  <c r="M243" i="10"/>
  <c r="M271" i="10"/>
  <c r="M142" i="10"/>
  <c r="M230" i="10"/>
  <c r="M192" i="10"/>
  <c r="M119" i="10"/>
  <c r="M118" i="10"/>
  <c r="M1413" i="10"/>
  <c r="M222" i="10"/>
  <c r="P80" i="10"/>
  <c r="N1298" i="10"/>
  <c r="N1051" i="10"/>
  <c r="P13" i="10"/>
  <c r="G8" i="29"/>
  <c r="N1359" i="10"/>
  <c r="N1209" i="10"/>
  <c r="N1208" i="10"/>
  <c r="N1091" i="10"/>
  <c r="N976" i="10"/>
  <c r="N961" i="10"/>
  <c r="N1213" i="10"/>
  <c r="N1199" i="10"/>
  <c r="N1177" i="10"/>
  <c r="N1029" i="10"/>
  <c r="N969" i="10"/>
  <c r="N923" i="10"/>
  <c r="N916" i="10"/>
  <c r="N867" i="10"/>
  <c r="N835" i="10"/>
  <c r="N870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1" i="10"/>
  <c r="N894" i="10"/>
  <c r="N850" i="10"/>
  <c r="N849" i="10"/>
  <c r="N844" i="10"/>
  <c r="N829" i="10"/>
  <c r="N826" i="10"/>
  <c r="N932" i="10"/>
  <c r="N931" i="10"/>
  <c r="N930" i="10"/>
  <c r="N839" i="10"/>
  <c r="N814" i="10"/>
  <c r="N695" i="10"/>
  <c r="N683" i="10"/>
  <c r="N675" i="10"/>
  <c r="N671" i="10"/>
  <c r="N663" i="10"/>
  <c r="N655" i="10"/>
  <c r="N651" i="10"/>
  <c r="N647" i="10"/>
  <c r="N1210" i="10"/>
  <c r="N1306" i="10"/>
  <c r="P202" i="10"/>
  <c r="N1252" i="10"/>
  <c r="N1245" i="10"/>
  <c r="N1238" i="10"/>
  <c r="L9" i="10"/>
  <c r="N1386" i="10"/>
  <c r="N1326" i="10"/>
  <c r="N1276" i="10"/>
  <c r="N1260" i="10"/>
  <c r="N1218" i="10"/>
  <c r="N1185" i="10"/>
  <c r="N1139" i="10"/>
  <c r="N1454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44" i="10"/>
  <c r="M231" i="10"/>
  <c r="H444" i="11" l="1"/>
  <c r="I444" i="11"/>
  <c r="J445" i="11"/>
  <c r="H445" i="11"/>
  <c r="G93" i="11"/>
  <c r="I93" i="11" s="1"/>
  <c r="K93" i="11" s="1"/>
  <c r="G53" i="11"/>
  <c r="I53" i="11" s="1"/>
  <c r="K53" i="11" s="1"/>
  <c r="G73" i="11"/>
  <c r="I73" i="11" s="1"/>
  <c r="K73" i="11" s="1"/>
  <c r="G33" i="11"/>
  <c r="I33" i="11" s="1"/>
  <c r="K33" i="11" s="1"/>
  <c r="G88" i="11"/>
  <c r="H88" i="11" s="1"/>
  <c r="K88" i="11" s="1"/>
  <c r="G48" i="11"/>
  <c r="H48" i="11" s="1"/>
  <c r="K48" i="11" s="1"/>
  <c r="G68" i="11"/>
  <c r="G28" i="11"/>
  <c r="H28" i="11" s="1"/>
  <c r="K28" i="11" s="1"/>
  <c r="G63" i="11"/>
  <c r="I63" i="11" s="1"/>
  <c r="K63" i="11" s="1"/>
  <c r="G83" i="11"/>
  <c r="I83" i="11" s="1"/>
  <c r="K83" i="11" s="1"/>
  <c r="G103" i="11"/>
  <c r="I103" i="11" s="1"/>
  <c r="K103" i="11" s="1"/>
  <c r="G43" i="11"/>
  <c r="I43" i="11" s="1"/>
  <c r="K43" i="11" s="1"/>
  <c r="G91" i="11"/>
  <c r="I91" i="11" s="1"/>
  <c r="K91" i="11" s="1"/>
  <c r="G51" i="11"/>
  <c r="I51" i="11" s="1"/>
  <c r="K51" i="11" s="1"/>
  <c r="G71" i="11"/>
  <c r="I71" i="11" s="1"/>
  <c r="K71" i="11" s="1"/>
  <c r="G155" i="11"/>
  <c r="I155" i="11" s="1"/>
  <c r="K155" i="11" s="1"/>
  <c r="G31" i="11"/>
  <c r="I31" i="11" s="1"/>
  <c r="K31" i="11" s="1"/>
  <c r="N1329" i="10"/>
  <c r="N1304" i="10"/>
  <c r="N1096" i="10"/>
  <c r="N837" i="10"/>
  <c r="N824" i="10"/>
  <c r="N820" i="10"/>
  <c r="N807" i="10"/>
  <c r="L237" i="10"/>
  <c r="L70" i="10"/>
  <c r="N70" i="10" s="1"/>
  <c r="G61" i="11"/>
  <c r="G81" i="11"/>
  <c r="I81" i="11" s="1"/>
  <c r="K81" i="11" s="1"/>
  <c r="G101" i="11"/>
  <c r="I101" i="11" s="1"/>
  <c r="K101" i="11" s="1"/>
  <c r="G41" i="11"/>
  <c r="I41" i="11" s="1"/>
  <c r="K41" i="11" s="1"/>
  <c r="G422" i="11"/>
  <c r="I422" i="11" s="1"/>
  <c r="K422" i="11" s="1"/>
  <c r="G96" i="11"/>
  <c r="I96" i="11" s="1"/>
  <c r="K96" i="11" s="1"/>
  <c r="G56" i="11"/>
  <c r="I56" i="11" s="1"/>
  <c r="K56" i="11" s="1"/>
  <c r="G76" i="11"/>
  <c r="I76" i="11" s="1"/>
  <c r="K76" i="11" s="1"/>
  <c r="G36" i="11"/>
  <c r="I36" i="11" s="1"/>
  <c r="K36" i="11" s="1"/>
  <c r="G62" i="11"/>
  <c r="I62" i="11" s="1"/>
  <c r="K62" i="11" s="1"/>
  <c r="G82" i="11"/>
  <c r="I82" i="11" s="1"/>
  <c r="K82" i="11" s="1"/>
  <c r="G102" i="11"/>
  <c r="I102" i="11" s="1"/>
  <c r="K102" i="11" s="1"/>
  <c r="G42" i="11"/>
  <c r="I42" i="11" s="1"/>
  <c r="K42" i="11" s="1"/>
  <c r="G191" i="11"/>
  <c r="H191" i="11" s="1"/>
  <c r="K191" i="11" s="1"/>
  <c r="G410" i="11"/>
  <c r="H410" i="11" s="1"/>
  <c r="K410" i="11" s="1"/>
  <c r="N1375" i="10"/>
  <c r="N1235" i="10"/>
  <c r="N1215" i="10"/>
  <c r="N1021" i="10"/>
  <c r="N906" i="10"/>
  <c r="N902" i="10"/>
  <c r="N898" i="10"/>
  <c r="N890" i="10"/>
  <c r="N869" i="10"/>
  <c r="N865" i="10"/>
  <c r="N861" i="10"/>
  <c r="N846" i="10"/>
  <c r="N687" i="10"/>
  <c r="L224" i="10"/>
  <c r="N224" i="10" s="1"/>
  <c r="G169" i="11"/>
  <c r="I169" i="11" s="1"/>
  <c r="K169" i="11" s="1"/>
  <c r="G430" i="11"/>
  <c r="I430" i="11" s="1"/>
  <c r="K430" i="11" s="1"/>
  <c r="G60" i="11"/>
  <c r="I60" i="11" s="1"/>
  <c r="K60" i="11" s="1"/>
  <c r="G80" i="11"/>
  <c r="I80" i="11" s="1"/>
  <c r="K80" i="11" s="1"/>
  <c r="G100" i="11"/>
  <c r="I100" i="11" s="1"/>
  <c r="K100" i="11" s="1"/>
  <c r="G40" i="11"/>
  <c r="I40" i="11" s="1"/>
  <c r="K40" i="11" s="1"/>
  <c r="G171" i="11"/>
  <c r="I171" i="11" s="1"/>
  <c r="K171" i="11" s="1"/>
  <c r="G433" i="11"/>
  <c r="I433" i="11" s="1"/>
  <c r="K433" i="11" s="1"/>
  <c r="G65" i="11"/>
  <c r="G85" i="11"/>
  <c r="J85" i="11" s="1"/>
  <c r="K85" i="11" s="1"/>
  <c r="G45" i="11"/>
  <c r="J45" i="11" s="1"/>
  <c r="K45" i="11" s="1"/>
  <c r="N1347" i="10"/>
  <c r="N1331" i="10"/>
  <c r="N1315" i="10"/>
  <c r="N1285" i="10"/>
  <c r="N1267" i="10"/>
  <c r="N1262" i="10"/>
  <c r="N1130" i="10"/>
  <c r="N1122" i="10"/>
  <c r="N1083" i="10"/>
  <c r="N941" i="10"/>
  <c r="G64" i="11"/>
  <c r="G84" i="11"/>
  <c r="I84" i="11" s="1"/>
  <c r="K84" i="11" s="1"/>
  <c r="G104" i="11"/>
  <c r="I104" i="11" s="1"/>
  <c r="K104" i="11" s="1"/>
  <c r="G186" i="11"/>
  <c r="I186" i="11" s="1"/>
  <c r="K186" i="11" s="1"/>
  <c r="G159" i="11"/>
  <c r="I159" i="11" s="1"/>
  <c r="K159" i="11" s="1"/>
  <c r="G44" i="11"/>
  <c r="I44" i="11" s="1"/>
  <c r="K44" i="11" s="1"/>
  <c r="G170" i="11"/>
  <c r="I170" i="11" s="1"/>
  <c r="K170" i="11" s="1"/>
  <c r="G432" i="11"/>
  <c r="I432" i="11" s="1"/>
  <c r="K432" i="11" s="1"/>
  <c r="L232" i="10"/>
  <c r="N1449" i="10"/>
  <c r="N1419" i="10"/>
  <c r="N1336" i="10"/>
  <c r="N1335" i="10"/>
  <c r="N1327" i="10"/>
  <c r="N1300" i="10"/>
  <c r="N1253" i="10"/>
  <c r="N1246" i="10"/>
  <c r="N1241" i="10"/>
  <c r="N1227" i="10"/>
  <c r="N1220" i="10"/>
  <c r="N1167" i="10"/>
  <c r="N1088" i="10"/>
  <c r="N799" i="10"/>
  <c r="N706" i="10"/>
  <c r="N659" i="10"/>
  <c r="N125" i="10"/>
  <c r="G97" i="11"/>
  <c r="I97" i="11" s="1"/>
  <c r="K97" i="11" s="1"/>
  <c r="G57" i="11"/>
  <c r="I57" i="11" s="1"/>
  <c r="K57" i="11" s="1"/>
  <c r="G77" i="11"/>
  <c r="I77" i="11" s="1"/>
  <c r="K77" i="11" s="1"/>
  <c r="G37" i="11"/>
  <c r="I37" i="11" s="1"/>
  <c r="K37" i="11" s="1"/>
  <c r="G89" i="11"/>
  <c r="G49" i="11"/>
  <c r="G69" i="11"/>
  <c r="I69" i="11" s="1"/>
  <c r="K69" i="11" s="1"/>
  <c r="G29" i="11"/>
  <c r="I29" i="11" s="1"/>
  <c r="K29" i="11" s="1"/>
  <c r="G99" i="11"/>
  <c r="I99" i="11" s="1"/>
  <c r="K99" i="11" s="1"/>
  <c r="G59" i="11"/>
  <c r="I59" i="11" s="1"/>
  <c r="K59" i="11" s="1"/>
  <c r="G79" i="11"/>
  <c r="I79" i="11" s="1"/>
  <c r="K79" i="11" s="1"/>
  <c r="G39" i="11"/>
  <c r="I39" i="11" s="1"/>
  <c r="K39" i="11" s="1"/>
  <c r="G90" i="11"/>
  <c r="G50" i="11"/>
  <c r="I50" i="11" s="1"/>
  <c r="K50" i="11" s="1"/>
  <c r="G70" i="11"/>
  <c r="I70" i="11" s="1"/>
  <c r="K70" i="11" s="1"/>
  <c r="G30" i="11"/>
  <c r="I30" i="11" s="1"/>
  <c r="K30" i="11" s="1"/>
  <c r="G95" i="11"/>
  <c r="I95" i="11" s="1"/>
  <c r="K95" i="11" s="1"/>
  <c r="G55" i="11"/>
  <c r="I55" i="11" s="1"/>
  <c r="K55" i="11" s="1"/>
  <c r="G75" i="11"/>
  <c r="I75" i="11" s="1"/>
  <c r="K75" i="11" s="1"/>
  <c r="G35" i="11"/>
  <c r="I35" i="11" s="1"/>
  <c r="K35" i="11" s="1"/>
  <c r="G420" i="11"/>
  <c r="I420" i="11" s="1"/>
  <c r="K420" i="11" s="1"/>
  <c r="G98" i="11"/>
  <c r="I98" i="11" s="1"/>
  <c r="K98" i="11" s="1"/>
  <c r="G58" i="11"/>
  <c r="I58" i="11" s="1"/>
  <c r="K58" i="11" s="1"/>
  <c r="G78" i="11"/>
  <c r="I78" i="11" s="1"/>
  <c r="K78" i="11" s="1"/>
  <c r="G38" i="11"/>
  <c r="I38" i="11" s="1"/>
  <c r="K38" i="11" s="1"/>
  <c r="G92" i="11"/>
  <c r="I92" i="11" s="1"/>
  <c r="K92" i="11" s="1"/>
  <c r="G52" i="11"/>
  <c r="I52" i="11" s="1"/>
  <c r="K52" i="11" s="1"/>
  <c r="G72" i="11"/>
  <c r="I72" i="11" s="1"/>
  <c r="K72" i="11" s="1"/>
  <c r="G32" i="11"/>
  <c r="I32" i="11" s="1"/>
  <c r="K32" i="11" s="1"/>
  <c r="G416" i="11"/>
  <c r="I416" i="11" s="1"/>
  <c r="K416" i="11" s="1"/>
  <c r="G94" i="11"/>
  <c r="I94" i="11" s="1"/>
  <c r="K94" i="11" s="1"/>
  <c r="G54" i="11"/>
  <c r="I54" i="11" s="1"/>
  <c r="K54" i="11" s="1"/>
  <c r="G74" i="11"/>
  <c r="I74" i="11" s="1"/>
  <c r="K74" i="11" s="1"/>
  <c r="G34" i="11"/>
  <c r="I34" i="11" s="1"/>
  <c r="K34" i="11" s="1"/>
  <c r="N1365" i="10"/>
  <c r="N1361" i="10"/>
  <c r="N1313" i="10"/>
  <c r="N1303" i="10"/>
  <c r="N1284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C274" i="29" s="1"/>
  <c r="D274" i="29" s="1"/>
  <c r="E27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C266" i="29" s="1"/>
  <c r="D266" i="29" s="1"/>
  <c r="E266" i="29" s="1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N1447" i="10"/>
  <c r="N1443" i="10"/>
  <c r="N1439" i="10"/>
  <c r="N1438" i="10"/>
  <c r="N1402" i="10"/>
  <c r="N1398" i="10"/>
  <c r="N1396" i="10"/>
  <c r="N1393" i="10"/>
  <c r="N1382" i="10"/>
  <c r="C306" i="29"/>
  <c r="D306" i="29" s="1"/>
  <c r="F306" i="29" s="1"/>
  <c r="N1435" i="10"/>
  <c r="C232" i="29"/>
  <c r="D232" i="29" s="1"/>
  <c r="E232" i="29" s="1"/>
  <c r="C229" i="29"/>
  <c r="D229" i="29" s="1"/>
  <c r="E229" i="29" s="1"/>
  <c r="C288" i="29"/>
  <c r="D288" i="29" s="1"/>
  <c r="F288" i="29" s="1"/>
  <c r="C321" i="29"/>
  <c r="D321" i="29" s="1"/>
  <c r="F321" i="29" s="1"/>
  <c r="C233" i="29"/>
  <c r="D233" i="29" s="1"/>
  <c r="E233" i="29" s="1"/>
  <c r="C303" i="29"/>
  <c r="D303" i="29" s="1"/>
  <c r="E303" i="29" s="1"/>
  <c r="C239" i="29"/>
  <c r="D239" i="29" s="1"/>
  <c r="C249" i="29"/>
  <c r="D249" i="29" s="1"/>
  <c r="E249" i="29" s="1"/>
  <c r="C311" i="29"/>
  <c r="D311" i="29" s="1"/>
  <c r="F311" i="29" s="1"/>
  <c r="C281" i="29"/>
  <c r="D281" i="29" s="1"/>
  <c r="F281" i="29" s="1"/>
  <c r="C304" i="29"/>
  <c r="D304" i="29" s="1"/>
  <c r="E304" i="29" s="1"/>
  <c r="C240" i="29"/>
  <c r="D240" i="29" s="1"/>
  <c r="E240" i="29" s="1"/>
  <c r="C260" i="29"/>
  <c r="D260" i="29" s="1"/>
  <c r="F260" i="29" s="1"/>
  <c r="C283" i="29"/>
  <c r="D283" i="29" s="1"/>
  <c r="E283" i="29" s="1"/>
  <c r="C305" i="29"/>
  <c r="D305" i="29" s="1"/>
  <c r="E305" i="29" s="1"/>
  <c r="C309" i="29"/>
  <c r="D309" i="29" s="1"/>
  <c r="F309" i="29" s="1"/>
  <c r="C265" i="29"/>
  <c r="D265" i="29" s="1"/>
  <c r="F265" i="29" s="1"/>
  <c r="C318" i="29"/>
  <c r="D318" i="29" s="1"/>
  <c r="E318" i="29" s="1"/>
  <c r="C282" i="29"/>
  <c r="D282" i="29" s="1"/>
  <c r="F282" i="29" s="1"/>
  <c r="C290" i="29"/>
  <c r="D290" i="29" s="1"/>
  <c r="E290" i="29" s="1"/>
  <c r="C243" i="29"/>
  <c r="D243" i="29" s="1"/>
  <c r="F243" i="29" s="1"/>
  <c r="C234" i="29"/>
  <c r="D234" i="29" s="1"/>
  <c r="E234" i="29" s="1"/>
  <c r="C253" i="29"/>
  <c r="D253" i="29" s="1"/>
  <c r="E253" i="29" s="1"/>
  <c r="C277" i="29"/>
  <c r="D277" i="29" s="1"/>
  <c r="F277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61" i="11"/>
  <c r="I461" i="11"/>
  <c r="K444" i="11" l="1"/>
  <c r="K445" i="11"/>
  <c r="I90" i="11"/>
  <c r="H90" i="11"/>
  <c r="I89" i="11"/>
  <c r="H89" i="11"/>
  <c r="J65" i="11"/>
  <c r="H65" i="11"/>
  <c r="I64" i="11"/>
  <c r="H64" i="11"/>
  <c r="H68" i="11"/>
  <c r="I68" i="11"/>
  <c r="I61" i="11"/>
  <c r="J61" i="11"/>
  <c r="I49" i="11"/>
  <c r="H49" i="11"/>
  <c r="C299" i="29"/>
  <c r="D299" i="29" s="1"/>
  <c r="E299" i="29" s="1"/>
  <c r="C302" i="29"/>
  <c r="D302" i="29" s="1"/>
  <c r="E302" i="29" s="1"/>
  <c r="C268" i="29"/>
  <c r="D268" i="29" s="1"/>
  <c r="F268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E313" i="29" s="1"/>
  <c r="C276" i="29"/>
  <c r="D276" i="29" s="1"/>
  <c r="F276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94" i="29"/>
  <c r="D294" i="29" s="1"/>
  <c r="E294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296" i="29"/>
  <c r="E321" i="29"/>
  <c r="E288" i="29"/>
  <c r="E306" i="29"/>
  <c r="E243" i="29"/>
  <c r="F234" i="29"/>
  <c r="E311" i="29"/>
  <c r="F310" i="29"/>
  <c r="F266" i="29"/>
  <c r="F274" i="29"/>
  <c r="E324" i="29"/>
  <c r="F303" i="29"/>
  <c r="E239" i="29"/>
  <c r="E277" i="29"/>
  <c r="E236" i="29"/>
  <c r="E265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51" i="29"/>
  <c r="F250" i="29"/>
  <c r="F263" i="29"/>
  <c r="F275" i="29"/>
  <c r="F298" i="29"/>
  <c r="E309" i="29"/>
  <c r="F240" i="29"/>
  <c r="F283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61" i="11"/>
  <c r="F271" i="29" l="1"/>
  <c r="E276" i="29"/>
  <c r="E285" i="29"/>
  <c r="K90" i="11"/>
  <c r="I460" i="11"/>
  <c r="I463" i="11" s="1"/>
  <c r="I464" i="11" s="1"/>
  <c r="J460" i="11"/>
  <c r="K89" i="11"/>
  <c r="K64" i="11"/>
  <c r="K65" i="11"/>
  <c r="F284" i="29"/>
  <c r="F308" i="29"/>
  <c r="H460" i="11"/>
  <c r="K68" i="11"/>
  <c r="K49" i="11"/>
  <c r="K61" i="11"/>
  <c r="F302" i="29"/>
  <c r="E267" i="29"/>
  <c r="E280" i="29"/>
  <c r="F279" i="29"/>
  <c r="E300" i="29"/>
  <c r="F244" i="29"/>
  <c r="E247" i="29"/>
  <c r="E245" i="29"/>
  <c r="E273" i="29"/>
  <c r="F256" i="29"/>
  <c r="E227" i="29"/>
  <c r="E268" i="29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94" i="29" l="1"/>
  <c r="K460" i="11"/>
  <c r="H463" i="11"/>
  <c r="H464" i="11" s="1"/>
  <c r="F289" i="29"/>
  <c r="F337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I46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H465" i="11" l="1"/>
  <c r="K463" i="11"/>
  <c r="K464" i="11" s="1"/>
  <c r="K465" i="11" s="1"/>
  <c r="B46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463" i="11"/>
  <c r="J4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779" i="41"/>
  <c r="F827" i="41"/>
  <c r="K35" i="39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E17" i="41" l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<sst xmlns="http://schemas.openxmlformats.org/spreadsheetml/2006/main" count="5224" uniqueCount="1671">
  <si>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</si>
  <si>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</si>
  <si>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</si>
  <si>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</si>
  <si>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</si>
  <si>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</si>
  <si>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</si>
  <si>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</si>
  <si>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</si>
  <si>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</si>
  <si>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</si>
  <si>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</si>
  <si>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</si>
  <si>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</si>
  <si>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</si>
  <si>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</si>
  <si>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</si>
  <si>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</si>
  <si>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</si>
  <si>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</si>
  <si>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</si>
  <si>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</si>
  <si>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</si>
  <si>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</si>
  <si>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</si>
  <si>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</si>
  <si>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</si>
  <si>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</si>
  <si>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</si>
  <si>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</si>
  <si>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</si>
  <si>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</si>
  <si>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</si>
  <si>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</si>
  <si>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</si>
  <si>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</si>
  <si>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</si>
  <si>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</si>
  <si>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</si>
  <si>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</si>
  <si>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</si>
  <si>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</si>
  <si>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</si>
  <si>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</si>
  <si>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</si>
  <si>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</si>
  <si>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</si>
  <si>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</si>
  <si>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</si>
  <si>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</si>
  <si>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</si>
  <si>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</si>
  <si>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</si>
  <si>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</si>
  <si>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</si>
  <si>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</si>
  <si>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</si>
  <si>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</si>
  <si>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</si>
  <si>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</si>
  <si>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</si>
  <si>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</si>
  <si>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</si>
  <si>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</si>
  <si>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</si>
  <si>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</si>
  <si>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</si>
  <si>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</si>
  <si>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</si>
  <si>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</si>
  <si>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</si>
  <si>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</si>
  <si>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</si>
  <si>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</si>
  <si>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</si>
  <si>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</si>
  <si>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</si>
  <si>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</si>
  <si>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</si>
  <si>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</si>
  <si>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</si>
  <si>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</si>
  <si>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</si>
  <si>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</si>
  <si>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</si>
  <si>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</si>
  <si>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</si>
  <si>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</si>
  <si>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</si>
  <si>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</si>
  <si>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</si>
  <si>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</si>
  <si>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</si>
  <si>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</si>
  <si>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</si>
  <si>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</si>
  <si>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</si>
  <si>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</si>
  <si>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</si>
  <si>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</si>
  <si>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</si>
  <si>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</si>
  <si>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</si>
  <si>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</si>
  <si>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</si>
  <si>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</si>
  <si>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</si>
  <si>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</si>
  <si>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</si>
  <si>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</si>
  <si>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</si>
  <si>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</si>
  <si>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</si>
  <si>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</si>
  <si>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</si>
  <si>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</si>
  <si>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</si>
  <si>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</si>
  <si>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</si>
  <si>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</si>
  <si>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</si>
  <si>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</si>
  <si>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</si>
  <si>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</si>
  <si>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</si>
  <si>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</si>
  <si>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</si>
  <si>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</si>
  <si>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</si>
  <si>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</si>
  <si>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</si>
  <si>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</si>
  <si>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</si>
  <si>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</si>
  <si>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</si>
  <si>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</si>
  <si>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</si>
  <si>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</si>
  <si>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</si>
  <si>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</si>
  <si>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</si>
  <si>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</si>
  <si>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</si>
  <si>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</si>
  <si>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</si>
  <si>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</si>
  <si>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</si>
  <si>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</si>
  <si>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</si>
  <si>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</si>
  <si>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</si>
  <si>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</si>
  <si>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</si>
  <si>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</si>
  <si>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</si>
  <si>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</si>
  <si>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</si>
  <si>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</si>
  <si>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</si>
  <si>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</si>
  <si>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</si>
  <si>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</si>
  <si>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</si>
  <si>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</si>
  <si>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</si>
  <si>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</si>
  <si>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</si>
  <si>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</si>
  <si>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</si>
  <si>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</si>
  <si>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</si>
  <si>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</si>
  <si>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</si>
  <si>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</si>
  <si>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</si>
  <si>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</si>
  <si>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</si>
  <si>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</si>
  <si>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</si>
  <si>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</si>
  <si>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</si>
  <si>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</si>
  <si>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</si>
  <si>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</si>
  <si>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</si>
  <si>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</si>
  <si>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</si>
  <si>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</si>
  <si>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</si>
  <si>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</si>
  <si>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</si>
  <si>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</si>
  <si>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</si>
  <si>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</si>
  <si>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</si>
  <si>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</si>
  <si>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</si>
  <si>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</si>
  <si>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</si>
  <si>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</si>
  <si>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</si>
  <si>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</si>
  <si>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</si>
  <si>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</si>
  <si>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</si>
  <si>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</si>
  <si>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</si>
  <si>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</si>
  <si>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</si>
  <si>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</si>
  <si>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</si>
  <si>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</si>
  <si>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</si>
  <si>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</si>
  <si>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</si>
  <si>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</si>
  <si>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</si>
  <si>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</si>
  <si>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</si>
  <si>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</si>
  <si>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</si>
  <si>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</si>
  <si>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</si>
  <si>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</si>
  <si>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</si>
  <si>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</si>
  <si>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</si>
  <si>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</si>
  <si>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</si>
  <si>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</si>
  <si>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</si>
  <si>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</si>
  <si>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</si>
  <si>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</si>
  <si>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</si>
  <si>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</si>
  <si>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</si>
  <si>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</si>
  <si>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</si>
  <si>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</si>
  <si>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</si>
  <si>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</si>
  <si>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</si>
  <si>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</si>
  <si>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</si>
  <si>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</si>
  <si>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</si>
  <si>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</si>
  <si>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</si>
  <si>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</si>
  <si>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</si>
  <si>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</si>
  <si>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</si>
  <si>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</si>
  <si>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</si>
  <si>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</si>
  <si>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</si>
  <si>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</si>
  <si>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</si>
  <si>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</si>
  <si>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</si>
  <si>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</si>
  <si>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</si>
  <si>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</si>
  <si>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</si>
  <si>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</si>
  <si>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</si>
  <si>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</si>
  <si>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</si>
  <si>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</si>
  <si>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</si>
  <si>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</si>
  <si>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</si>
  <si>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</si>
  <si>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</si>
  <si>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</si>
  <si>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</si>
  <si>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</si>
  <si>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</si>
  <si>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</si>
  <si>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</si>
  <si>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</si>
  <si>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</si>
  <si>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</si>
  <si>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</si>
  <si>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</si>
  <si>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</si>
  <si>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</si>
  <si>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</si>
  <si>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</si>
  <si>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</si>
  <si>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</si>
  <si>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</si>
  <si>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</si>
  <si>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</si>
  <si>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</si>
  <si>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</si>
  <si>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</si>
  <si>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</si>
  <si>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</si>
  <si>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</si>
  <si>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</si>
  <si>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</si>
  <si>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</si>
  <si>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</si>
  <si>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</si>
  <si>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</si>
  <si>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</si>
  <si>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</si>
  <si>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</si>
  <si>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</si>
  <si>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</si>
  <si>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</si>
  <si>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</si>
  <si>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</si>
  <si>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</si>
  <si>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</si>
  <si>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</si>
  <si>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</si>
  <si>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</si>
  <si>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</si>
  <si>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</si>
  <si>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</si>
  <si>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</si>
  <si>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</si>
  <si>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</si>
  <si>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</si>
  <si>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</si>
  <si>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</si>
  <si>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</si>
  <si>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</si>
  <si>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</si>
  <si>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</si>
  <si>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</si>
  <si>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</si>
  <si>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</si>
  <si>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</si>
  <si>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</si>
  <si>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</si>
  <si>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</si>
  <si>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</si>
  <si>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</si>
  <si>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</si>
  <si>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</si>
  <si>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</si>
  <si>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</si>
  <si>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</si>
  <si>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</si>
  <si>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</si>
  <si>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</si>
  <si>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</si>
  <si>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</si>
  <si>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</si>
  <si>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</si>
  <si>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</si>
  <si>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</si>
  <si>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</si>
  <si>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</si>
  <si>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</si>
  <si>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</si>
  <si>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</si>
  <si>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</si>
  <si>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</si>
  <si>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</si>
  <si>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</si>
  <si>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</si>
  <si>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</si>
  <si>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</si>
  <si>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</si>
  <si>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</si>
  <si>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</si>
  <si>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</si>
  <si>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</si>
  <si>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</si>
  <si>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</si>
  <si>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</si>
  <si>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</si>
  <si>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</si>
  <si>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</si>
  <si>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</si>
  <si>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</si>
  <si>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</si>
  <si>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</si>
  <si>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</si>
  <si>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</si>
  <si>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</si>
  <si>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</si>
  <si>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</si>
  <si>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</si>
  <si>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</si>
  <si>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</si>
  <si>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</si>
  <si>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</si>
  <si>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</si>
  <si>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</si>
  <si>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</si>
  <si>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</si>
  <si>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</si>
  <si>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</si>
  <si>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</si>
  <si>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</si>
  <si>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</si>
  <si>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</si>
  <si>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</si>
  <si>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</si>
  <si>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</si>
  <si>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</si>
  <si>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</si>
  <si>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</si>
  <si>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</si>
  <si>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</si>
  <si>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</si>
  <si>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</si>
  <si>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</si>
  <si>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</si>
  <si>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</si>
  <si>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</si>
  <si>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</si>
  <si>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</si>
  <si>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</si>
  <si>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</si>
  <si>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</si>
  <si>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</si>
  <si>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</si>
  <si>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</si>
  <si>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</si>
  <si>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</si>
  <si>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</si>
  <si>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</si>
  <si>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</si>
  <si>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</si>
  <si>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</si>
  <si>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</si>
  <si>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</si>
  <si>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</si>
  <si>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</si>
  <si>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</si>
  <si>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</si>
  <si>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</si>
  <si>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</si>
  <si>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</si>
  <si>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</si>
  <si>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</si>
  <si>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</si>
  <si>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</si>
  <si>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</si>
  <si>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</si>
  <si>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</si>
  <si>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</si>
  <si>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</si>
  <si>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</si>
  <si>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</si>
  <si>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</si>
  <si>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</si>
  <si>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</si>
  <si>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</si>
  <si>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</si>
  <si>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</si>
  <si>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</si>
  <si>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</si>
  <si>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</si>
  <si>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</si>
  <si>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</si>
  <si>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</si>
  <si>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</si>
  <si>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</si>
  <si>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</si>
  <si>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</si>
  <si>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</si>
  <si>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</si>
  <si>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</si>
  <si>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</si>
  <si>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</si>
  <si>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</si>
  <si>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</si>
  <si>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</si>
  <si>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</si>
  <si>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</si>
  <si>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</si>
  <si>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</si>
  <si>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</si>
  <si>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</si>
  <si>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</si>
  <si>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</si>
  <si>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</si>
  <si>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</si>
  <si>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</si>
  <si>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</si>
  <si>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</si>
  <si>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</si>
  <si>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</si>
  <si>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</si>
  <si>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</si>
  <si>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</si>
  <si>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</si>
  <si>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</si>
  <si>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</si>
  <si>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</si>
  <si>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</si>
  <si>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</si>
  <si>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</si>
  <si>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</si>
  <si>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</si>
  <si>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</si>
  <si>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</si>
  <si>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</si>
  <si>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</si>
  <si>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</si>
  <si>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</si>
  <si>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</si>
  <si>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</si>
  <si>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</si>
  <si>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</si>
  <si>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</si>
  <si>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</si>
  <si>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</si>
  <si>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</si>
  <si>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</si>
  <si>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</si>
  <si>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</si>
  <si>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</si>
  <si>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</si>
  <si>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</si>
  <si>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</si>
  <si>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</si>
  <si>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</si>
  <si>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</si>
  <si>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</si>
  <si>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</si>
  <si>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</si>
  <si>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</si>
  <si>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</si>
  <si>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</si>
  <si>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</si>
  <si>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</si>
  <si>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</si>
  <si>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</si>
  <si>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</si>
  <si>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</si>
  <si>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</si>
  <si>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</si>
  <si>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</si>
  <si>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</si>
  <si>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</si>
  <si>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</si>
  <si>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</si>
  <si>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</si>
  <si>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</si>
  <si>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</si>
  <si>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</si>
  <si>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</si>
  <si>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</si>
  <si>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</si>
  <si>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</si>
  <si>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</si>
  <si>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</si>
  <si>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</si>
  <si>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</si>
  <si>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</si>
  <si>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</si>
  <si>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</si>
  <si>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</si>
  <si>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</si>
  <si>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</si>
  <si>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</si>
  <si>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</si>
  <si>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</si>
  <si>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</si>
  <si>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</si>
  <si>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</si>
  <si>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</si>
  <si>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</si>
  <si>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</si>
  <si>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</si>
  <si>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</si>
  <si>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</si>
  <si>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</si>
  <si>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</si>
  <si>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</si>
  <si>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</si>
  <si>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</si>
  <si>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</si>
  <si>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</si>
  <si>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</si>
  <si>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</si>
  <si>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</si>
  <si>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</si>
  <si>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</si>
  <si>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</si>
  <si>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</si>
  <si>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</si>
  <si>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</si>
  <si>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</si>
  <si>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</si>
  <si>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</si>
  <si>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</si>
  <si>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</si>
  <si>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</si>
  <si>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</si>
  <si>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</si>
  <si>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</si>
  <si>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</si>
  <si>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</si>
  <si>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</si>
  <si>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</si>
  <si>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</si>
  <si>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</si>
  <si>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</si>
  <si>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</si>
  <si>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</si>
  <si>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</si>
  <si>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</si>
  <si>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</si>
  <si>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</si>
  <si>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</si>
  <si>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</si>
  <si>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</si>
  <si>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</si>
  <si>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</si>
  <si>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</si>
  <si>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</si>
  <si>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</si>
  <si>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</si>
  <si>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</si>
  <si>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</si>
  <si>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</si>
  <si>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</si>
  <si>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</si>
  <si>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</si>
  <si>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</si>
  <si>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</si>
  <si>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</si>
  <si>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</si>
  <si>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</si>
  <si>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</si>
  <si>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</si>
  <si>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</si>
  <si>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</si>
  <si>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</si>
  <si>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</si>
  <si>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</si>
  <si>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</si>
  <si>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</si>
  <si>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</si>
  <si>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</si>
  <si>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</si>
  <si>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</si>
  <si>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</si>
  <si>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</si>
  <si>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</si>
  <si>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</si>
  <si>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</si>
  <si>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</si>
  <si>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</si>
  <si>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</si>
  <si>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</si>
  <si>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</si>
  <si>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</si>
  <si>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</si>
  <si>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</si>
  <si>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</si>
  <si>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</si>
  <si>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</si>
  <si>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</si>
  <si>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</si>
  <si>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</si>
  <si>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</si>
  <si>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</si>
  <si>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</si>
  <si>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</si>
  <si>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</si>
  <si>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</si>
  <si>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</si>
  <si>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</si>
  <si>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</si>
  <si>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</si>
  <si>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</si>
  <si>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</si>
  <si>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</si>
  <si>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</si>
  <si>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</si>
  <si>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</si>
  <si>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</si>
  <si>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</si>
  <si>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</si>
  <si>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</si>
  <si>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</si>
  <si>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</si>
  <si>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</si>
  <si>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</si>
  <si>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</si>
  <si>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</si>
  <si>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</si>
  <si>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</si>
  <si>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</si>
  <si>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</si>
  <si>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</si>
  <si>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</si>
  <si>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</si>
  <si>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</si>
  <si>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</si>
  <si>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</si>
  <si>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</si>
  <si>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</si>
  <si>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</si>
  <si>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</si>
  <si>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</si>
  <si>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</si>
  <si>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</si>
  <si>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</si>
  <si>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</si>
  <si>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</si>
  <si>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</si>
  <si>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</si>
  <si>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</si>
  <si>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</si>
  <si>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</si>
  <si>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</si>
  <si>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</si>
  <si>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</si>
  <si>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</si>
  <si>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</si>
  <si>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</si>
  <si>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</si>
  <si>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</si>
  <si>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</si>
  <si>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</si>
  <si>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</si>
  <si>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</si>
  <si>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</si>
  <si>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</si>
  <si>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</si>
  <si>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</si>
  <si>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</si>
  <si>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</si>
  <si>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</si>
  <si>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</si>
  <si>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</si>
  <si>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</si>
  <si>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</si>
  <si>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</si>
  <si>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</si>
  <si>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</si>
  <si>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</si>
  <si>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</si>
  <si>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</si>
  <si>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</si>
  <si>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</si>
  <si>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</si>
  <si>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</si>
  <si>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</si>
  <si>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</si>
  <si>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</si>
  <si>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</si>
  <si>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</si>
  <si>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</si>
  <si>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</si>
  <si>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</si>
  <si>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</si>
  <si>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</si>
  <si>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</si>
  <si>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</si>
  <si>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</si>
  <si>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</si>
  <si>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</si>
  <si>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</si>
  <si>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</si>
  <si>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</si>
  <si>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</si>
  <si>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</si>
  <si>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</si>
  <si>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</si>
  <si>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</si>
  <si>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</si>
  <si>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</si>
  <si>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</si>
  <si>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</si>
  <si>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</si>
  <si>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</si>
  <si>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</si>
  <si>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</si>
  <si>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</si>
  <si>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</si>
  <si>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</si>
  <si>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</si>
  <si>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</si>
  <si>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</si>
  <si>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</si>
  <si>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</si>
  <si>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</si>
  <si>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</si>
  <si>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</si>
  <si>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</si>
  <si>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</si>
  <si>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</si>
  <si>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</si>
  <si>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</si>
  <si>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</si>
  <si>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</si>
  <si>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</si>
  <si>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</si>
  <si>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</si>
  <si>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</si>
  <si>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</si>
  <si>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</si>
  <si>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</si>
  <si>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</si>
  <si>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</si>
  <si>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</si>
  <si>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</si>
  <si>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</si>
  <si>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</si>
  <si>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</si>
  <si>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</si>
  <si>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</si>
  <si>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</si>
  <si>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</si>
  <si>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</si>
  <si>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</si>
  <si>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</si>
  <si>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</si>
  <si>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</si>
  <si>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</si>
  <si>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</si>
  <si>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</si>
  <si>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</si>
  <si>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</si>
  <si>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</si>
  <si>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</si>
  <si>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</si>
  <si>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</si>
  <si>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</si>
  <si>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</si>
  <si>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</si>
  <si>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</si>
  <si>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</si>
  <si>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</si>
  <si>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</si>
  <si>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</si>
  <si>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</si>
  <si>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</si>
  <si>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</si>
  <si>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</si>
  <si>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</si>
  <si>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</si>
  <si>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</si>
  <si>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</si>
  <si>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</si>
  <si>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</si>
  <si>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</si>
  <si>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</si>
  <si>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</si>
  <si>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</si>
  <si>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</si>
  <si>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</si>
  <si>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</si>
  <si>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</si>
  <si>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</si>
  <si>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</si>
  <si>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</si>
  <si>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</si>
  <si>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</si>
  <si>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</si>
  <si>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</si>
  <si>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</si>
  <si>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</si>
  <si>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</si>
  <si>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</si>
  <si>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</si>
  <si>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</si>
  <si>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</si>
  <si>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</si>
  <si>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</si>
  <si>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</si>
  <si>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</si>
  <si>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</si>
  <si>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</si>
  <si>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</si>
  <si>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</si>
  <si>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</si>
  <si>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</si>
  <si>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</si>
  <si>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</si>
  <si>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</si>
  <si>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</si>
  <si>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</si>
  <si>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</si>
  <si>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</si>
  <si>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</si>
  <si>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</si>
  <si>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</si>
  <si>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</si>
  <si>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</si>
  <si>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</si>
  <si>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</si>
  <si>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</si>
  <si>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</si>
  <si>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</si>
  <si>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</si>
  <si>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</si>
  <si>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</si>
  <si>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</si>
  <si>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</si>
  <si>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</si>
  <si>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</si>
  <si>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</si>
  <si>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</si>
  <si>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</si>
  <si>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</si>
  <si>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</si>
  <si>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</si>
  <si>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</si>
  <si>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</si>
  <si>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</si>
  <si>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</si>
  <si>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</si>
  <si>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</si>
  <si>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</si>
  <si>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</si>
  <si>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</si>
  <si>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</si>
  <si>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</si>
  <si>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</si>
  <si>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</si>
  <si>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</si>
  <si>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</si>
  <si>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</si>
  <si>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</si>
  <si>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</si>
  <si>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</si>
  <si>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</si>
  <si>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</si>
  <si>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</si>
  <si>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</si>
  <si>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</si>
  <si>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</si>
  <si>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</si>
  <si>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</si>
  <si>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</si>
  <si>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</si>
  <si>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</si>
  <si>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</si>
  <si>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</si>
  <si>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</si>
  <si>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</si>
  <si>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</si>
  <si>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</si>
  <si>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</si>
  <si>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</si>
  <si>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</si>
  <si>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</si>
  <si>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</si>
  <si>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</si>
  <si>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</si>
  <si>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</si>
  <si>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</si>
  <si>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</si>
  <si>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</si>
  <si>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</si>
  <si>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</si>
  <si>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</si>
  <si>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</si>
  <si>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</si>
  <si>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</si>
  <si>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</si>
  <si>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</si>
  <si>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</si>
  <si>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</si>
  <si>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</si>
  <si>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</si>
  <si>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</si>
  <si>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</si>
  <si>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</si>
  <si>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</si>
  <si>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</si>
  <si>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</si>
  <si>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</si>
  <si>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</si>
  <si>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</si>
  <si>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</si>
  <si>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</si>
  <si>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</si>
  <si>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</si>
  <si>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</si>
  <si>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</si>
  <si>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</si>
  <si>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</si>
  <si>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</si>
  <si>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</si>
  <si>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</si>
  <si>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</si>
  <si>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</si>
  <si>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</si>
  <si>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</si>
  <si>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</si>
  <si>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</si>
  <si>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</si>
  <si>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</si>
  <si>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</si>
  <si>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</si>
  <si>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</si>
  <si>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</si>
  <si>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</si>
  <si>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</si>
  <si>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</si>
  <si>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</si>
  <si>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</si>
  <si>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</si>
  <si>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</si>
  <si>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</si>
  <si>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</si>
  <si>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</si>
  <si>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</si>
  <si>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</si>
  <si>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</si>
  <si>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</si>
  <si>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</si>
  <si>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</si>
  <si>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</si>
  <si>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</si>
  <si>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</si>
  <si>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</si>
  <si>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</si>
  <si>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</si>
  <si>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</si>
  <si>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</si>
  <si>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</si>
  <si>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</si>
  <si>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</si>
  <si>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</si>
  <si>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</si>
  <si>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</si>
  <si>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</si>
  <si>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</si>
  <si>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</si>
  <si>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</si>
  <si>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</si>
  <si>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</si>
  <si>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</si>
  <si>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</si>
  <si>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</si>
  <si>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</si>
  <si>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</si>
  <si>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</si>
  <si>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</si>
  <si>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</si>
  <si>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</si>
  <si>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</si>
  <si>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</si>
  <si>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</si>
  <si>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</si>
  <si>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</si>
  <si>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</si>
  <si>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</si>
  <si>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</si>
  <si>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</si>
  <si>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</si>
  <si>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</si>
  <si>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</si>
  <si>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</si>
  <si>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</si>
  <si>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</si>
  <si>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</si>
  <si>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</si>
  <si>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</si>
  <si>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</si>
  <si>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</si>
  <si>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</si>
  <si>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</si>
  <si>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</si>
  <si>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</si>
  <si>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</si>
  <si>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</si>
  <si>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</si>
  <si>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</si>
  <si>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</si>
  <si>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</si>
  <si>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</si>
  <si>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</si>
  <si>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</si>
  <si>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</si>
  <si>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</si>
  <si>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</si>
  <si>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</si>
  <si>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</si>
  <si>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</si>
  <si>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</si>
  <si>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</si>
  <si>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</si>
  <si>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</si>
  <si>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</si>
  <si>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</si>
  <si>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</si>
  <si>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</si>
  <si>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</si>
  <si>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</si>
  <si>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</si>
  <si>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</si>
  <si>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</si>
  <si>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</si>
  <si>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</si>
  <si>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</si>
  <si>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</si>
  <si>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</si>
  <si>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</si>
  <si>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</si>
  <si>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</si>
  <si>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</si>
  <si>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</si>
  <si>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</si>
  <si>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</si>
  <si>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</si>
  <si>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</si>
  <si>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</si>
  <si>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</si>
  <si>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</si>
  <si>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</si>
  <si>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</si>
  <si>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</si>
  <si>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</si>
  <si>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</si>
  <si>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</si>
  <si>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</si>
  <si>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</si>
  <si>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</si>
  <si>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</si>
  <si>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</si>
  <si>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</si>
  <si>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</si>
  <si>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</si>
  <si>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</si>
  <si>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</si>
  <si>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</si>
  <si>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</si>
  <si>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</si>
  <si>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</si>
  <si>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</si>
  <si>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</si>
  <si>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</si>
  <si>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</si>
  <si>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</si>
  <si>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</si>
  <si>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</si>
  <si>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</si>
  <si>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</si>
  <si>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</si>
  <si>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</si>
  <si>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</si>
  <si>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</si>
  <si>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</si>
  <si>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</si>
  <si>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</si>
  <si>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</si>
  <si>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</si>
  <si>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</si>
  <si>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</si>
  <si>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</si>
  <si>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</si>
  <si>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</si>
  <si>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</si>
  <si>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</si>
  <si>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</si>
  <si>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</si>
  <si>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</si>
  <si>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</si>
  <si>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</si>
  <si>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</si>
  <si>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</si>
  <si>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</si>
  <si>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</si>
  <si>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</si>
  <si>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</si>
  <si>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</si>
  <si>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</si>
  <si>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</si>
  <si>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</si>
  <si>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</si>
  <si>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</si>
  <si>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</si>
  <si>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</si>
  <si>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</si>
  <si>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</si>
  <si>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</si>
  <si>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</si>
  <si>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</si>
  <si>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</si>
  <si>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</si>
  <si>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</si>
  <si>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</si>
  <si>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</si>
  <si>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</si>
  <si>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</si>
  <si>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</si>
  <si>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</si>
  <si>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</si>
  <si>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</si>
  <si>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</si>
  <si>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</si>
  <si>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</si>
  <si>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</si>
  <si>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</si>
  <si>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</si>
  <si>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</si>
  <si>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</si>
  <si>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</si>
  <si>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</si>
  <si>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</si>
  <si>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</si>
  <si>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</si>
  <si>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</si>
  <si>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</si>
  <si>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</si>
  <si>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</si>
  <si>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</si>
  <si>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</si>
  <si>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</si>
  <si>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</si>
  <si>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</si>
  <si>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</si>
  <si>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</si>
  <si>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</si>
  <si>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</si>
  <si>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</si>
  <si>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</si>
  <si>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</si>
  <si>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</si>
  <si>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</si>
  <si>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</si>
  <si>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</si>
  <si>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</si>
  <si>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</si>
  <si>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</si>
  <si>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</si>
  <si>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</si>
  <si>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</si>
  <si>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</si>
  <si>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</si>
  <si>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</si>
  <si>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</si>
  <si>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</si>
  <si>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</si>
  <si>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</si>
  <si>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</si>
  <si>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</si>
  <si>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</si>
  <si>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</si>
  <si>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</si>
  <si>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</si>
  <si>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</si>
  <si>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</si>
  <si>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</si>
  <si>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</si>
  <si>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</si>
  <si>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</si>
  <si>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</si>
  <si>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</si>
  <si>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</si>
  <si>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</si>
  <si>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</si>
  <si>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</si>
  <si>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</si>
  <si>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</si>
  <si>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</si>
  <si>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</si>
  <si>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</si>
  <si>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</si>
  <si>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</si>
  <si>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</si>
  <si>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</si>
  <si>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</si>
  <si>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</si>
  <si>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</si>
  <si>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</si>
  <si>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</si>
  <si>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</si>
  <si>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</si>
  <si>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</si>
  <si>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</si>
  <si>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</si>
  <si>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</si>
  <si>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</si>
  <si>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</si>
  <si>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</si>
  <si>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</si>
  <si>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</si>
  <si>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</si>
  <si>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</si>
  <si>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</si>
  <si>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</si>
  <si>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</si>
  <si>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</si>
  <si>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</si>
  <si>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</si>
  <si>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</si>
  <si>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</si>
  <si>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</si>
  <si>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</si>
  <si>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</si>
  <si>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</si>
  <si>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</si>
  <si>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</si>
  <si>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</si>
  <si>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</si>
  <si>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</si>
  <si>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</si>
  <si>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</si>
  <si>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</si>
  <si>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</si>
  <si>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</si>
  <si>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</si>
  <si>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</si>
  <si>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</si>
  <si>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</si>
  <si>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</si>
  <si>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</si>
  <si>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</si>
  <si>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</si>
  <si>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</si>
  <si>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</si>
  <si>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</si>
  <si>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</si>
  <si>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</si>
  <si>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</si>
  <si>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</si>
  <si>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</si>
  <si>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</si>
  <si>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</si>
  <si>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</si>
  <si>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</si>
  <si>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</si>
  <si>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</si>
  <si>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</si>
  <si>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</si>
  <si>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</si>
  <si>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</si>
  <si>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</si>
  <si>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</si>
  <si>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</si>
  <si>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</si>
  <si>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</si>
  <si>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</si>
  <si>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</si>
  <si>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</si>
  <si>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</si>
  <si>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</si>
  <si>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</si>
  <si>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</si>
  <si>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</si>
  <si>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</si>
  <si>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</si>
  <si>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</si>
  <si>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</si>
  <si>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</si>
  <si>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</si>
  <si>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</si>
  <si>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</si>
  <si>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</si>
  <si>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</si>
  <si>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</si>
  <si>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</si>
  <si>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</si>
  <si>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</si>
  <si>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</si>
  <si>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</si>
  <si>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</si>
  <si>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</si>
  <si>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</si>
  <si>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</si>
  <si>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</si>
  <si>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</si>
  <si>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</si>
  <si>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</si>
  <si>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</si>
  <si>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</si>
  <si>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</si>
  <si>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</si>
  <si>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</si>
  <si>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</si>
  <si>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</si>
  <si>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</si>
  <si>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</si>
  <si>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</si>
  <si>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</si>
  <si>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</si>
  <si>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</si>
  <si>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</si>
  <si>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</si>
  <si>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</si>
  <si>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</si>
  <si>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</si>
  <si>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</si>
  <si>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</si>
  <si>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</si>
  <si>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</si>
  <si>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</si>
  <si>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</si>
  <si>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</si>
  <si>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</si>
  <si>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</si>
  <si>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</si>
  <si>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</si>
  <si>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</si>
  <si>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</si>
  <si>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</si>
  <si>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</si>
  <si>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</si>
  <si>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</si>
  <si>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</si>
  <si>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</si>
  <si>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</si>
  <si>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</si>
  <si>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</si>
  <si>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</si>
  <si>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</si>
  <si>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</si>
  <si>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</si>
  <si>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</si>
  <si>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</si>
  <si>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</si>
  <si>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</si>
  <si>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</si>
  <si>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</si>
  <si>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</si>
  <si>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</si>
  <si>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</si>
  <si>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</si>
  <si>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</si>
  <si>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</si>
  <si>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</si>
  <si>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</si>
  <si>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</si>
  <si>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</si>
  <si>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</si>
  <si>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</si>
  <si>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</si>
  <si>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</si>
  <si>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</si>
  <si>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</si>
  <si>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</si>
  <si>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</si>
  <si>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</si>
  <si>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</si>
  <si>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</si>
  <si>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</si>
  <si>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</si>
  <si>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</si>
  <si>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</si>
  <si>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</si>
  <si>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</si>
  <si>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</si>
  <si>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</si>
  <si>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</si>
  <si>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</si>
  <si>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</si>
  <si>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</si>
  <si>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</si>
  <si>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</si>
  <si>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</si>
  <si>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</si>
  <si>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</si>
  <si>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</si>
  <si>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</si>
  <si>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</si>
  <si>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</si>
  <si>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</si>
  <si>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</si>
  <si>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</si>
  <si>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</si>
  <si>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</si>
  <si>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</si>
  <si>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</si>
  <si>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</si>
  <si>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</si>
  <si>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</si>
  <si>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</si>
  <si>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</si>
  <si>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</si>
  <si>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</si>
  <si>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</si>
  <si>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</si>
  <si>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</si>
  <si>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</si>
  <si>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</si>
  <si>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</si>
  <si>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</si>
  <si>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</si>
  <si>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</si>
  <si>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</si>
  <si>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</si>
  <si>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</si>
  <si>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</si>
  <si>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</si>
  <si>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</si>
  <si>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</si>
  <si>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</si>
  <si>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</si>
  <si>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</si>
  <si>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</si>
  <si>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</si>
  <si>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</si>
  <si>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</si>
  <si>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</si>
  <si>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</si>
  <si>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</si>
  <si>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</si>
  <si>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</si>
  <si>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</si>
  <si>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</si>
  <si>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</si>
  <si>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</si>
  <si>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</si>
  <si>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</si>
  <si>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</si>
  <si>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</si>
  <si>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</si>
  <si>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</si>
  <si>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</si>
  <si>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</si>
  <si>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</si>
  <si>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</si>
  <si>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</si>
  <si>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</si>
  <si>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</si>
  <si>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</si>
  <si>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</si>
  <si>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</si>
  <si>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</si>
  <si>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</si>
  <si>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</si>
  <si>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</si>
  <si>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</si>
  <si>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</si>
  <si>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</si>
  <si>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</si>
  <si>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</si>
  <si>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</si>
  <si>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</si>
  <si>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</si>
  <si>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</si>
  <si>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</si>
  <si>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</si>
  <si>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</si>
  <si>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</si>
  <si>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</si>
  <si>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</si>
  <si>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</si>
  <si>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</si>
  <si>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</si>
  <si>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</si>
  <si>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</si>
  <si>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</si>
  <si>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</si>
  <si>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</si>
  <si>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</si>
  <si>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</si>
  <si>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</si>
  <si>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</si>
  <si>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</si>
  <si>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</si>
  <si>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</si>
  <si>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</si>
  <si>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</si>
  <si>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</si>
  <si>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</si>
  <si>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</si>
  <si>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</si>
  <si>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</si>
  <si>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</si>
  <si>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</si>
  <si>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</si>
  <si>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</si>
  <si>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</si>
  <si>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</si>
  <si>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</si>
  <si>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</si>
  <si>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</si>
  <si>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</si>
  <si>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</si>
  <si>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</si>
  <si>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</si>
  <si>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</si>
  <si>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</si>
  <si>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</si>
  <si>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</si>
  <si>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</si>
  <si>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</si>
  <si>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</si>
  <si>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</si>
  <si>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</si>
  <si>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</si>
  <si>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</si>
  <si>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</si>
  <si>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</si>
  <si>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</si>
  <si>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</si>
  <si>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</si>
  <si>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</si>
  <si>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</si>
  <si>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</si>
  <si>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</si>
  <si>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</si>
  <si>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</si>
  <si>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</si>
  <si>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</si>
  <si>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</si>
  <si>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</si>
  <si>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</si>
  <si>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</si>
  <si>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</si>
  <si>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</si>
  <si>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</si>
  <si>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</si>
  <si>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</si>
  <si>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</si>
  <si>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</si>
  <si>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</si>
  <si>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</si>
  <si>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</si>
  <si>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</si>
  <si>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</si>
  <si>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</si>
  <si>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</si>
  <si>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</si>
  <si>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KONDUKTOR</t>
  </si>
  <si>
    <t>DS SURODADI KEC SAYUNG</t>
  </si>
  <si>
    <t>Pemasangan APP 3 Fasa Di Bangunan</t>
  </si>
  <si>
    <t>CC7</t>
  </si>
  <si>
    <t>CE1-3</t>
  </si>
  <si>
    <t>F1-3</t>
  </si>
  <si>
    <t>CM2-12</t>
  </si>
  <si>
    <t>CG312A</t>
  </si>
  <si>
    <t>CM2-12A</t>
  </si>
  <si>
    <t>UNIT</t>
  </si>
  <si>
    <t>A3C 70</t>
  </si>
  <si>
    <t>CM5-5</t>
  </si>
  <si>
    <t>NUR CAHYO</t>
  </si>
  <si>
    <t>I2</t>
  </si>
  <si>
    <t>KOORDINAT : -6.934634, 110.572923</t>
  </si>
  <si>
    <t>CC8A</t>
  </si>
  <si>
    <t>CC8</t>
  </si>
  <si>
    <t>CA5</t>
  </si>
  <si>
    <t>CC1-A</t>
  </si>
  <si>
    <t>CC2-A</t>
  </si>
  <si>
    <t>P12C-2</t>
  </si>
  <si>
    <t>MTR</t>
  </si>
  <si>
    <t>C12-350 dAN</t>
  </si>
  <si>
    <t>C12-200 dAN</t>
  </si>
  <si>
    <t>C9-200 dAN</t>
  </si>
  <si>
    <t>CE2-3</t>
  </si>
  <si>
    <t>CJ6-T</t>
  </si>
  <si>
    <t>SYG01-77/20/1</t>
  </si>
  <si>
    <t>SYG01</t>
  </si>
  <si>
    <t>FDG</t>
  </si>
  <si>
    <t>CM5-9</t>
  </si>
  <si>
    <t>CM5-6</t>
  </si>
  <si>
    <t>C11-100</t>
  </si>
  <si>
    <t>CA1</t>
  </si>
  <si>
    <t>GAMBAR 1</t>
  </si>
  <si>
    <t>CC8-A</t>
  </si>
  <si>
    <t>1 PHASE</t>
  </si>
  <si>
    <t>SCHOOR</t>
  </si>
  <si>
    <t>PROTEKSI</t>
  </si>
  <si>
    <t>PENJUMPERAN</t>
  </si>
  <si>
    <t>GROUNDING NETRAL</t>
  </si>
  <si>
    <t>GAMBAR 2</t>
  </si>
  <si>
    <t>PEMBONGKARAN</t>
  </si>
  <si>
    <t>CAT : Netral pakai kabel lama</t>
  </si>
  <si>
    <t>JTR</t>
  </si>
  <si>
    <t>CONDUKTOR</t>
  </si>
  <si>
    <t>Trafo 3 Fasa 100 KVA 1 Tiang (G312-A)</t>
  </si>
  <si>
    <t>Daya 66.000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</si>
</sst>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  <numFmt numFmtId="208" formatCode="_(* #,##0.0_);_(* \(#,##0.0\);_(* &quot;-&quot;??_);_(@_)"/>
  </numFmts>
  <fonts count="1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charset val="1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/>
      <top style="thin">
        <color indexed="10"/>
      </top>
      <bottom style="thin">
        <color rgb="FFFF0000"/>
      </bottom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9"/>
    <xf numFmtId="0" fontId="91" fillId="0" borderId="100"/>
    <xf numFmtId="166" fontId="24" fillId="0" borderId="0" applyFont="0" applyFill="0" applyBorder="0" applyAlignment="0" applyProtection="0"/>
  </cellStyleXfs>
  <cellXfs count="740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8" xfId="0" applyFont="1" applyFill="1" applyBorder="1" applyAlignment="1">
      <alignment horizontal="center" vertical="center"/>
    </xf>
    <xf numFmtId="0" fontId="122" fillId="33" borderId="69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0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2" xfId="2670" applyFont="1" applyFill="1" applyBorder="1" applyAlignment="1">
      <alignment horizontal="left" vertical="center"/>
    </xf>
    <xf numFmtId="0" fontId="163" fillId="39" borderId="83" xfId="2670" applyFont="1" applyFill="1" applyBorder="1" applyAlignment="1">
      <alignment horizontal="center" vertical="center"/>
    </xf>
    <xf numFmtId="0" fontId="163" fillId="39" borderId="85" xfId="2670" applyFont="1" applyFill="1" applyBorder="1" applyAlignment="1">
      <alignment horizontal="left" vertical="center"/>
    </xf>
    <xf numFmtId="0" fontId="163" fillId="39" borderId="81" xfId="2670" applyFont="1" applyFill="1" applyBorder="1" applyAlignment="1">
      <alignment horizontal="center" vertical="center"/>
    </xf>
    <xf numFmtId="0" fontId="163" fillId="39" borderId="87" xfId="2670" applyFont="1" applyFill="1" applyBorder="1" applyAlignment="1">
      <alignment horizontal="left" vertical="center"/>
    </xf>
    <xf numFmtId="0" fontId="163" fillId="39" borderId="88" xfId="2670" applyFont="1" applyFill="1" applyBorder="1" applyAlignment="1">
      <alignment horizontal="center" vertical="center"/>
    </xf>
    <xf numFmtId="43" fontId="144" fillId="40" borderId="84" xfId="2672" applyFont="1" applyFill="1" applyBorder="1" applyAlignment="1" applyProtection="1">
      <alignment horizontal="right" vertical="center" wrapText="1"/>
      <protection locked="0"/>
    </xf>
    <xf numFmtId="43" fontId="144" fillId="40" borderId="86" xfId="2672" applyFont="1" applyFill="1" applyBorder="1" applyAlignment="1" applyProtection="1">
      <alignment horizontal="right" vertical="center"/>
      <protection locked="0"/>
    </xf>
    <xf numFmtId="168" fontId="144" fillId="40" borderId="86" xfId="2672" applyNumberFormat="1" applyFont="1" applyFill="1" applyBorder="1" applyAlignment="1" applyProtection="1">
      <alignment horizontal="right" vertical="center"/>
      <protection locked="0"/>
    </xf>
    <xf numFmtId="168" fontId="144" fillId="40" borderId="89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3" xfId="2673" applyFont="1" applyFill="1" applyBorder="1" applyAlignment="1">
      <alignment vertical="center" wrapText="1"/>
    </xf>
    <xf numFmtId="0" fontId="150" fillId="43" borderId="93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7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7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8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24" fillId="0" borderId="21" xfId="1451" applyBorder="1" applyAlignment="1">
      <alignment horizontal="center" vertical="center" wrapText="1"/>
    </xf>
    <xf numFmtId="0" fontId="131" fillId="48" borderId="21" xfId="1652" applyFont="1" applyFill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79" fillId="33" borderId="0" xfId="0" applyFont="1" applyFill="1" applyAlignment="1">
      <alignment horizontal="left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top" wrapText="1"/>
    </xf>
    <xf numFmtId="0" fontId="2" fillId="0" borderId="21" xfId="1652" applyFont="1" applyBorder="1" applyAlignment="1">
      <alignment horizontal="center" vertical="center"/>
    </xf>
    <xf numFmtId="208" fontId="144" fillId="40" borderId="86" xfId="2672" applyNumberFormat="1" applyFont="1" applyFill="1" applyBorder="1" applyAlignment="1" applyProtection="1">
      <alignment horizontal="right" vertical="center"/>
      <protection locked="0"/>
    </xf>
    <xf numFmtId="208" fontId="148" fillId="36" borderId="0" xfId="2672" applyNumberFormat="1" applyFont="1" applyFill="1" applyBorder="1" applyAlignment="1" applyProtection="1">
      <alignment horizontal="right" vertical="center"/>
    </xf>
    <xf numFmtId="0" fontId="123" fillId="0" borderId="98" xfId="1450" applyFont="1" applyBorder="1" applyAlignment="1">
      <alignment horizontal="center" vertical="center"/>
    </xf>
    <xf numFmtId="49" fontId="95" fillId="33" borderId="60" xfId="0" applyNumberFormat="1" applyFont="1" applyFill="1" applyBorder="1" applyAlignment="1">
      <alignment horizontal="lef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0" fontId="95" fillId="33" borderId="78" xfId="0" applyFont="1" applyFill="1" applyBorder="1" applyAlignment="1">
      <alignment horizontal="left" vertical="center"/>
    </xf>
    <xf numFmtId="0" fontId="135" fillId="33" borderId="0" xfId="0" applyFont="1" applyFill="1" applyAlignment="1">
      <alignment horizontal="center"/>
    </xf>
    <xf numFmtId="0" fontId="95" fillId="33" borderId="79" xfId="0" applyFont="1" applyFill="1" applyBorder="1" applyAlignment="1">
      <alignment horizontal="left" vertical="center"/>
    </xf>
    <xf numFmtId="0" fontId="95" fillId="33" borderId="80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center" vertical="top" wrapText="1"/>
    </xf>
    <xf numFmtId="0" fontId="95" fillId="33" borderId="101" xfId="0" applyFont="1" applyFill="1" applyBorder="1" applyAlignment="1">
      <alignment horizontal="center" vertical="center"/>
    </xf>
    <xf numFmtId="0" fontId="154" fillId="49" borderId="20" xfId="1615" applyFont="1" applyFill="1" applyBorder="1" applyAlignment="1">
      <alignment horizontal="center" vertical="center"/>
    </xf>
    <xf numFmtId="0" fontId="154" fillId="49" borderId="21" xfId="1615" applyFont="1" applyFill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80" fillId="0" borderId="20" xfId="1614" applyFont="1" applyBorder="1" applyAlignment="1">
      <alignment horizontal="center" vertical="center"/>
    </xf>
    <xf numFmtId="0" fontId="180" fillId="0" borderId="21" xfId="1614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14" fillId="0" borderId="21" xfId="1614" applyBorder="1" applyAlignment="1">
      <alignment horizontal="center" vertical="center"/>
    </xf>
    <xf numFmtId="0" fontId="131" fillId="48" borderId="20" xfId="1652" applyFont="1" applyFill="1" applyBorder="1" applyAlignment="1">
      <alignment horizontal="center" vertical="center"/>
    </xf>
    <xf numFmtId="0" fontId="46" fillId="48" borderId="21" xfId="1451" applyFont="1" applyFill="1" applyBorder="1" applyAlignment="1">
      <alignment horizontal="left" vertical="center" wrapText="1"/>
    </xf>
    <xf numFmtId="0" fontId="8" fillId="48" borderId="20" xfId="1652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5" fillId="0" borderId="3" xfId="1614" applyFont="1" applyBorder="1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1" fillId="0" borderId="95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4" xfId="2673" applyNumberFormat="1" applyFont="1" applyFill="1" applyBorder="1" applyAlignment="1">
      <alignment horizontal="center" vertical="center" wrapText="1"/>
    </xf>
    <xf numFmtId="0" fontId="167" fillId="41" borderId="90" xfId="2673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0" fontId="167" fillId="42" borderId="90" xfId="2673" applyFont="1" applyFill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4" xfId="2673" applyNumberFormat="1" applyFont="1" applyFill="1" applyBorder="1" applyAlignment="1">
      <alignment horizontal="center" vertical="center" wrapText="1"/>
    </xf>
    <xf numFmtId="0" fontId="12" fillId="34" borderId="76" xfId="2670" applyFill="1" applyBorder="1" applyAlignment="1">
      <alignment horizontal="center" vertical="center"/>
    </xf>
    <xf numFmtId="0" fontId="142" fillId="0" borderId="77" xfId="2670" applyFont="1" applyBorder="1" applyAlignment="1">
      <alignment horizontal="left" vertical="center"/>
    </xf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15" fontId="118" fillId="33" borderId="3" xfId="0" applyNumberFormat="1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207" fontId="123" fillId="0" borderId="72" xfId="1450" applyNumberFormat="1" applyFont="1" applyBorder="1" applyAlignment="1">
      <alignment horizontal="left" vertical="center"/>
    </xf>
    <xf numFmtId="207" fontId="178" fillId="0" borderId="73" xfId="1450" applyNumberFormat="1" applyFont="1" applyBorder="1" applyAlignment="1">
      <alignment horizontal="left" vertical="center"/>
    </xf>
    <xf numFmtId="0" fontId="118" fillId="33" borderId="3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118" fillId="33" borderId="50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49" fontId="118" fillId="33" borderId="3" xfId="0" applyNumberFormat="1" applyFont="1" applyFill="1" applyBorder="1" applyAlignment="1">
      <alignment horizontal="center" vertical="center"/>
    </xf>
    <xf numFmtId="0" fontId="122" fillId="33" borderId="72" xfId="0" applyFont="1" applyFill="1" applyBorder="1" applyAlignment="1">
      <alignment horizontal="left" vertical="center"/>
    </xf>
    <xf numFmtId="0" fontId="122" fillId="33" borderId="73" xfId="0" applyFont="1" applyFill="1" applyBorder="1" applyAlignment="1">
      <alignment horizontal="left" vertical="center"/>
    </xf>
    <xf numFmtId="49" fontId="118" fillId="33" borderId="3" xfId="0" applyNumberFormat="1" applyFont="1" applyFill="1" applyBorder="1" applyAlignment="1">
      <alignment horizontal="center" vertical="top" wrapText="1"/>
    </xf>
    <xf numFmtId="0" fontId="119" fillId="33" borderId="3" xfId="0" applyFont="1" applyFill="1" applyBorder="1" applyAlignment="1">
      <alignment horizontal="center" vertical="center"/>
    </xf>
    <xf numFmtId="49" fontId="118" fillId="33" borderId="50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95" fillId="33" borderId="80" xfId="0" applyFont="1" applyFill="1" applyBorder="1" applyAlignment="1">
      <alignment horizontal="left" vertical="center"/>
    </xf>
    <xf numFmtId="0" fontId="118" fillId="33" borderId="7" xfId="0" applyFont="1" applyFill="1" applyBorder="1" applyAlignment="1">
      <alignment horizontal="center" vertical="top" wrapText="1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4" xfId="0" applyFont="1" applyFill="1" applyBorder="1" applyAlignment="1">
      <alignment horizontal="center" vertical="center" wrapText="1"/>
    </xf>
    <xf numFmtId="0" fontId="123" fillId="33" borderId="75" xfId="0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0066"/>
      <color rgb="FFFF6699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6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6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475</xdr:row>
      <xdr:rowOff>81642</xdr:rowOff>
    </xdr:from>
    <xdr:to>
      <xdr:col>11</xdr:col>
      <xdr:colOff>95537</xdr:colOff>
      <xdr:row>478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165485</xdr:colOff>
      <xdr:row>64</xdr:row>
      <xdr:rowOff>38369</xdr:rowOff>
    </xdr:from>
    <xdr:to>
      <xdr:col>19</xdr:col>
      <xdr:colOff>348220</xdr:colOff>
      <xdr:row>67</xdr:row>
      <xdr:rowOff>31204</xdr:rowOff>
    </xdr:to>
    <xdr:sp macro="" textlink="">
      <xdr:nvSpPr>
        <xdr:cNvPr id="534" name="Rectangle 533">
          <a:extLst>
            <a:ext uri="{FF2B5EF4-FFF2-40B4-BE49-F238E27FC236}">
              <a16:creationId xmlns:a16="http://schemas.microsoft.com/office/drawing/2014/main" id="{32A5313E-9CBF-41DD-8147-1D33E1B7C614}"/>
            </a:ext>
          </a:extLst>
        </xdr:cNvPr>
        <xdr:cNvSpPr/>
      </xdr:nvSpPr>
      <xdr:spPr>
        <a:xfrm rot="560327">
          <a:off x="6571728" y="9966140"/>
          <a:ext cx="563735" cy="45003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>
              <a:solidFill>
                <a:schemeClr val="tx1"/>
              </a:solidFill>
            </a:rPr>
            <a:t>MUSHOLLA</a:t>
          </a:r>
          <a:endParaRPr lang="en-US" sz="600" strike="sng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315685</xdr:colOff>
      <xdr:row>62</xdr:row>
      <xdr:rowOff>81643</xdr:rowOff>
    </xdr:from>
    <xdr:to>
      <xdr:col>19</xdr:col>
      <xdr:colOff>353785</xdr:colOff>
      <xdr:row>63</xdr:row>
      <xdr:rowOff>97972</xdr:rowOff>
    </xdr:to>
    <xdr:cxnSp macro="">
      <xdr:nvCxnSpPr>
        <xdr:cNvPr id="536" name="Straight Connector 535">
          <a:extLst>
            <a:ext uri="{FF2B5EF4-FFF2-40B4-BE49-F238E27FC236}">
              <a16:creationId xmlns:a16="http://schemas.microsoft.com/office/drawing/2014/main" id="{1949FDFB-43DD-42C2-8AA6-7FED77924F2B}"/>
            </a:ext>
          </a:extLst>
        </xdr:cNvPr>
        <xdr:cNvCxnSpPr/>
      </xdr:nvCxnSpPr>
      <xdr:spPr>
        <a:xfrm>
          <a:off x="5959928" y="9704614"/>
          <a:ext cx="1181100" cy="168729"/>
        </a:xfrm>
        <a:prstGeom prst="line">
          <a:avLst/>
        </a:prstGeom>
        <a:ln w="1651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65315</xdr:colOff>
      <xdr:row>57</xdr:row>
      <xdr:rowOff>54429</xdr:rowOff>
    </xdr:from>
    <xdr:to>
      <xdr:col>21</xdr:col>
      <xdr:colOff>103415</xdr:colOff>
      <xdr:row>58</xdr:row>
      <xdr:rowOff>70758</xdr:rowOff>
    </xdr:to>
    <xdr:cxnSp macro="">
      <xdr:nvCxnSpPr>
        <xdr:cNvPr id="507" name="Straight Connector 506">
          <a:extLst>
            <a:ext uri="{FF2B5EF4-FFF2-40B4-BE49-F238E27FC236}">
              <a16:creationId xmlns:a16="http://schemas.microsoft.com/office/drawing/2014/main" id="{7EA1FD8C-7716-44D9-9447-43A2AC1138AF}"/>
            </a:ext>
          </a:extLst>
        </xdr:cNvPr>
        <xdr:cNvCxnSpPr/>
      </xdr:nvCxnSpPr>
      <xdr:spPr>
        <a:xfrm>
          <a:off x="6471558" y="8915400"/>
          <a:ext cx="1181100" cy="168729"/>
        </a:xfrm>
        <a:prstGeom prst="line">
          <a:avLst/>
        </a:prstGeom>
        <a:ln w="1651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49</xdr:row>
      <xdr:rowOff>10885</xdr:rowOff>
    </xdr:from>
    <xdr:to>
      <xdr:col>21</xdr:col>
      <xdr:colOff>214011</xdr:colOff>
      <xdr:row>51</xdr:row>
      <xdr:rowOff>58469</xdr:rowOff>
    </xdr:to>
    <xdr:sp macro="" textlink="">
      <xdr:nvSpPr>
        <xdr:cNvPr id="506" name="Rectangle 505">
          <a:extLst>
            <a:ext uri="{FF2B5EF4-FFF2-40B4-BE49-F238E27FC236}">
              <a16:creationId xmlns:a16="http://schemas.microsoft.com/office/drawing/2014/main" id="{BCEA0D81-26A8-4930-BC9D-E666F4C7C0D1}"/>
            </a:ext>
          </a:extLst>
        </xdr:cNvPr>
        <xdr:cNvSpPr/>
      </xdr:nvSpPr>
      <xdr:spPr>
        <a:xfrm rot="560327">
          <a:off x="6863443" y="7532914"/>
          <a:ext cx="899811" cy="45035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>
              <a:solidFill>
                <a:schemeClr val="tx1"/>
              </a:solidFill>
            </a:rPr>
            <a:t>SD</a:t>
          </a:r>
          <a:endParaRPr lang="en-US" sz="600" strike="sng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159220</xdr:colOff>
      <xdr:row>45</xdr:row>
      <xdr:rowOff>125131</xdr:rowOff>
    </xdr:from>
    <xdr:to>
      <xdr:col>21</xdr:col>
      <xdr:colOff>297031</xdr:colOff>
      <xdr:row>48</xdr:row>
      <xdr:rowOff>107400</xdr:rowOff>
    </xdr:to>
    <xdr:sp macro="" textlink="">
      <xdr:nvSpPr>
        <xdr:cNvPr id="505" name="Rectangle 504">
          <a:extLst>
            <a:ext uri="{FF2B5EF4-FFF2-40B4-BE49-F238E27FC236}">
              <a16:creationId xmlns:a16="http://schemas.microsoft.com/office/drawing/2014/main" id="{3CFBAA7A-A19A-41BE-9518-2BEB8FFC4F3A}"/>
            </a:ext>
          </a:extLst>
        </xdr:cNvPr>
        <xdr:cNvSpPr/>
      </xdr:nvSpPr>
      <xdr:spPr>
        <a:xfrm rot="560327">
          <a:off x="6946463" y="7026674"/>
          <a:ext cx="899811" cy="45035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>
              <a:solidFill>
                <a:schemeClr val="tx1"/>
              </a:solidFill>
            </a:rPr>
            <a:t>BALAI</a:t>
          </a:r>
          <a:r>
            <a:rPr lang="en-US" sz="600" baseline="0">
              <a:solidFill>
                <a:schemeClr val="tx1"/>
              </a:solidFill>
            </a:rPr>
            <a:t> DS DUKUN</a:t>
          </a:r>
          <a:endParaRPr lang="en-US" sz="600" strike="sng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163122</xdr:colOff>
      <xdr:row>31</xdr:row>
      <xdr:rowOff>4511</xdr:rowOff>
    </xdr:from>
    <xdr:to>
      <xdr:col>17</xdr:col>
      <xdr:colOff>134794</xdr:colOff>
      <xdr:row>38</xdr:row>
      <xdr:rowOff>67630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08DD46E1-26C9-4969-B585-5CDBEFE4A8C1}"/>
            </a:ext>
          </a:extLst>
        </xdr:cNvPr>
        <xdr:cNvCxnSpPr>
          <a:stCxn id="5" idx="5"/>
          <a:endCxn id="28" idx="1"/>
        </xdr:cNvCxnSpPr>
      </xdr:nvCxnSpPr>
      <xdr:spPr>
        <a:xfrm>
          <a:off x="3895731" y="4808683"/>
          <a:ext cx="2257672" cy="115849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292652</xdr:colOff>
      <xdr:row>56</xdr:row>
      <xdr:rowOff>61241</xdr:rowOff>
    </xdr:from>
    <xdr:to>
      <xdr:col>18</xdr:col>
      <xdr:colOff>107925</xdr:colOff>
      <xdr:row>102</xdr:row>
      <xdr:rowOff>142060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ED9067B7-2685-4791-A354-1A79C1475F76}"/>
            </a:ext>
          </a:extLst>
        </xdr:cNvPr>
        <xdr:cNvSpPr/>
      </xdr:nvSpPr>
      <xdr:spPr>
        <a:xfrm>
          <a:off x="3395869" y="8840806"/>
          <a:ext cx="3393360" cy="7192819"/>
        </a:xfrm>
        <a:custGeom>
          <a:avLst/>
          <a:gdLst>
            <a:gd name="connsiteX0" fmla="*/ 3452091 w 3452091"/>
            <a:gd name="connsiteY0" fmla="*/ 0 h 6985000"/>
            <a:gd name="connsiteX1" fmla="*/ 3348182 w 3452091"/>
            <a:gd name="connsiteY1" fmla="*/ 842818 h 6985000"/>
            <a:gd name="connsiteX2" fmla="*/ 3313546 w 3452091"/>
            <a:gd name="connsiteY2" fmla="*/ 1154545 h 6985000"/>
            <a:gd name="connsiteX3" fmla="*/ 3255818 w 3452091"/>
            <a:gd name="connsiteY3" fmla="*/ 1385455 h 6985000"/>
            <a:gd name="connsiteX4" fmla="*/ 3186546 w 3452091"/>
            <a:gd name="connsiteY4" fmla="*/ 1651000 h 6985000"/>
            <a:gd name="connsiteX5" fmla="*/ 3105727 w 3452091"/>
            <a:gd name="connsiteY5" fmla="*/ 1951182 h 6985000"/>
            <a:gd name="connsiteX6" fmla="*/ 2932546 w 3452091"/>
            <a:gd name="connsiteY6" fmla="*/ 2228273 h 6985000"/>
            <a:gd name="connsiteX7" fmla="*/ 2701636 w 3452091"/>
            <a:gd name="connsiteY7" fmla="*/ 2505364 h 6985000"/>
            <a:gd name="connsiteX8" fmla="*/ 2505364 w 3452091"/>
            <a:gd name="connsiteY8" fmla="*/ 2805545 h 6985000"/>
            <a:gd name="connsiteX9" fmla="*/ 2332182 w 3452091"/>
            <a:gd name="connsiteY9" fmla="*/ 3036455 h 6985000"/>
            <a:gd name="connsiteX10" fmla="*/ 2182091 w 3452091"/>
            <a:gd name="connsiteY10" fmla="*/ 3278909 h 6985000"/>
            <a:gd name="connsiteX11" fmla="*/ 2159000 w 3452091"/>
            <a:gd name="connsiteY11" fmla="*/ 3429000 h 6985000"/>
            <a:gd name="connsiteX12" fmla="*/ 2055091 w 3452091"/>
            <a:gd name="connsiteY12" fmla="*/ 3740727 h 6985000"/>
            <a:gd name="connsiteX13" fmla="*/ 2020455 w 3452091"/>
            <a:gd name="connsiteY13" fmla="*/ 3902364 h 6985000"/>
            <a:gd name="connsiteX14" fmla="*/ 1870364 w 3452091"/>
            <a:gd name="connsiteY14" fmla="*/ 4121727 h 6985000"/>
            <a:gd name="connsiteX15" fmla="*/ 1697182 w 3452091"/>
            <a:gd name="connsiteY15" fmla="*/ 4364182 h 6985000"/>
            <a:gd name="connsiteX16" fmla="*/ 1443182 w 3452091"/>
            <a:gd name="connsiteY16" fmla="*/ 4768273 h 6985000"/>
            <a:gd name="connsiteX17" fmla="*/ 1258455 w 3452091"/>
            <a:gd name="connsiteY17" fmla="*/ 5045364 h 6985000"/>
            <a:gd name="connsiteX18" fmla="*/ 1085273 w 3452091"/>
            <a:gd name="connsiteY18" fmla="*/ 5310909 h 6985000"/>
            <a:gd name="connsiteX19" fmla="*/ 854364 w 3452091"/>
            <a:gd name="connsiteY19" fmla="*/ 5518727 h 6985000"/>
            <a:gd name="connsiteX20" fmla="*/ 750455 w 3452091"/>
            <a:gd name="connsiteY20" fmla="*/ 5645727 h 6985000"/>
            <a:gd name="connsiteX21" fmla="*/ 646546 w 3452091"/>
            <a:gd name="connsiteY21" fmla="*/ 5772727 h 6985000"/>
            <a:gd name="connsiteX22" fmla="*/ 554182 w 3452091"/>
            <a:gd name="connsiteY22" fmla="*/ 6049818 h 6985000"/>
            <a:gd name="connsiteX23" fmla="*/ 392546 w 3452091"/>
            <a:gd name="connsiteY23" fmla="*/ 6338455 h 6985000"/>
            <a:gd name="connsiteX24" fmla="*/ 207818 w 3452091"/>
            <a:gd name="connsiteY24" fmla="*/ 6661727 h 6985000"/>
            <a:gd name="connsiteX25" fmla="*/ 0 w 3452091"/>
            <a:gd name="connsiteY25" fmla="*/ 6985000 h 6985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3452091" h="6985000">
              <a:moveTo>
                <a:pt x="3452091" y="0"/>
              </a:moveTo>
              <a:cubicBezTo>
                <a:pt x="3411682" y="325197"/>
                <a:pt x="3371273" y="650394"/>
                <a:pt x="3348182" y="842818"/>
              </a:cubicBezTo>
              <a:cubicBezTo>
                <a:pt x="3325091" y="1035242"/>
                <a:pt x="3328940" y="1064106"/>
                <a:pt x="3313546" y="1154545"/>
              </a:cubicBezTo>
              <a:cubicBezTo>
                <a:pt x="3298152" y="1244984"/>
                <a:pt x="3276985" y="1302713"/>
                <a:pt x="3255818" y="1385455"/>
              </a:cubicBezTo>
              <a:cubicBezTo>
                <a:pt x="3234651" y="1468197"/>
                <a:pt x="3211561" y="1556712"/>
                <a:pt x="3186546" y="1651000"/>
              </a:cubicBezTo>
              <a:cubicBezTo>
                <a:pt x="3161531" y="1745288"/>
                <a:pt x="3148060" y="1854970"/>
                <a:pt x="3105727" y="1951182"/>
              </a:cubicBezTo>
              <a:cubicBezTo>
                <a:pt x="3063394" y="2047394"/>
                <a:pt x="2999894" y="2135909"/>
                <a:pt x="2932546" y="2228273"/>
              </a:cubicBezTo>
              <a:cubicBezTo>
                <a:pt x="2865198" y="2320637"/>
                <a:pt x="2772833" y="2409152"/>
                <a:pt x="2701636" y="2505364"/>
              </a:cubicBezTo>
              <a:cubicBezTo>
                <a:pt x="2630439" y="2601576"/>
                <a:pt x="2566940" y="2717030"/>
                <a:pt x="2505364" y="2805545"/>
              </a:cubicBezTo>
              <a:cubicBezTo>
                <a:pt x="2443788" y="2894060"/>
                <a:pt x="2386061" y="2957561"/>
                <a:pt x="2332182" y="3036455"/>
              </a:cubicBezTo>
              <a:cubicBezTo>
                <a:pt x="2278303" y="3115349"/>
                <a:pt x="2210955" y="3213485"/>
                <a:pt x="2182091" y="3278909"/>
              </a:cubicBezTo>
              <a:cubicBezTo>
                <a:pt x="2153227" y="3344333"/>
                <a:pt x="2180167" y="3352030"/>
                <a:pt x="2159000" y="3429000"/>
              </a:cubicBezTo>
              <a:cubicBezTo>
                <a:pt x="2137833" y="3505970"/>
                <a:pt x="2078182" y="3661833"/>
                <a:pt x="2055091" y="3740727"/>
              </a:cubicBezTo>
              <a:cubicBezTo>
                <a:pt x="2032000" y="3819621"/>
                <a:pt x="2051243" y="3838864"/>
                <a:pt x="2020455" y="3902364"/>
              </a:cubicBezTo>
              <a:cubicBezTo>
                <a:pt x="1989667" y="3965864"/>
                <a:pt x="1924243" y="4044757"/>
                <a:pt x="1870364" y="4121727"/>
              </a:cubicBezTo>
              <a:cubicBezTo>
                <a:pt x="1816485" y="4198697"/>
                <a:pt x="1768379" y="4256424"/>
                <a:pt x="1697182" y="4364182"/>
              </a:cubicBezTo>
              <a:cubicBezTo>
                <a:pt x="1625985" y="4471940"/>
                <a:pt x="1516303" y="4654743"/>
                <a:pt x="1443182" y="4768273"/>
              </a:cubicBezTo>
              <a:cubicBezTo>
                <a:pt x="1370061" y="4881803"/>
                <a:pt x="1318107" y="4954925"/>
                <a:pt x="1258455" y="5045364"/>
              </a:cubicBezTo>
              <a:cubicBezTo>
                <a:pt x="1198803" y="5135803"/>
                <a:pt x="1152621" y="5232015"/>
                <a:pt x="1085273" y="5310909"/>
              </a:cubicBezTo>
              <a:cubicBezTo>
                <a:pt x="1017925" y="5389803"/>
                <a:pt x="910167" y="5462924"/>
                <a:pt x="854364" y="5518727"/>
              </a:cubicBezTo>
              <a:cubicBezTo>
                <a:pt x="798561" y="5574530"/>
                <a:pt x="750455" y="5645727"/>
                <a:pt x="750455" y="5645727"/>
              </a:cubicBezTo>
              <a:cubicBezTo>
                <a:pt x="715819" y="5688060"/>
                <a:pt x="679258" y="5705379"/>
                <a:pt x="646546" y="5772727"/>
              </a:cubicBezTo>
              <a:cubicBezTo>
                <a:pt x="613834" y="5840075"/>
                <a:pt x="596515" y="5955530"/>
                <a:pt x="554182" y="6049818"/>
              </a:cubicBezTo>
              <a:cubicBezTo>
                <a:pt x="511849" y="6144106"/>
                <a:pt x="450273" y="6236470"/>
                <a:pt x="392546" y="6338455"/>
              </a:cubicBezTo>
              <a:cubicBezTo>
                <a:pt x="334819" y="6440440"/>
                <a:pt x="273242" y="6553970"/>
                <a:pt x="207818" y="6661727"/>
              </a:cubicBezTo>
              <a:cubicBezTo>
                <a:pt x="142394" y="6769484"/>
                <a:pt x="57727" y="6894561"/>
                <a:pt x="0" y="6985000"/>
              </a:cubicBezTo>
            </a:path>
          </a:pathLst>
        </a:custGeom>
        <a:noFill/>
        <a:ln w="1619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209210</xdr:colOff>
      <xdr:row>11</xdr:row>
      <xdr:rowOff>115376</xdr:rowOff>
    </xdr:from>
    <xdr:to>
      <xdr:col>21</xdr:col>
      <xdr:colOff>163854</xdr:colOff>
      <xdr:row>45</xdr:row>
      <xdr:rowOff>24661</xdr:rowOff>
    </xdr:to>
    <xdr:sp macro="" textlink="">
      <xdr:nvSpPr>
        <xdr:cNvPr id="8" name="Freeform: Shape 7">
          <a:extLst>
            <a:ext uri="{FF2B5EF4-FFF2-40B4-BE49-F238E27FC236}">
              <a16:creationId xmlns:a16="http://schemas.microsoft.com/office/drawing/2014/main" id="{4AFCB20C-7DDB-4796-A9ED-212B7A98AB96}"/>
            </a:ext>
          </a:extLst>
        </xdr:cNvPr>
        <xdr:cNvSpPr/>
      </xdr:nvSpPr>
      <xdr:spPr>
        <a:xfrm>
          <a:off x="1285949" y="1788463"/>
          <a:ext cx="6431644" cy="5019655"/>
        </a:xfrm>
        <a:custGeom>
          <a:avLst/>
          <a:gdLst>
            <a:gd name="connsiteX0" fmla="*/ 0 w 6740072"/>
            <a:gd name="connsiteY0" fmla="*/ 0 h 5161642"/>
            <a:gd name="connsiteX1" fmla="*/ 326572 w 6740072"/>
            <a:gd name="connsiteY1" fmla="*/ 997857 h 5161642"/>
            <a:gd name="connsiteX2" fmla="*/ 1297214 w 6740072"/>
            <a:gd name="connsiteY2" fmla="*/ 2122714 h 5161642"/>
            <a:gd name="connsiteX3" fmla="*/ 2295072 w 6740072"/>
            <a:gd name="connsiteY3" fmla="*/ 2921000 h 5161642"/>
            <a:gd name="connsiteX4" fmla="*/ 3120572 w 6740072"/>
            <a:gd name="connsiteY4" fmla="*/ 3329214 h 5161642"/>
            <a:gd name="connsiteX5" fmla="*/ 4962072 w 6740072"/>
            <a:gd name="connsiteY5" fmla="*/ 4227285 h 5161642"/>
            <a:gd name="connsiteX6" fmla="*/ 6740072 w 6740072"/>
            <a:gd name="connsiteY6" fmla="*/ 5161642 h 51616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740072" h="5161642">
              <a:moveTo>
                <a:pt x="0" y="0"/>
              </a:moveTo>
              <a:cubicBezTo>
                <a:pt x="55185" y="322035"/>
                <a:pt x="110370" y="644071"/>
                <a:pt x="326572" y="997857"/>
              </a:cubicBezTo>
              <a:cubicBezTo>
                <a:pt x="542774" y="1351643"/>
                <a:pt x="969131" y="1802190"/>
                <a:pt x="1297214" y="2122714"/>
              </a:cubicBezTo>
              <a:cubicBezTo>
                <a:pt x="1625297" y="2443238"/>
                <a:pt x="1991179" y="2719917"/>
                <a:pt x="2295072" y="2921000"/>
              </a:cubicBezTo>
              <a:cubicBezTo>
                <a:pt x="2598965" y="3122083"/>
                <a:pt x="3120572" y="3329214"/>
                <a:pt x="3120572" y="3329214"/>
              </a:cubicBezTo>
              <a:lnTo>
                <a:pt x="4962072" y="4227285"/>
              </a:lnTo>
              <a:cubicBezTo>
                <a:pt x="5565322" y="4532690"/>
                <a:pt x="6436179" y="5021035"/>
                <a:pt x="6740072" y="5161642"/>
              </a:cubicBezTo>
            </a:path>
          </a:pathLst>
        </a:custGeom>
        <a:noFill/>
        <a:ln w="1651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345526</xdr:colOff>
      <xdr:row>17</xdr:row>
      <xdr:rowOff>79219</xdr:rowOff>
    </xdr:from>
    <xdr:to>
      <xdr:col>4</xdr:col>
      <xdr:colOff>41672</xdr:colOff>
      <xdr:row>19</xdr:row>
      <xdr:rowOff>142875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536026" y="2728360"/>
          <a:ext cx="571255" cy="3732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SYG01-77/1</a:t>
          </a:r>
        </a:p>
        <a:p>
          <a:pPr algn="l"/>
          <a:r>
            <a:rPr lang="en-US" sz="6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3</xdr:col>
      <xdr:colOff>262218</xdr:colOff>
      <xdr:row>13</xdr:row>
      <xdr:rowOff>86285</xdr:rowOff>
    </xdr:from>
    <xdr:to>
      <xdr:col>3</xdr:col>
      <xdr:colOff>369634</xdr:colOff>
      <xdr:row>14</xdr:row>
      <xdr:rowOff>28025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957957" y="2074111"/>
          <a:ext cx="107416" cy="908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453</xdr:colOff>
      <xdr:row>12</xdr:row>
      <xdr:rowOff>144076</xdr:rowOff>
    </xdr:from>
    <xdr:to>
      <xdr:col>5</xdr:col>
      <xdr:colOff>112138</xdr:colOff>
      <xdr:row>13</xdr:row>
      <xdr:rowOff>83146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BB423E5-22DE-415A-9736-7AAB9C8B68D6}"/>
            </a:ext>
          </a:extLst>
        </xdr:cNvPr>
        <xdr:cNvGrpSpPr/>
      </xdr:nvGrpSpPr>
      <xdr:grpSpPr>
        <a:xfrm>
          <a:off x="1458192" y="1966250"/>
          <a:ext cx="111685" cy="1047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D6735759-6C3D-C4BF-56D8-17A6FADB57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CAD3D8F-170A-EA70-D253-2344C48F9FF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10287F1D-655E-8215-925A-5299104B334B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40312</xdr:colOff>
      <xdr:row>23</xdr:row>
      <xdr:rowOff>89295</xdr:rowOff>
    </xdr:from>
    <xdr:to>
      <xdr:col>8</xdr:col>
      <xdr:colOff>178594</xdr:colOff>
      <xdr:row>24</xdr:row>
      <xdr:rowOff>51779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F549466-6232-4833-81BD-9D3B53DA8F62}"/>
            </a:ext>
          </a:extLst>
        </xdr:cNvPr>
        <xdr:cNvCxnSpPr>
          <a:cxnSpLocks/>
          <a:endCxn id="182" idx="7"/>
        </xdr:cNvCxnSpPr>
      </xdr:nvCxnSpPr>
      <xdr:spPr>
        <a:xfrm flipH="1">
          <a:off x="2629921" y="3667123"/>
          <a:ext cx="138282" cy="1172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56296</xdr:colOff>
      <xdr:row>13</xdr:row>
      <xdr:rowOff>83146</xdr:rowOff>
    </xdr:from>
    <xdr:to>
      <xdr:col>5</xdr:col>
      <xdr:colOff>232369</xdr:colOff>
      <xdr:row>16</xdr:row>
      <xdr:rowOff>118910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7B48754-D2CB-4322-8D27-6D6FA87F357F}"/>
            </a:ext>
          </a:extLst>
        </xdr:cNvPr>
        <xdr:cNvCxnSpPr>
          <a:stCxn id="108" idx="1"/>
          <a:endCxn id="38" idx="4"/>
        </xdr:cNvCxnSpPr>
      </xdr:nvCxnSpPr>
      <xdr:spPr>
        <a:xfrm flipH="1" flipV="1">
          <a:off x="1502905" y="2113162"/>
          <a:ext cx="176073" cy="50010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376621</xdr:colOff>
      <xdr:row>12</xdr:row>
      <xdr:rowOff>52552</xdr:rowOff>
    </xdr:from>
    <xdr:to>
      <xdr:col>5</xdr:col>
      <xdr:colOff>16809</xdr:colOff>
      <xdr:row>13</xdr:row>
      <xdr:rowOff>586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40F63ED3-3C78-4CFF-9D8E-D65F6B629956}"/>
            </a:ext>
          </a:extLst>
        </xdr:cNvPr>
        <xdr:cNvCxnSpPr>
          <a:cxnSpLocks/>
          <a:stCxn id="38" idx="1"/>
        </xdr:cNvCxnSpPr>
      </xdr:nvCxnSpPr>
      <xdr:spPr>
        <a:xfrm flipH="1" flipV="1">
          <a:off x="1497724" y="1900621"/>
          <a:ext cx="38706" cy="10568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216638</xdr:colOff>
      <xdr:row>16</xdr:row>
      <xdr:rowOff>104775</xdr:rowOff>
    </xdr:from>
    <xdr:to>
      <xdr:col>5</xdr:col>
      <xdr:colOff>324054</xdr:colOff>
      <xdr:row>17</xdr:row>
      <xdr:rowOff>46514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57C6F877-C0D6-4D72-83EE-C576C72BF6BD}"/>
            </a:ext>
          </a:extLst>
        </xdr:cNvPr>
        <xdr:cNvGrpSpPr/>
      </xdr:nvGrpSpPr>
      <xdr:grpSpPr>
        <a:xfrm>
          <a:off x="1674377" y="2539862"/>
          <a:ext cx="107416" cy="908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7A248DE6-0758-4EBB-A99B-1C4169DB13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0ED785BA-C5FB-4334-A5FC-019A99BF0E38}"/>
              </a:ext>
            </a:extLst>
          </xdr:cNvPr>
          <xdr:cNvCxnSpPr>
            <a:stCxn id="108" idx="1"/>
            <a:endCxn id="1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2633FE3E-CD56-4701-BC4C-5F269B45988C}"/>
              </a:ext>
            </a:extLst>
          </xdr:cNvPr>
          <xdr:cNvCxnSpPr>
            <a:stCxn id="108" idx="3"/>
            <a:endCxn id="1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265000</xdr:colOff>
      <xdr:row>20</xdr:row>
      <xdr:rowOff>103810</xdr:rowOff>
    </xdr:from>
    <xdr:to>
      <xdr:col>6</xdr:col>
      <xdr:colOff>372416</xdr:colOff>
      <xdr:row>21</xdr:row>
      <xdr:rowOff>44981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65FFB850-9792-425B-8CB4-8A73AD232E3C}"/>
            </a:ext>
          </a:extLst>
        </xdr:cNvPr>
        <xdr:cNvGrpSpPr/>
      </xdr:nvGrpSpPr>
      <xdr:grpSpPr>
        <a:xfrm>
          <a:off x="2103739" y="3135245"/>
          <a:ext cx="107416" cy="902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55833B92-48FA-4021-9C55-0FC3206F658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D2B9B706-46A1-4595-8AA4-D466188666CF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7F4BB631-D037-4251-892A-6BC4437BADBC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345113</xdr:colOff>
      <xdr:row>24</xdr:row>
      <xdr:rowOff>37644</xdr:rowOff>
    </xdr:from>
    <xdr:to>
      <xdr:col>8</xdr:col>
      <xdr:colOff>53386</xdr:colOff>
      <xdr:row>24</xdr:row>
      <xdr:rowOff>134164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5FC068F1-2CE1-4EDE-96BC-5038FE4D3E0E}"/>
            </a:ext>
          </a:extLst>
        </xdr:cNvPr>
        <xdr:cNvGrpSpPr/>
      </xdr:nvGrpSpPr>
      <xdr:grpSpPr>
        <a:xfrm>
          <a:off x="2564852" y="3665427"/>
          <a:ext cx="89273" cy="965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90776695-6A9C-4697-8C28-C58447F6407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2E0EB3AD-DAE2-442C-8A3E-D87B246EC1BA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FC27CE7A-D366-4993-88BC-B65E81D5F155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175762</xdr:colOff>
      <xdr:row>27</xdr:row>
      <xdr:rowOff>119743</xdr:rowOff>
    </xdr:from>
    <xdr:to>
      <xdr:col>9</xdr:col>
      <xdr:colOff>283178</xdr:colOff>
      <xdr:row>28</xdr:row>
      <xdr:rowOff>61481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B448AC00-0E86-41C5-B8D6-5E465C6E4356}"/>
            </a:ext>
          </a:extLst>
        </xdr:cNvPr>
        <xdr:cNvGrpSpPr/>
      </xdr:nvGrpSpPr>
      <xdr:grpSpPr>
        <a:xfrm>
          <a:off x="3157501" y="4194786"/>
          <a:ext cx="107416" cy="90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2E19B210-1DE6-499D-9A34-D28E2F2725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101D3D69-B498-4303-9FF4-5AF76C5DC475}"/>
              </a:ext>
            </a:extLst>
          </xdr:cNvPr>
          <xdr:cNvCxnSpPr>
            <a:stCxn id="186" idx="1"/>
            <a:endCxn id="1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803A9C51-3775-4A8E-81EE-3823E0BC5F45}"/>
              </a:ext>
            </a:extLst>
          </xdr:cNvPr>
          <xdr:cNvCxnSpPr>
            <a:stCxn id="186" idx="3"/>
            <a:endCxn id="1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279856</xdr:colOff>
      <xdr:row>33</xdr:row>
      <xdr:rowOff>125184</xdr:rowOff>
    </xdr:from>
    <xdr:to>
      <xdr:col>11</xdr:col>
      <xdr:colOff>387272</xdr:colOff>
      <xdr:row>34</xdr:row>
      <xdr:rowOff>66923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7CCDBC23-C141-49DA-B761-F816C82E6DCB}"/>
            </a:ext>
          </a:extLst>
        </xdr:cNvPr>
        <xdr:cNvGrpSpPr/>
      </xdr:nvGrpSpPr>
      <xdr:grpSpPr>
        <a:xfrm>
          <a:off x="4023595" y="5086467"/>
          <a:ext cx="97891" cy="908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8" name="Oval 197">
            <a:extLst>
              <a:ext uri="{FF2B5EF4-FFF2-40B4-BE49-F238E27FC236}">
                <a16:creationId xmlns:a16="http://schemas.microsoft.com/office/drawing/2014/main" id="{D986CD4D-B484-4B7E-8623-250292E1B9C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D36EA0FC-0474-41E7-9CB4-505907CF4DFC}"/>
              </a:ext>
            </a:extLst>
          </xdr:cNvPr>
          <xdr:cNvCxnSpPr>
            <a:stCxn id="198" idx="1"/>
            <a:endCxn id="1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55226DF8-600A-4AF7-84B7-C3F6152DB39D}"/>
              </a:ext>
            </a:extLst>
          </xdr:cNvPr>
          <xdr:cNvCxnSpPr>
            <a:stCxn id="198" idx="3"/>
            <a:endCxn id="1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386901</xdr:colOff>
      <xdr:row>36</xdr:row>
      <xdr:rowOff>87083</xdr:rowOff>
    </xdr:from>
    <xdr:to>
      <xdr:col>14</xdr:col>
      <xdr:colOff>95174</xdr:colOff>
      <xdr:row>37</xdr:row>
      <xdr:rowOff>19751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C81BA34B-6F68-4C63-AFA7-B8D95936FA01}"/>
            </a:ext>
          </a:extLst>
        </xdr:cNvPr>
        <xdr:cNvGrpSpPr/>
      </xdr:nvGrpSpPr>
      <xdr:grpSpPr>
        <a:xfrm>
          <a:off x="4883115" y="5495626"/>
          <a:ext cx="98798" cy="983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EDE62E3B-572F-4198-AE8F-5AFB42FA7A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B79A8812-F79F-4005-B581-CB62AE5C707B}"/>
              </a:ext>
            </a:extLst>
          </xdr:cNvPr>
          <xdr:cNvCxnSpPr>
            <a:stCxn id="202" idx="1"/>
            <a:endCxn id="2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02AC8D79-FDD0-4EFE-91FF-57874FA57533}"/>
              </a:ext>
            </a:extLst>
          </xdr:cNvPr>
          <xdr:cNvCxnSpPr>
            <a:stCxn id="202" idx="3"/>
            <a:endCxn id="2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376015</xdr:colOff>
      <xdr:row>39</xdr:row>
      <xdr:rowOff>3626</xdr:rowOff>
    </xdr:from>
    <xdr:to>
      <xdr:col>16</xdr:col>
      <xdr:colOff>84288</xdr:colOff>
      <xdr:row>39</xdr:row>
      <xdr:rowOff>99579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FE7DB376-1B18-4ED4-8F20-BF6D7522EFFE}"/>
            </a:ext>
          </a:extLst>
        </xdr:cNvPr>
        <xdr:cNvGrpSpPr/>
      </xdr:nvGrpSpPr>
      <xdr:grpSpPr>
        <a:xfrm>
          <a:off x="5643754" y="5892561"/>
          <a:ext cx="89273" cy="959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6" name="Oval 205">
            <a:extLst>
              <a:ext uri="{FF2B5EF4-FFF2-40B4-BE49-F238E27FC236}">
                <a16:creationId xmlns:a16="http://schemas.microsoft.com/office/drawing/2014/main" id="{2FF33333-3453-4184-8A84-58D4F6E803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26337EAE-ECD3-41BA-A4E6-D7B7C80EF949}"/>
              </a:ext>
            </a:extLst>
          </xdr:cNvPr>
          <xdr:cNvCxnSpPr>
            <a:stCxn id="206" idx="1"/>
            <a:endCxn id="2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8E29DC32-012A-49DE-A7CE-B87C6087F068}"/>
              </a:ext>
            </a:extLst>
          </xdr:cNvPr>
          <xdr:cNvCxnSpPr>
            <a:stCxn id="206" idx="3"/>
            <a:endCxn id="2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33112</xdr:colOff>
      <xdr:row>30</xdr:row>
      <xdr:rowOff>105227</xdr:rowOff>
    </xdr:from>
    <xdr:to>
      <xdr:col>9</xdr:col>
      <xdr:colOff>140528</xdr:colOff>
      <xdr:row>31</xdr:row>
      <xdr:rowOff>46966</xdr:rowOff>
    </xdr:to>
    <xdr:grpSp>
      <xdr:nvGrpSpPr>
        <xdr:cNvPr id="213" name="Group 212">
          <a:extLst>
            <a:ext uri="{FF2B5EF4-FFF2-40B4-BE49-F238E27FC236}">
              <a16:creationId xmlns:a16="http://schemas.microsoft.com/office/drawing/2014/main" id="{AB8F8A3F-93C7-4675-BAE3-41ED41BE4D14}"/>
            </a:ext>
          </a:extLst>
        </xdr:cNvPr>
        <xdr:cNvGrpSpPr/>
      </xdr:nvGrpSpPr>
      <xdr:grpSpPr>
        <a:xfrm>
          <a:off x="3014851" y="4619249"/>
          <a:ext cx="107416" cy="908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4" name="Oval 213">
            <a:extLst>
              <a:ext uri="{FF2B5EF4-FFF2-40B4-BE49-F238E27FC236}">
                <a16:creationId xmlns:a16="http://schemas.microsoft.com/office/drawing/2014/main" id="{666315A8-41DE-4B57-ADBF-7C19D38FB4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29FE713C-3F2E-4E03-ABF8-0788CA4A4166}"/>
              </a:ext>
            </a:extLst>
          </xdr:cNvPr>
          <xdr:cNvCxnSpPr>
            <a:stCxn id="214" idx="1"/>
            <a:endCxn id="2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810E44AB-31F8-450C-9BA9-7227708FDD5F}"/>
              </a:ext>
            </a:extLst>
          </xdr:cNvPr>
          <xdr:cNvCxnSpPr>
            <a:stCxn id="214" idx="3"/>
            <a:endCxn id="2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112408</xdr:colOff>
      <xdr:row>23</xdr:row>
      <xdr:rowOff>3629</xdr:rowOff>
    </xdr:from>
    <xdr:to>
      <xdr:col>6</xdr:col>
      <xdr:colOff>219824</xdr:colOff>
      <xdr:row>23</xdr:row>
      <xdr:rowOff>94780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E7CF4DB6-B606-48F3-8FAD-7FA6E8CEBDF3}"/>
            </a:ext>
          </a:extLst>
        </xdr:cNvPr>
        <xdr:cNvGrpSpPr/>
      </xdr:nvGrpSpPr>
      <xdr:grpSpPr>
        <a:xfrm>
          <a:off x="1951147" y="3482325"/>
          <a:ext cx="107416" cy="911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8" name="Oval 217">
            <a:extLst>
              <a:ext uri="{FF2B5EF4-FFF2-40B4-BE49-F238E27FC236}">
                <a16:creationId xmlns:a16="http://schemas.microsoft.com/office/drawing/2014/main" id="{2584E9F3-E57E-4451-8F72-CD1496AC62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EA660BB-7180-4838-A22A-840C5D7AFEE8}"/>
              </a:ext>
            </a:extLst>
          </xdr:cNvPr>
          <xdr:cNvCxnSpPr>
            <a:stCxn id="218" idx="1"/>
            <a:endCxn id="2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23D6E94F-A26B-49D2-A268-547EFEED2F16}"/>
              </a:ext>
            </a:extLst>
          </xdr:cNvPr>
          <xdr:cNvCxnSpPr>
            <a:stCxn id="218" idx="3"/>
            <a:endCxn id="2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92452</xdr:colOff>
      <xdr:row>16</xdr:row>
      <xdr:rowOff>109070</xdr:rowOff>
    </xdr:from>
    <xdr:to>
      <xdr:col>4</xdr:col>
      <xdr:colOff>199868</xdr:colOff>
      <xdr:row>17</xdr:row>
      <xdr:rowOff>50809</xdr:rowOff>
    </xdr:to>
    <xdr:grpSp>
      <xdr:nvGrpSpPr>
        <xdr:cNvPr id="221" name="Group 220">
          <a:extLst>
            <a:ext uri="{FF2B5EF4-FFF2-40B4-BE49-F238E27FC236}">
              <a16:creationId xmlns:a16="http://schemas.microsoft.com/office/drawing/2014/main" id="{79B212C8-995C-40DB-86A4-EE78F17105AE}"/>
            </a:ext>
          </a:extLst>
        </xdr:cNvPr>
        <xdr:cNvGrpSpPr/>
      </xdr:nvGrpSpPr>
      <xdr:grpSpPr>
        <a:xfrm>
          <a:off x="1169191" y="2544157"/>
          <a:ext cx="107416" cy="908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2" name="Oval 221">
            <a:extLst>
              <a:ext uri="{FF2B5EF4-FFF2-40B4-BE49-F238E27FC236}">
                <a16:creationId xmlns:a16="http://schemas.microsoft.com/office/drawing/2014/main" id="{BA6C7832-5892-4540-9F5D-72A6604F2A0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3D223660-15A5-4397-A83C-45DC96C4E763}"/>
              </a:ext>
            </a:extLst>
          </xdr:cNvPr>
          <xdr:cNvCxnSpPr>
            <a:stCxn id="222" idx="1"/>
            <a:endCxn id="2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5BBAEF62-C4B3-4681-9EFC-45072D65667F}"/>
              </a:ext>
            </a:extLst>
          </xdr:cNvPr>
          <xdr:cNvCxnSpPr>
            <a:stCxn id="222" idx="3"/>
            <a:endCxn id="2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25576</xdr:colOff>
      <xdr:row>30</xdr:row>
      <xdr:rowOff>67687</xdr:rowOff>
    </xdr:from>
    <xdr:to>
      <xdr:col>9</xdr:col>
      <xdr:colOff>166775</xdr:colOff>
      <xdr:row>31</xdr:row>
      <xdr:rowOff>77456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2CECA2F-7ACD-446E-ABD6-F88BBA46FF7D}"/>
            </a:ext>
          </a:extLst>
        </xdr:cNvPr>
        <xdr:cNvGrpSpPr/>
      </xdr:nvGrpSpPr>
      <xdr:grpSpPr>
        <a:xfrm>
          <a:off x="3007315" y="4581709"/>
          <a:ext cx="141199" cy="158856"/>
          <a:chOff x="704537" y="3681605"/>
          <a:chExt cx="141199" cy="169566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236B0FE2-5DD7-4CB9-8C1D-EE401CA27C0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F6A1E190-4333-404D-8696-D61E38FDA6F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69775</xdr:colOff>
      <xdr:row>16</xdr:row>
      <xdr:rowOff>79705</xdr:rowOff>
    </xdr:from>
    <xdr:to>
      <xdr:col>4</xdr:col>
      <xdr:colOff>209578</xdr:colOff>
      <xdr:row>17</xdr:row>
      <xdr:rowOff>97848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AD41AFEA-FBE6-4C39-AD0E-634BB1F71949}"/>
            </a:ext>
          </a:extLst>
        </xdr:cNvPr>
        <xdr:cNvGrpSpPr/>
      </xdr:nvGrpSpPr>
      <xdr:grpSpPr>
        <a:xfrm>
          <a:off x="1146514" y="2514792"/>
          <a:ext cx="139803" cy="167230"/>
          <a:chOff x="704537" y="3681605"/>
          <a:chExt cx="141199" cy="169566"/>
        </a:xfrm>
      </xdr:grpSpPr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D552C606-C277-4910-8DC8-4507E4153C6A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BA5AFB6-90E8-433D-A3EA-BF543CA2BC10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83518</xdr:colOff>
      <xdr:row>22</xdr:row>
      <xdr:rowOff>126532</xdr:rowOff>
    </xdr:from>
    <xdr:to>
      <xdr:col>6</xdr:col>
      <xdr:colOff>224717</xdr:colOff>
      <xdr:row>23</xdr:row>
      <xdr:rowOff>144676</xdr:rowOff>
    </xdr:to>
    <xdr:grpSp>
      <xdr:nvGrpSpPr>
        <xdr:cNvPr id="229" name="Group 228">
          <a:extLst>
            <a:ext uri="{FF2B5EF4-FFF2-40B4-BE49-F238E27FC236}">
              <a16:creationId xmlns:a16="http://schemas.microsoft.com/office/drawing/2014/main" id="{D5649D62-1A76-43B5-A538-64FCEEFC89FB}"/>
            </a:ext>
          </a:extLst>
        </xdr:cNvPr>
        <xdr:cNvGrpSpPr/>
      </xdr:nvGrpSpPr>
      <xdr:grpSpPr>
        <a:xfrm>
          <a:off x="1922257" y="3456141"/>
          <a:ext cx="141199" cy="167231"/>
          <a:chOff x="704537" y="3681605"/>
          <a:chExt cx="141199" cy="169566"/>
        </a:xfrm>
      </xdr:grpSpPr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C298F1F-856B-4A6B-94DA-638A8634A3E3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430C6628-7A8A-447A-B8FB-BE4F41A6FA3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112059</xdr:colOff>
      <xdr:row>41</xdr:row>
      <xdr:rowOff>136071</xdr:rowOff>
    </xdr:from>
    <xdr:to>
      <xdr:col>18</xdr:col>
      <xdr:colOff>344717</xdr:colOff>
      <xdr:row>51</xdr:row>
      <xdr:rowOff>44823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8C4DABD-C2D7-4C0B-84BB-A27E5B553232}"/>
            </a:ext>
          </a:extLst>
        </xdr:cNvPr>
        <xdr:cNvCxnSpPr/>
      </xdr:nvCxnSpPr>
      <xdr:spPr>
        <a:xfrm flipH="1">
          <a:off x="6895353" y="6291836"/>
          <a:ext cx="232658" cy="1507458"/>
        </a:xfrm>
        <a:prstGeom prst="line">
          <a:avLst/>
        </a:prstGeom>
        <a:ln w="1651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295377</xdr:colOff>
      <xdr:row>40</xdr:row>
      <xdr:rowOff>50251</xdr:rowOff>
    </xdr:from>
    <xdr:to>
      <xdr:col>19</xdr:col>
      <xdr:colOff>21793</xdr:colOff>
      <xdr:row>40</xdr:row>
      <xdr:rowOff>141401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D5C3E860-71B9-4DE5-9B09-F957FFDBE520}"/>
            </a:ext>
          </a:extLst>
        </xdr:cNvPr>
        <xdr:cNvGrpSpPr/>
      </xdr:nvGrpSpPr>
      <xdr:grpSpPr>
        <a:xfrm>
          <a:off x="6706116" y="6088273"/>
          <a:ext cx="107416" cy="91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3" name="Oval 232">
            <a:extLst>
              <a:ext uri="{FF2B5EF4-FFF2-40B4-BE49-F238E27FC236}">
                <a16:creationId xmlns:a16="http://schemas.microsoft.com/office/drawing/2014/main" id="{1A5745F4-4F18-491E-BFC8-887A828404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9C163A81-9F27-47BF-B1F1-57BCEFE2CBBD}"/>
              </a:ext>
            </a:extLst>
          </xdr:cNvPr>
          <xdr:cNvCxnSpPr>
            <a:stCxn id="233" idx="1"/>
            <a:endCxn id="2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9D5DA177-8E9C-41AD-BCC6-D5BC27DEB007}"/>
              </a:ext>
            </a:extLst>
          </xdr:cNvPr>
          <xdr:cNvCxnSpPr>
            <a:stCxn id="233" idx="3"/>
            <a:endCxn id="2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326281</xdr:colOff>
      <xdr:row>46</xdr:row>
      <xdr:rowOff>68623</xdr:rowOff>
    </xdr:from>
    <xdr:to>
      <xdr:col>19</xdr:col>
      <xdr:colOff>30285</xdr:colOff>
      <xdr:row>47</xdr:row>
      <xdr:rowOff>10363</xdr:rowOff>
    </xdr:to>
    <xdr:grpSp>
      <xdr:nvGrpSpPr>
        <xdr:cNvPr id="236" name="Group 235">
          <a:extLst>
            <a:ext uri="{FF2B5EF4-FFF2-40B4-BE49-F238E27FC236}">
              <a16:creationId xmlns:a16="http://schemas.microsoft.com/office/drawing/2014/main" id="{B39DA683-C517-4E16-8E7D-3750D2946EF9}"/>
            </a:ext>
          </a:extLst>
        </xdr:cNvPr>
        <xdr:cNvGrpSpPr/>
      </xdr:nvGrpSpPr>
      <xdr:grpSpPr>
        <a:xfrm>
          <a:off x="6737020" y="7001166"/>
          <a:ext cx="85004" cy="908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06022AEB-C921-4090-BE81-7A9D29FB5C4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AC8A562D-DEDA-440C-927A-059182405343}"/>
              </a:ext>
            </a:extLst>
          </xdr:cNvPr>
          <xdr:cNvCxnSpPr>
            <a:stCxn id="237" idx="1"/>
            <a:endCxn id="2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E089C72B-ECAF-4921-8F77-396C5FB6EA63}"/>
              </a:ext>
            </a:extLst>
          </xdr:cNvPr>
          <xdr:cNvCxnSpPr>
            <a:stCxn id="237" idx="3"/>
            <a:endCxn id="2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250266</xdr:colOff>
      <xdr:row>50</xdr:row>
      <xdr:rowOff>100320</xdr:rowOff>
    </xdr:from>
    <xdr:to>
      <xdr:col>18</xdr:col>
      <xdr:colOff>361950</xdr:colOff>
      <xdr:row>50</xdr:row>
      <xdr:rowOff>196273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754721FE-B102-40A3-A485-68EE6DC78405}"/>
            </a:ext>
          </a:extLst>
        </xdr:cNvPr>
        <xdr:cNvGrpSpPr/>
      </xdr:nvGrpSpPr>
      <xdr:grpSpPr>
        <a:xfrm>
          <a:off x="6661005" y="7645777"/>
          <a:ext cx="111684" cy="959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1" name="Oval 240">
            <a:extLst>
              <a:ext uri="{FF2B5EF4-FFF2-40B4-BE49-F238E27FC236}">
                <a16:creationId xmlns:a16="http://schemas.microsoft.com/office/drawing/2014/main" id="{C70C747C-21E9-42C2-A217-5D2D6865C6A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21A951B8-E4FC-4F91-B201-98C1EE3912CB}"/>
              </a:ext>
            </a:extLst>
          </xdr:cNvPr>
          <xdr:cNvCxnSpPr>
            <a:stCxn id="241" idx="1"/>
            <a:endCxn id="2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E1289ED-DC5D-424D-B223-E2566B940643}"/>
              </a:ext>
            </a:extLst>
          </xdr:cNvPr>
          <xdr:cNvCxnSpPr>
            <a:stCxn id="241" idx="3"/>
            <a:endCxn id="2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350371</xdr:colOff>
      <xdr:row>45</xdr:row>
      <xdr:rowOff>124653</xdr:rowOff>
    </xdr:from>
    <xdr:to>
      <xdr:col>19</xdr:col>
      <xdr:colOff>54375</xdr:colOff>
      <xdr:row>46</xdr:row>
      <xdr:rowOff>66392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009771BC-8CD1-4182-BD3B-C86BDAC874E1}"/>
            </a:ext>
          </a:extLst>
        </xdr:cNvPr>
        <xdr:cNvGrpSpPr/>
      </xdr:nvGrpSpPr>
      <xdr:grpSpPr>
        <a:xfrm>
          <a:off x="6761110" y="6908110"/>
          <a:ext cx="85004" cy="90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5" name="Oval 244">
            <a:extLst>
              <a:ext uri="{FF2B5EF4-FFF2-40B4-BE49-F238E27FC236}">
                <a16:creationId xmlns:a16="http://schemas.microsoft.com/office/drawing/2014/main" id="{260235DB-077C-4E41-AAC9-9E6A5FDD6C9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729D54F6-2A46-4B77-826E-2B0E55AEFF01}"/>
              </a:ext>
            </a:extLst>
          </xdr:cNvPr>
          <xdr:cNvCxnSpPr>
            <a:stCxn id="245" idx="1"/>
            <a:endCxn id="2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7F595B69-E363-4A68-A681-A154246883E6}"/>
              </a:ext>
            </a:extLst>
          </xdr:cNvPr>
          <xdr:cNvCxnSpPr>
            <a:stCxn id="245" idx="3"/>
            <a:endCxn id="2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</xdr:col>
      <xdr:colOff>77447</xdr:colOff>
      <xdr:row>57</xdr:row>
      <xdr:rowOff>3736</xdr:rowOff>
    </xdr:from>
    <xdr:ext cx="905924" cy="806874"/>
    <xdr:pic>
      <xdr:nvPicPr>
        <xdr:cNvPr id="249" name="Picture 248">
          <a:extLst>
            <a:ext uri="{FF2B5EF4-FFF2-40B4-BE49-F238E27FC236}">
              <a16:creationId xmlns:a16="http://schemas.microsoft.com/office/drawing/2014/main" id="{5938557E-1AA0-416E-9F4A-4723EF758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286623" y="8669618"/>
          <a:ext cx="905924" cy="806874"/>
        </a:xfrm>
        <a:prstGeom prst="rect">
          <a:avLst/>
        </a:prstGeom>
      </xdr:spPr>
    </xdr:pic>
    <xdr:clientData/>
  </xdr:oneCellAnchor>
  <xdr:twoCellAnchor>
    <xdr:from>
      <xdr:col>26</xdr:col>
      <xdr:colOff>23969</xdr:colOff>
      <xdr:row>59</xdr:row>
      <xdr:rowOff>38072</xdr:rowOff>
    </xdr:from>
    <xdr:to>
      <xdr:col>29</xdr:col>
      <xdr:colOff>311192</xdr:colOff>
      <xdr:row>70</xdr:row>
      <xdr:rowOff>142121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AD499978-AEED-478F-B70C-8DE92460BA98}"/>
            </a:ext>
          </a:extLst>
        </xdr:cNvPr>
        <xdr:cNvGrpSpPr/>
      </xdr:nvGrpSpPr>
      <xdr:grpSpPr>
        <a:xfrm>
          <a:off x="9524121" y="9057833"/>
          <a:ext cx="1488201" cy="1744005"/>
          <a:chOff x="9713886" y="808452"/>
          <a:chExt cx="1342558" cy="1766630"/>
        </a:xfrm>
      </xdr:grpSpPr>
      <xdr:grpSp>
        <xdr:nvGrpSpPr>
          <xdr:cNvPr id="251" name="Group 13">
            <a:extLst>
              <a:ext uri="{FF2B5EF4-FFF2-40B4-BE49-F238E27FC236}">
                <a16:creationId xmlns:a16="http://schemas.microsoft.com/office/drawing/2014/main" id="{B0C5F182-86F3-4A76-A251-C5BF811A0429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10" name="Oval 1">
              <a:extLst>
                <a:ext uri="{FF2B5EF4-FFF2-40B4-BE49-F238E27FC236}">
                  <a16:creationId xmlns:a16="http://schemas.microsoft.com/office/drawing/2014/main" id="{8243C23B-1D62-44F9-A58B-5B4B4AB8A59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11" name="Straight Connector 3">
              <a:extLst>
                <a:ext uri="{FF2B5EF4-FFF2-40B4-BE49-F238E27FC236}">
                  <a16:creationId xmlns:a16="http://schemas.microsoft.com/office/drawing/2014/main" id="{F994B640-2B9B-459B-972E-7664E1C62AA3}"/>
                </a:ext>
              </a:extLst>
            </xdr:cNvPr>
            <xdr:cNvCxnSpPr>
              <a:stCxn id="267" idx="1"/>
              <a:endCxn id="26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2" name="Straight Connector 7">
              <a:extLst>
                <a:ext uri="{FF2B5EF4-FFF2-40B4-BE49-F238E27FC236}">
                  <a16:creationId xmlns:a16="http://schemas.microsoft.com/office/drawing/2014/main" id="{BD8859C8-0CE3-457D-ADA1-DA59C9E6266F}"/>
                </a:ext>
              </a:extLst>
            </xdr:cNvPr>
            <xdr:cNvCxnSpPr>
              <a:stCxn id="267" idx="3"/>
              <a:endCxn id="26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2" name="Oval 251">
            <a:extLst>
              <a:ext uri="{FF2B5EF4-FFF2-40B4-BE49-F238E27FC236}">
                <a16:creationId xmlns:a16="http://schemas.microsoft.com/office/drawing/2014/main" id="{67FF3F65-13F8-4CBF-BF24-FED627605A9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53" name="Group 252">
            <a:extLst>
              <a:ext uri="{FF2B5EF4-FFF2-40B4-BE49-F238E27FC236}">
                <a16:creationId xmlns:a16="http://schemas.microsoft.com/office/drawing/2014/main" id="{FA66D8C3-50EC-437E-8E47-BACEB1AA46A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07" name="Oval 306">
              <a:extLst>
                <a:ext uri="{FF2B5EF4-FFF2-40B4-BE49-F238E27FC236}">
                  <a16:creationId xmlns:a16="http://schemas.microsoft.com/office/drawing/2014/main" id="{214B387D-0D9F-46A3-9455-C68FA8968E7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08" name="Straight Connector 307">
              <a:extLst>
                <a:ext uri="{FF2B5EF4-FFF2-40B4-BE49-F238E27FC236}">
                  <a16:creationId xmlns:a16="http://schemas.microsoft.com/office/drawing/2014/main" id="{C231B239-B847-444D-AAFF-CF9F2D59777D}"/>
                </a:ext>
              </a:extLst>
            </xdr:cNvPr>
            <xdr:cNvCxnSpPr>
              <a:stCxn id="307" idx="1"/>
              <a:endCxn id="30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Connector 308">
              <a:extLst>
                <a:ext uri="{FF2B5EF4-FFF2-40B4-BE49-F238E27FC236}">
                  <a16:creationId xmlns:a16="http://schemas.microsoft.com/office/drawing/2014/main" id="{33D99819-AC12-43DE-ACF0-AE439D1C3687}"/>
                </a:ext>
              </a:extLst>
            </xdr:cNvPr>
            <xdr:cNvCxnSpPr>
              <a:stCxn id="307" idx="3"/>
              <a:endCxn id="30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4" name="Oval 253">
            <a:extLst>
              <a:ext uri="{FF2B5EF4-FFF2-40B4-BE49-F238E27FC236}">
                <a16:creationId xmlns:a16="http://schemas.microsoft.com/office/drawing/2014/main" id="{643CDF10-54DF-43DD-AADF-67C05BE43E0D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7DDAAE06-462F-4266-B841-24A117A31CEF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0D3AD8D1-3E68-498E-82E0-E78E3E22A83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64C45EAF-3238-48EB-9487-E248E85876DD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00A18783-011C-450B-B8C4-5351AAB638B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CD7E26F8-03BB-44A5-8DE1-E7C2CCB0BDE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0C03BE2E-F45A-46DC-8622-111DEDEF7535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736F1C62-6049-4439-A39E-BF5DC5990BE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7930A402-795B-4FD5-BB61-5B765067B46D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6A85B030-E1D3-4CD6-A265-0C0553EB521A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57BA9CAA-D855-4427-B960-C3E213E0427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9C92EECB-7F5B-4607-A883-FF21C96108A3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DAEF59CB-CE1C-47A3-94BA-A90219BE306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50">
            <a:extLst>
              <a:ext uri="{FF2B5EF4-FFF2-40B4-BE49-F238E27FC236}">
                <a16:creationId xmlns:a16="http://schemas.microsoft.com/office/drawing/2014/main" id="{D79B2C35-83ED-4BC4-8639-3A704966A90C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D7C532B4-F2AE-41BC-A022-BF60DFB152A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52">
            <a:extLst>
              <a:ext uri="{FF2B5EF4-FFF2-40B4-BE49-F238E27FC236}">
                <a16:creationId xmlns:a16="http://schemas.microsoft.com/office/drawing/2014/main" id="{D5E6A803-851F-44D4-8E2F-F1C23DBCA9E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BFEA6E35-6EBF-4F75-84E6-F1BDBDD296F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02016C0D-ED2E-4241-B718-85E5D2FA5D7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33FA9B50-5633-4922-96A6-35F228947DEA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72A4A5A2-2880-4B87-AC60-71D6A023FEA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DEDCBBE9-7BD0-4A7C-B755-E0CA29C4C0E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95A15351-BDAD-440C-87DD-E470CF4ECB8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553EE715-5E49-4C6B-AFC9-98210085753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Isosceles Triangle 276">
            <a:extLst>
              <a:ext uri="{FF2B5EF4-FFF2-40B4-BE49-F238E27FC236}">
                <a16:creationId xmlns:a16="http://schemas.microsoft.com/office/drawing/2014/main" id="{979DEFD8-7595-4B7D-B5F3-5EFF2F6568A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8" name="Isosceles Triangle 277">
            <a:extLst>
              <a:ext uri="{FF2B5EF4-FFF2-40B4-BE49-F238E27FC236}">
                <a16:creationId xmlns:a16="http://schemas.microsoft.com/office/drawing/2014/main" id="{D6A72A39-5ACE-4F9D-AFE7-9E5C435F7E4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79" name="Group 73">
            <a:extLst>
              <a:ext uri="{FF2B5EF4-FFF2-40B4-BE49-F238E27FC236}">
                <a16:creationId xmlns:a16="http://schemas.microsoft.com/office/drawing/2014/main" id="{3D23D3D0-699C-4B69-84C2-8276F1E547F3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05" name="TextBox 304">
              <a:extLst>
                <a:ext uri="{FF2B5EF4-FFF2-40B4-BE49-F238E27FC236}">
                  <a16:creationId xmlns:a16="http://schemas.microsoft.com/office/drawing/2014/main" id="{5D056CA7-7EAD-40A9-AD61-0887A0E7AA3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06" name="Straight Connector 305">
              <a:extLst>
                <a:ext uri="{FF2B5EF4-FFF2-40B4-BE49-F238E27FC236}">
                  <a16:creationId xmlns:a16="http://schemas.microsoft.com/office/drawing/2014/main" id="{AE0D2D53-5A44-4A7A-9414-9B1C31AE492C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0" name="Group 74">
            <a:extLst>
              <a:ext uri="{FF2B5EF4-FFF2-40B4-BE49-F238E27FC236}">
                <a16:creationId xmlns:a16="http://schemas.microsoft.com/office/drawing/2014/main" id="{E639F883-4C8E-4962-A4B5-C176B07EC1D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03" name="TextBox 302">
              <a:extLst>
                <a:ext uri="{FF2B5EF4-FFF2-40B4-BE49-F238E27FC236}">
                  <a16:creationId xmlns:a16="http://schemas.microsoft.com/office/drawing/2014/main" id="{BB3AAEA3-5013-4243-97F5-99269F2EDE6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04" name="Straight Connector 303">
              <a:extLst>
                <a:ext uri="{FF2B5EF4-FFF2-40B4-BE49-F238E27FC236}">
                  <a16:creationId xmlns:a16="http://schemas.microsoft.com/office/drawing/2014/main" id="{BCF69820-56F6-43E3-AB97-2372526BDC7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1" name="Group 89">
            <a:extLst>
              <a:ext uri="{FF2B5EF4-FFF2-40B4-BE49-F238E27FC236}">
                <a16:creationId xmlns:a16="http://schemas.microsoft.com/office/drawing/2014/main" id="{47B1A9BA-E1AB-4AD8-9A69-3F68884BBFD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F86939AA-17F0-42AD-87EA-106A8579E15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Connector 79">
              <a:extLst>
                <a:ext uri="{FF2B5EF4-FFF2-40B4-BE49-F238E27FC236}">
                  <a16:creationId xmlns:a16="http://schemas.microsoft.com/office/drawing/2014/main" id="{1EF01936-5649-4231-BF50-67C1C76A095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Connector 80">
              <a:extLst>
                <a:ext uri="{FF2B5EF4-FFF2-40B4-BE49-F238E27FC236}">
                  <a16:creationId xmlns:a16="http://schemas.microsoft.com/office/drawing/2014/main" id="{9431F2B0-C53C-4E76-AC04-93683ED3070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88">
              <a:extLst>
                <a:ext uri="{FF2B5EF4-FFF2-40B4-BE49-F238E27FC236}">
                  <a16:creationId xmlns:a16="http://schemas.microsoft.com/office/drawing/2014/main" id="{BC536E3F-89B6-4ED7-B10C-99A27BC5BA5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2" name="Group 90">
            <a:extLst>
              <a:ext uri="{FF2B5EF4-FFF2-40B4-BE49-F238E27FC236}">
                <a16:creationId xmlns:a16="http://schemas.microsoft.com/office/drawing/2014/main" id="{1F885E9F-A73D-4222-90A6-FE0A0CE9F9B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5013BB25-8B4C-4BF3-9E70-69C751FDB2A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id="{27B61540-EC06-436A-98A9-25ACF357140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id="{763A9418-C6B0-432F-936B-4C7B2C2C233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F736B45C-3762-451D-B2DE-E9DAF6CB38E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0D267471-77CB-49DB-9308-81BE1D7B30B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F1A3B5E2-0889-4861-944F-E047E756CE3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Arrow Connector 284">
            <a:extLst>
              <a:ext uri="{FF2B5EF4-FFF2-40B4-BE49-F238E27FC236}">
                <a16:creationId xmlns:a16="http://schemas.microsoft.com/office/drawing/2014/main" id="{DE2CC175-EFFC-4322-A975-543C18619F7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Arrow Connector 285">
            <a:extLst>
              <a:ext uri="{FF2B5EF4-FFF2-40B4-BE49-F238E27FC236}">
                <a16:creationId xmlns:a16="http://schemas.microsoft.com/office/drawing/2014/main" id="{425746E4-AB6A-4EC5-B3C1-37AB6C632A6A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7" name="Group 155">
            <a:extLst>
              <a:ext uri="{FF2B5EF4-FFF2-40B4-BE49-F238E27FC236}">
                <a16:creationId xmlns:a16="http://schemas.microsoft.com/office/drawing/2014/main" id="{8B40EC99-7647-4609-83DC-F437D73593E4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92" name="Isosceles Triangle 291">
              <a:extLst>
                <a:ext uri="{FF2B5EF4-FFF2-40B4-BE49-F238E27FC236}">
                  <a16:creationId xmlns:a16="http://schemas.microsoft.com/office/drawing/2014/main" id="{143D7FFE-D0A9-4FA7-8D66-96D765B32A0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3" name="Isosceles Triangle 292">
              <a:extLst>
                <a:ext uri="{FF2B5EF4-FFF2-40B4-BE49-F238E27FC236}">
                  <a16:creationId xmlns:a16="http://schemas.microsoft.com/office/drawing/2014/main" id="{A53C625A-F1E6-4485-A0CB-5C1382556037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4" name="Isosceles Triangle 293">
              <a:extLst>
                <a:ext uri="{FF2B5EF4-FFF2-40B4-BE49-F238E27FC236}">
                  <a16:creationId xmlns:a16="http://schemas.microsoft.com/office/drawing/2014/main" id="{869E0D39-AA7C-47A1-8162-E29ED590A5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88" name="Group 134">
            <a:extLst>
              <a:ext uri="{FF2B5EF4-FFF2-40B4-BE49-F238E27FC236}">
                <a16:creationId xmlns:a16="http://schemas.microsoft.com/office/drawing/2014/main" id="{1C463987-2F20-4F36-8964-8E1BED1F206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89" name="Isosceles Triangle 288">
              <a:extLst>
                <a:ext uri="{FF2B5EF4-FFF2-40B4-BE49-F238E27FC236}">
                  <a16:creationId xmlns:a16="http://schemas.microsoft.com/office/drawing/2014/main" id="{66AAB1FC-6EFC-4558-8339-1A147C95610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0" name="Isosceles Triangle 289">
              <a:extLst>
                <a:ext uri="{FF2B5EF4-FFF2-40B4-BE49-F238E27FC236}">
                  <a16:creationId xmlns:a16="http://schemas.microsoft.com/office/drawing/2014/main" id="{095F6FAE-B0A8-4ADD-AD6D-79E37226665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1" name="Isosceles Triangle 290">
              <a:extLst>
                <a:ext uri="{FF2B5EF4-FFF2-40B4-BE49-F238E27FC236}">
                  <a16:creationId xmlns:a16="http://schemas.microsoft.com/office/drawing/2014/main" id="{825BC382-70A3-441B-8D8D-ED27B177CC9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162243</xdr:colOff>
      <xdr:row>42</xdr:row>
      <xdr:rowOff>99782</xdr:rowOff>
    </xdr:from>
    <xdr:to>
      <xdr:col>20</xdr:col>
      <xdr:colOff>250609</xdr:colOff>
      <xdr:row>43</xdr:row>
      <xdr:rowOff>44509</xdr:rowOff>
    </xdr:to>
    <xdr:grpSp>
      <xdr:nvGrpSpPr>
        <xdr:cNvPr id="315" name="Group 314">
          <a:extLst>
            <a:ext uri="{FF2B5EF4-FFF2-40B4-BE49-F238E27FC236}">
              <a16:creationId xmlns:a16="http://schemas.microsoft.com/office/drawing/2014/main" id="{9E74BA97-4159-4C1E-8534-091D9A591F03}"/>
            </a:ext>
          </a:extLst>
        </xdr:cNvPr>
        <xdr:cNvGrpSpPr/>
      </xdr:nvGrpSpPr>
      <xdr:grpSpPr>
        <a:xfrm>
          <a:off x="7334982" y="6435978"/>
          <a:ext cx="88366" cy="9381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6" name="Oval 315">
            <a:extLst>
              <a:ext uri="{FF2B5EF4-FFF2-40B4-BE49-F238E27FC236}">
                <a16:creationId xmlns:a16="http://schemas.microsoft.com/office/drawing/2014/main" id="{0DCDACA1-F43C-4D8B-8CDB-785B363236B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158CADAF-87BB-4BC7-95CB-A73F2A77D611}"/>
              </a:ext>
            </a:extLst>
          </xdr:cNvPr>
          <xdr:cNvCxnSpPr>
            <a:stCxn id="316" idx="1"/>
            <a:endCxn id="3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C14764B2-8DB3-4EE8-806D-4DF08AB1D106}"/>
              </a:ext>
            </a:extLst>
          </xdr:cNvPr>
          <xdr:cNvCxnSpPr>
            <a:stCxn id="316" idx="3"/>
            <a:endCxn id="3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288702</xdr:colOff>
      <xdr:row>81</xdr:row>
      <xdr:rowOff>68595</xdr:rowOff>
    </xdr:from>
    <xdr:to>
      <xdr:col>14</xdr:col>
      <xdr:colOff>17386</xdr:colOff>
      <xdr:row>82</xdr:row>
      <xdr:rowOff>13125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F5553F96-92ED-4558-B258-2123BEF734EC}"/>
            </a:ext>
          </a:extLst>
        </xdr:cNvPr>
        <xdr:cNvGrpSpPr/>
      </xdr:nvGrpSpPr>
      <xdr:grpSpPr>
        <a:xfrm>
          <a:off x="4794441" y="12368269"/>
          <a:ext cx="109684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2177C253-9D7F-4DB1-8D4F-1CF58F31E0B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F1B2F50E-74AE-412A-9D98-C59D494201FD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7E62E1B8-3175-4C83-9737-654857784A35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19510</xdr:colOff>
      <xdr:row>65</xdr:row>
      <xdr:rowOff>73104</xdr:rowOff>
    </xdr:from>
    <xdr:to>
      <xdr:col>18</xdr:col>
      <xdr:colOff>107876</xdr:colOff>
      <xdr:row>66</xdr:row>
      <xdr:rowOff>12025</xdr:rowOff>
    </xdr:to>
    <xdr:grpSp>
      <xdr:nvGrpSpPr>
        <xdr:cNvPr id="327" name="Group 326">
          <a:extLst>
            <a:ext uri="{FF2B5EF4-FFF2-40B4-BE49-F238E27FC236}">
              <a16:creationId xmlns:a16="http://schemas.microsoft.com/office/drawing/2014/main" id="{1398AFFD-9147-4A16-9154-63CB0D32D7AA}"/>
            </a:ext>
          </a:extLst>
        </xdr:cNvPr>
        <xdr:cNvGrpSpPr/>
      </xdr:nvGrpSpPr>
      <xdr:grpSpPr>
        <a:xfrm>
          <a:off x="6430249" y="9987387"/>
          <a:ext cx="88366" cy="8800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8" name="Oval 327">
            <a:extLst>
              <a:ext uri="{FF2B5EF4-FFF2-40B4-BE49-F238E27FC236}">
                <a16:creationId xmlns:a16="http://schemas.microsoft.com/office/drawing/2014/main" id="{DE589732-BE7C-49E4-A527-2790917828E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9" name="Straight Connector 328">
            <a:extLst>
              <a:ext uri="{FF2B5EF4-FFF2-40B4-BE49-F238E27FC236}">
                <a16:creationId xmlns:a16="http://schemas.microsoft.com/office/drawing/2014/main" id="{E1D539CD-2130-4712-B277-603022250246}"/>
              </a:ext>
            </a:extLst>
          </xdr:cNvPr>
          <xdr:cNvCxnSpPr>
            <a:stCxn id="328" idx="1"/>
            <a:endCxn id="3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0" name="Straight Connector 329">
            <a:extLst>
              <a:ext uri="{FF2B5EF4-FFF2-40B4-BE49-F238E27FC236}">
                <a16:creationId xmlns:a16="http://schemas.microsoft.com/office/drawing/2014/main" id="{3B3B7A32-4529-44E6-93D0-C0D26290335D}"/>
              </a:ext>
            </a:extLst>
          </xdr:cNvPr>
          <xdr:cNvCxnSpPr>
            <a:stCxn id="328" idx="3"/>
            <a:endCxn id="3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275301</xdr:colOff>
      <xdr:row>105</xdr:row>
      <xdr:rowOff>44950</xdr:rowOff>
    </xdr:from>
    <xdr:to>
      <xdr:col>10</xdr:col>
      <xdr:colOff>157321</xdr:colOff>
      <xdr:row>106</xdr:row>
      <xdr:rowOff>51301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1C4F7B4D-8EF3-4D1F-986C-1DBC794C558F}"/>
            </a:ext>
          </a:extLst>
        </xdr:cNvPr>
        <xdr:cNvGrpSpPr/>
      </xdr:nvGrpSpPr>
      <xdr:grpSpPr>
        <a:xfrm>
          <a:off x="3257040" y="15922711"/>
          <a:ext cx="263020" cy="155438"/>
          <a:chOff x="4529992" y="2801837"/>
          <a:chExt cx="276714" cy="158750"/>
        </a:xfrm>
      </xdr:grpSpPr>
      <xdr:sp macro="" textlink="">
        <xdr:nvSpPr>
          <xdr:cNvPr id="334" name="Isosceles Triangle 333">
            <a:extLst>
              <a:ext uri="{FF2B5EF4-FFF2-40B4-BE49-F238E27FC236}">
                <a16:creationId xmlns:a16="http://schemas.microsoft.com/office/drawing/2014/main" id="{8D03341F-9F64-41E6-90ED-DFFDFCDDC3E1}"/>
              </a:ext>
            </a:extLst>
          </xdr:cNvPr>
          <xdr:cNvSpPr/>
        </xdr:nvSpPr>
        <xdr:spPr>
          <a:xfrm>
            <a:off x="4529992" y="2801837"/>
            <a:ext cx="142875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5" name="Isosceles Triangle 334">
            <a:extLst>
              <a:ext uri="{FF2B5EF4-FFF2-40B4-BE49-F238E27FC236}">
                <a16:creationId xmlns:a16="http://schemas.microsoft.com/office/drawing/2014/main" id="{CE080D96-D862-4BA1-A6FE-A01520D0B882}"/>
              </a:ext>
            </a:extLst>
          </xdr:cNvPr>
          <xdr:cNvSpPr/>
        </xdr:nvSpPr>
        <xdr:spPr>
          <a:xfrm>
            <a:off x="4593492" y="280818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6" name="Isosceles Triangle 335">
            <a:extLst>
              <a:ext uri="{FF2B5EF4-FFF2-40B4-BE49-F238E27FC236}">
                <a16:creationId xmlns:a16="http://schemas.microsoft.com/office/drawing/2014/main" id="{6999DC72-4B23-4783-8ED7-BAD6633553BE}"/>
              </a:ext>
            </a:extLst>
          </xdr:cNvPr>
          <xdr:cNvSpPr/>
        </xdr:nvSpPr>
        <xdr:spPr>
          <a:xfrm>
            <a:off x="4663342" y="280183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227628</xdr:colOff>
      <xdr:row>103</xdr:row>
      <xdr:rowOff>104334</xdr:rowOff>
    </xdr:from>
    <xdr:to>
      <xdr:col>13</xdr:col>
      <xdr:colOff>387476</xdr:colOff>
      <xdr:row>104</xdr:row>
      <xdr:rowOff>116832</xdr:rowOff>
    </xdr:to>
    <xdr:sp macro="" textlink="">
      <xdr:nvSpPr>
        <xdr:cNvPr id="337" name="Rectangle 336">
          <a:extLst>
            <a:ext uri="{FF2B5EF4-FFF2-40B4-BE49-F238E27FC236}">
              <a16:creationId xmlns:a16="http://schemas.microsoft.com/office/drawing/2014/main" id="{DEBBE219-C161-4CA0-9B94-8CD93E15EC8E}"/>
            </a:ext>
          </a:extLst>
        </xdr:cNvPr>
        <xdr:cNvSpPr/>
      </xdr:nvSpPr>
      <xdr:spPr>
        <a:xfrm rot="259415">
          <a:off x="4935387" y="16009989"/>
          <a:ext cx="159848" cy="165774"/>
        </a:xfrm>
        <a:prstGeom prst="rect">
          <a:avLst/>
        </a:prstGeom>
        <a:solidFill>
          <a:srgbClr val="FF0000"/>
        </a:solidFill>
        <a:ln w="9525"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10</xdr:col>
      <xdr:colOff>288735</xdr:colOff>
      <xdr:row>103</xdr:row>
      <xdr:rowOff>108603</xdr:rowOff>
    </xdr:from>
    <xdr:to>
      <xdr:col>11</xdr:col>
      <xdr:colOff>263301</xdr:colOff>
      <xdr:row>106</xdr:row>
      <xdr:rowOff>103925</xdr:rowOff>
    </xdr:to>
    <xdr:sp macro="" textlink="">
      <xdr:nvSpPr>
        <xdr:cNvPr id="339" name="Rectangle 338">
          <a:extLst>
            <a:ext uri="{FF2B5EF4-FFF2-40B4-BE49-F238E27FC236}">
              <a16:creationId xmlns:a16="http://schemas.microsoft.com/office/drawing/2014/main" id="{7AB8B775-9FA4-4A36-A358-7CEDA1870A3D}"/>
            </a:ext>
          </a:extLst>
        </xdr:cNvPr>
        <xdr:cNvSpPr/>
      </xdr:nvSpPr>
      <xdr:spPr>
        <a:xfrm rot="159777">
          <a:off x="3800942" y="16014258"/>
          <a:ext cx="373083" cy="45515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17</xdr:col>
      <xdr:colOff>241969</xdr:colOff>
      <xdr:row>69</xdr:row>
      <xdr:rowOff>122518</xdr:rowOff>
    </xdr:from>
    <xdr:to>
      <xdr:col>17</xdr:col>
      <xdr:colOff>349385</xdr:colOff>
      <xdr:row>70</xdr:row>
      <xdr:rowOff>64258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E20E43C5-EF95-48BF-89F2-299ED49D59B9}"/>
            </a:ext>
          </a:extLst>
        </xdr:cNvPr>
        <xdr:cNvGrpSpPr/>
      </xdr:nvGrpSpPr>
      <xdr:grpSpPr>
        <a:xfrm>
          <a:off x="6271708" y="10633148"/>
          <a:ext cx="107416" cy="908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1F27BEAC-5FF2-4009-A701-D1BC479F03B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B632AE6C-E5DB-49D9-A50D-117393243307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89E45182-5C24-4F45-8A29-09C1F12A427C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176870</xdr:colOff>
      <xdr:row>58</xdr:row>
      <xdr:rowOff>5408</xdr:rowOff>
    </xdr:from>
    <xdr:to>
      <xdr:col>18</xdr:col>
      <xdr:colOff>284286</xdr:colOff>
      <xdr:row>58</xdr:row>
      <xdr:rowOff>103670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1FFAC2B6-C6D1-455D-837E-94D549FD5783}"/>
            </a:ext>
          </a:extLst>
        </xdr:cNvPr>
        <xdr:cNvGrpSpPr/>
      </xdr:nvGrpSpPr>
      <xdr:grpSpPr>
        <a:xfrm>
          <a:off x="6587609" y="8876082"/>
          <a:ext cx="107416" cy="982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78D185B8-9DC5-4A05-B653-6AEAB965E44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B2C68A3C-8BD1-4074-A449-723D250558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C5EFC800-8166-488A-BA42-8AF35A1A8703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63408</xdr:colOff>
      <xdr:row>73</xdr:row>
      <xdr:rowOff>113565</xdr:rowOff>
    </xdr:from>
    <xdr:to>
      <xdr:col>15</xdr:col>
      <xdr:colOff>167950</xdr:colOff>
      <xdr:row>74</xdr:row>
      <xdr:rowOff>64320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BF157635-EC9F-439D-85F8-3B1AFEAA33B1}"/>
            </a:ext>
          </a:extLst>
        </xdr:cNvPr>
        <xdr:cNvGrpSpPr/>
      </xdr:nvGrpSpPr>
      <xdr:grpSpPr>
        <a:xfrm>
          <a:off x="5331147" y="11220543"/>
          <a:ext cx="104542" cy="998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0" name="Oval 359">
            <a:extLst>
              <a:ext uri="{FF2B5EF4-FFF2-40B4-BE49-F238E27FC236}">
                <a16:creationId xmlns:a16="http://schemas.microsoft.com/office/drawing/2014/main" id="{5F0E605A-FF8E-47E1-A0C7-9B6185D26E2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3DB2F1AF-6096-47CF-9649-85A9239E7D77}"/>
              </a:ext>
            </a:extLst>
          </xdr:cNvPr>
          <xdr:cNvCxnSpPr>
            <a:stCxn id="360" idx="1"/>
            <a:endCxn id="3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19406A50-0DC8-4975-8780-FA612B8CB0A3}"/>
              </a:ext>
            </a:extLst>
          </xdr:cNvPr>
          <xdr:cNvCxnSpPr>
            <a:stCxn id="360" idx="3"/>
            <a:endCxn id="3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47108</xdr:colOff>
      <xdr:row>78</xdr:row>
      <xdr:rowOff>137895</xdr:rowOff>
    </xdr:from>
    <xdr:to>
      <xdr:col>14</xdr:col>
      <xdr:colOff>154524</xdr:colOff>
      <xdr:row>79</xdr:row>
      <xdr:rowOff>70563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E1A33A45-1A9D-4502-ADB0-A8B05E384070}"/>
            </a:ext>
          </a:extLst>
        </xdr:cNvPr>
        <xdr:cNvGrpSpPr/>
      </xdr:nvGrpSpPr>
      <xdr:grpSpPr>
        <a:xfrm>
          <a:off x="4933847" y="11990308"/>
          <a:ext cx="107416" cy="81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4" name="Oval 363">
            <a:extLst>
              <a:ext uri="{FF2B5EF4-FFF2-40B4-BE49-F238E27FC236}">
                <a16:creationId xmlns:a16="http://schemas.microsoft.com/office/drawing/2014/main" id="{5A68E5B5-F902-4BF1-B913-286D0E62CF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99A6E4E1-FE0A-412D-8BC3-F1130ED9A08C}"/>
              </a:ext>
            </a:extLst>
          </xdr:cNvPr>
          <xdr:cNvCxnSpPr>
            <a:stCxn id="364" idx="1"/>
            <a:endCxn id="3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B126DF74-5282-4052-B088-CC46AAFC1F08}"/>
              </a:ext>
            </a:extLst>
          </xdr:cNvPr>
          <xdr:cNvCxnSpPr>
            <a:stCxn id="364" idx="3"/>
            <a:endCxn id="3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188713</xdr:colOff>
      <xdr:row>85</xdr:row>
      <xdr:rowOff>101184</xdr:rowOff>
    </xdr:from>
    <xdr:to>
      <xdr:col>12</xdr:col>
      <xdr:colOff>277987</xdr:colOff>
      <xdr:row>86</xdr:row>
      <xdr:rowOff>45713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20E2A65F-5AD8-4D8D-86B9-EF19378CB2BA}"/>
            </a:ext>
          </a:extLst>
        </xdr:cNvPr>
        <xdr:cNvGrpSpPr/>
      </xdr:nvGrpSpPr>
      <xdr:grpSpPr>
        <a:xfrm>
          <a:off x="4313452" y="12997206"/>
          <a:ext cx="89274" cy="936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8" name="Oval 367">
            <a:extLst>
              <a:ext uri="{FF2B5EF4-FFF2-40B4-BE49-F238E27FC236}">
                <a16:creationId xmlns:a16="http://schemas.microsoft.com/office/drawing/2014/main" id="{5E3DCEEE-8443-4B37-B9A6-0A3FF5DE8D0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25016C51-9F4D-432C-88BA-D3B436260AA6}"/>
              </a:ext>
            </a:extLst>
          </xdr:cNvPr>
          <xdr:cNvCxnSpPr>
            <a:stCxn id="368" idx="1"/>
            <a:endCxn id="3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8F3EF338-C4C6-48F8-88CE-5794B40729FB}"/>
              </a:ext>
            </a:extLst>
          </xdr:cNvPr>
          <xdr:cNvCxnSpPr>
            <a:stCxn id="368" idx="3"/>
            <a:endCxn id="3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155907</xdr:colOff>
      <xdr:row>101</xdr:row>
      <xdr:rowOff>106485</xdr:rowOff>
    </xdr:from>
    <xdr:to>
      <xdr:col>9</xdr:col>
      <xdr:colOff>263323</xdr:colOff>
      <xdr:row>102</xdr:row>
      <xdr:rowOff>51015</xdr:rowOff>
    </xdr:to>
    <xdr:grpSp>
      <xdr:nvGrpSpPr>
        <xdr:cNvPr id="371" name="Group 370">
          <a:extLst>
            <a:ext uri="{FF2B5EF4-FFF2-40B4-BE49-F238E27FC236}">
              <a16:creationId xmlns:a16="http://schemas.microsoft.com/office/drawing/2014/main" id="{683981DC-FEE4-4D38-8D4C-52AF87545FEC}"/>
            </a:ext>
          </a:extLst>
        </xdr:cNvPr>
        <xdr:cNvGrpSpPr/>
      </xdr:nvGrpSpPr>
      <xdr:grpSpPr>
        <a:xfrm>
          <a:off x="3137646" y="15387898"/>
          <a:ext cx="107416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2" name="Oval 371">
            <a:extLst>
              <a:ext uri="{FF2B5EF4-FFF2-40B4-BE49-F238E27FC236}">
                <a16:creationId xmlns:a16="http://schemas.microsoft.com/office/drawing/2014/main" id="{9E4F833A-F967-4FB8-BC71-77CE57BBD0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08B4B103-B8F3-4962-9D99-33008B73E46E}"/>
              </a:ext>
            </a:extLst>
          </xdr:cNvPr>
          <xdr:cNvCxnSpPr>
            <a:stCxn id="372" idx="1"/>
            <a:endCxn id="3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076FF62F-2E77-4DD5-9FE7-DC955683F91A}"/>
              </a:ext>
            </a:extLst>
          </xdr:cNvPr>
          <xdr:cNvCxnSpPr>
            <a:stCxn id="372" idx="3"/>
            <a:endCxn id="3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278404</xdr:colOff>
      <xdr:row>98</xdr:row>
      <xdr:rowOff>17090</xdr:rowOff>
    </xdr:from>
    <xdr:to>
      <xdr:col>9</xdr:col>
      <xdr:colOff>385820</xdr:colOff>
      <xdr:row>98</xdr:row>
      <xdr:rowOff>113437</xdr:rowOff>
    </xdr:to>
    <xdr:grpSp>
      <xdr:nvGrpSpPr>
        <xdr:cNvPr id="375" name="Group 374">
          <a:extLst>
            <a:ext uri="{FF2B5EF4-FFF2-40B4-BE49-F238E27FC236}">
              <a16:creationId xmlns:a16="http://schemas.microsoft.com/office/drawing/2014/main" id="{7B5299E7-EC6A-4F8C-B9A1-AE69C1490BE7}"/>
            </a:ext>
          </a:extLst>
        </xdr:cNvPr>
        <xdr:cNvGrpSpPr/>
      </xdr:nvGrpSpPr>
      <xdr:grpSpPr>
        <a:xfrm>
          <a:off x="3260143" y="14851242"/>
          <a:ext cx="97891" cy="9634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6" name="Oval 375">
            <a:extLst>
              <a:ext uri="{FF2B5EF4-FFF2-40B4-BE49-F238E27FC236}">
                <a16:creationId xmlns:a16="http://schemas.microsoft.com/office/drawing/2014/main" id="{399C2B56-1026-462B-9FA0-031931F9059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7" name="Straight Connector 376">
            <a:extLst>
              <a:ext uri="{FF2B5EF4-FFF2-40B4-BE49-F238E27FC236}">
                <a16:creationId xmlns:a16="http://schemas.microsoft.com/office/drawing/2014/main" id="{8B76558B-1013-4080-8F0A-E4B98C4DB616}"/>
              </a:ext>
            </a:extLst>
          </xdr:cNvPr>
          <xdr:cNvCxnSpPr>
            <a:stCxn id="376" idx="1"/>
            <a:endCxn id="3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Connector 377">
            <a:extLst>
              <a:ext uri="{FF2B5EF4-FFF2-40B4-BE49-F238E27FC236}">
                <a16:creationId xmlns:a16="http://schemas.microsoft.com/office/drawing/2014/main" id="{2825EABA-3C33-4368-B72B-A99A0E6F421A}"/>
              </a:ext>
            </a:extLst>
          </xdr:cNvPr>
          <xdr:cNvCxnSpPr>
            <a:stCxn id="376" idx="3"/>
            <a:endCxn id="3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359125</xdr:colOff>
      <xdr:row>99</xdr:row>
      <xdr:rowOff>69780</xdr:rowOff>
    </xdr:from>
    <xdr:to>
      <xdr:col>10</xdr:col>
      <xdr:colOff>66002</xdr:colOff>
      <xdr:row>100</xdr:row>
      <xdr:rowOff>11519</xdr:rowOff>
    </xdr:to>
    <xdr:grpSp>
      <xdr:nvGrpSpPr>
        <xdr:cNvPr id="397" name="Group 396">
          <a:extLst>
            <a:ext uri="{FF2B5EF4-FFF2-40B4-BE49-F238E27FC236}">
              <a16:creationId xmlns:a16="http://schemas.microsoft.com/office/drawing/2014/main" id="{9A6D49B8-D193-4DBA-BB30-9CE79420D48D}"/>
            </a:ext>
          </a:extLst>
        </xdr:cNvPr>
        <xdr:cNvGrpSpPr/>
      </xdr:nvGrpSpPr>
      <xdr:grpSpPr>
        <a:xfrm>
          <a:off x="3340864" y="15053019"/>
          <a:ext cx="87877" cy="908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8" name="Oval 397">
            <a:extLst>
              <a:ext uri="{FF2B5EF4-FFF2-40B4-BE49-F238E27FC236}">
                <a16:creationId xmlns:a16="http://schemas.microsoft.com/office/drawing/2014/main" id="{1C731F33-10E4-4FB3-AFFD-E2EBBC0781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5D0A438F-3E0B-47D6-ADA9-C22A5D27A105}"/>
              </a:ext>
            </a:extLst>
          </xdr:cNvPr>
          <xdr:cNvCxnSpPr>
            <a:stCxn id="398" idx="1"/>
            <a:endCxn id="3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2CC106B3-F25F-469C-A155-E896383DCB41}"/>
              </a:ext>
            </a:extLst>
          </xdr:cNvPr>
          <xdr:cNvCxnSpPr>
            <a:stCxn id="398" idx="3"/>
            <a:endCxn id="3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166812</xdr:colOff>
      <xdr:row>96</xdr:row>
      <xdr:rowOff>143331</xdr:rowOff>
    </xdr:from>
    <xdr:to>
      <xdr:col>10</xdr:col>
      <xdr:colOff>274228</xdr:colOff>
      <xdr:row>97</xdr:row>
      <xdr:rowOff>85069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B1541D2B-5396-49C9-B2AF-1DAA26ED8656}"/>
            </a:ext>
          </a:extLst>
        </xdr:cNvPr>
        <xdr:cNvGrpSpPr/>
      </xdr:nvGrpSpPr>
      <xdr:grpSpPr>
        <a:xfrm>
          <a:off x="3529551" y="14679309"/>
          <a:ext cx="107416" cy="90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2" name="Oval 401">
            <a:extLst>
              <a:ext uri="{FF2B5EF4-FFF2-40B4-BE49-F238E27FC236}">
                <a16:creationId xmlns:a16="http://schemas.microsoft.com/office/drawing/2014/main" id="{F0108E6F-D015-4FE2-B3E4-1CEE9D27DF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38C6784A-8CDD-4103-B02E-30877409BC97}"/>
              </a:ext>
            </a:extLst>
          </xdr:cNvPr>
          <xdr:cNvCxnSpPr>
            <a:stCxn id="402" idx="1"/>
            <a:endCxn id="4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Connector 403">
            <a:extLst>
              <a:ext uri="{FF2B5EF4-FFF2-40B4-BE49-F238E27FC236}">
                <a16:creationId xmlns:a16="http://schemas.microsoft.com/office/drawing/2014/main" id="{0FCD212A-02AE-4876-8B34-01AE0B907063}"/>
              </a:ext>
            </a:extLst>
          </xdr:cNvPr>
          <xdr:cNvCxnSpPr>
            <a:stCxn id="402" idx="3"/>
            <a:endCxn id="4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317500</xdr:colOff>
      <xdr:row>102</xdr:row>
      <xdr:rowOff>145143</xdr:rowOff>
    </xdr:from>
    <xdr:to>
      <xdr:col>17</xdr:col>
      <xdr:colOff>25773</xdr:colOff>
      <xdr:row>102</xdr:row>
      <xdr:rowOff>152196</xdr:rowOff>
    </xdr:to>
    <xdr:grpSp>
      <xdr:nvGrpSpPr>
        <xdr:cNvPr id="405" name="Group 404">
          <a:extLst>
            <a:ext uri="{FF2B5EF4-FFF2-40B4-BE49-F238E27FC236}">
              <a16:creationId xmlns:a16="http://schemas.microsoft.com/office/drawing/2014/main" id="{AD1AE609-C457-454D-9F28-7E0CF1AB813D}"/>
            </a:ext>
          </a:extLst>
        </xdr:cNvPr>
        <xdr:cNvGrpSpPr/>
      </xdr:nvGrpSpPr>
      <xdr:grpSpPr>
        <a:xfrm>
          <a:off x="5966239" y="15575643"/>
          <a:ext cx="89273" cy="70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6" name="Oval 405">
            <a:extLst>
              <a:ext uri="{FF2B5EF4-FFF2-40B4-BE49-F238E27FC236}">
                <a16:creationId xmlns:a16="http://schemas.microsoft.com/office/drawing/2014/main" id="{3C381312-1D62-45B8-AAD0-B9936B1626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9065E705-11CF-4818-8EC3-3E48E2E1CF4A}"/>
              </a:ext>
            </a:extLst>
          </xdr:cNvPr>
          <xdr:cNvCxnSpPr>
            <a:stCxn id="406" idx="1"/>
            <a:endCxn id="4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Straight Connector 407">
            <a:extLst>
              <a:ext uri="{FF2B5EF4-FFF2-40B4-BE49-F238E27FC236}">
                <a16:creationId xmlns:a16="http://schemas.microsoft.com/office/drawing/2014/main" id="{99376393-DFF7-43FF-9A91-A132B297291A}"/>
              </a:ext>
            </a:extLst>
          </xdr:cNvPr>
          <xdr:cNvCxnSpPr>
            <a:stCxn id="406" idx="3"/>
            <a:endCxn id="4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90828</xdr:colOff>
      <xdr:row>91</xdr:row>
      <xdr:rowOff>49107</xdr:rowOff>
    </xdr:from>
    <xdr:to>
      <xdr:col>11</xdr:col>
      <xdr:colOff>198244</xdr:colOff>
      <xdr:row>91</xdr:row>
      <xdr:rowOff>141241</xdr:rowOff>
    </xdr:to>
    <xdr:grpSp>
      <xdr:nvGrpSpPr>
        <xdr:cNvPr id="409" name="Group 408">
          <a:extLst>
            <a:ext uri="{FF2B5EF4-FFF2-40B4-BE49-F238E27FC236}">
              <a16:creationId xmlns:a16="http://schemas.microsoft.com/office/drawing/2014/main" id="{2D4A50F0-BCD6-44ED-91C6-50D92D1F63D0}"/>
            </a:ext>
          </a:extLst>
        </xdr:cNvPr>
        <xdr:cNvGrpSpPr/>
      </xdr:nvGrpSpPr>
      <xdr:grpSpPr>
        <a:xfrm>
          <a:off x="3834567" y="13839650"/>
          <a:ext cx="107416" cy="921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0" name="Oval 409">
            <a:extLst>
              <a:ext uri="{FF2B5EF4-FFF2-40B4-BE49-F238E27FC236}">
                <a16:creationId xmlns:a16="http://schemas.microsoft.com/office/drawing/2014/main" id="{06FC9170-B243-4174-8314-516EE1247C1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1" name="Straight Connector 410">
            <a:extLst>
              <a:ext uri="{FF2B5EF4-FFF2-40B4-BE49-F238E27FC236}">
                <a16:creationId xmlns:a16="http://schemas.microsoft.com/office/drawing/2014/main" id="{4DF50534-DA8E-462C-9675-EEF69F4FE05D}"/>
              </a:ext>
            </a:extLst>
          </xdr:cNvPr>
          <xdr:cNvCxnSpPr>
            <a:stCxn id="410" idx="1"/>
            <a:endCxn id="4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Connector 411">
            <a:extLst>
              <a:ext uri="{FF2B5EF4-FFF2-40B4-BE49-F238E27FC236}">
                <a16:creationId xmlns:a16="http://schemas.microsoft.com/office/drawing/2014/main" id="{7E57D3DB-855D-428B-860C-3068A8171103}"/>
              </a:ext>
            </a:extLst>
          </xdr:cNvPr>
          <xdr:cNvCxnSpPr>
            <a:stCxn id="410" idx="3"/>
            <a:endCxn id="4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343290</xdr:colOff>
      <xdr:row>65</xdr:row>
      <xdr:rowOff>120893</xdr:rowOff>
    </xdr:from>
    <xdr:to>
      <xdr:col>17</xdr:col>
      <xdr:colOff>50656</xdr:colOff>
      <xdr:row>66</xdr:row>
      <xdr:rowOff>61209</xdr:rowOff>
    </xdr:to>
    <xdr:grpSp>
      <xdr:nvGrpSpPr>
        <xdr:cNvPr id="418" name="Group 417">
          <a:extLst>
            <a:ext uri="{FF2B5EF4-FFF2-40B4-BE49-F238E27FC236}">
              <a16:creationId xmlns:a16="http://schemas.microsoft.com/office/drawing/2014/main" id="{154EBD0C-D7DF-4D5D-B7A5-7E59ED4A523C}"/>
            </a:ext>
          </a:extLst>
        </xdr:cNvPr>
        <xdr:cNvGrpSpPr/>
      </xdr:nvGrpSpPr>
      <xdr:grpSpPr>
        <a:xfrm>
          <a:off x="5992029" y="10035176"/>
          <a:ext cx="88366" cy="894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9" name="Oval 418">
            <a:extLst>
              <a:ext uri="{FF2B5EF4-FFF2-40B4-BE49-F238E27FC236}">
                <a16:creationId xmlns:a16="http://schemas.microsoft.com/office/drawing/2014/main" id="{146D2D3A-FA8A-494A-A671-0877C96F65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0" name="Straight Connector 419">
            <a:extLst>
              <a:ext uri="{FF2B5EF4-FFF2-40B4-BE49-F238E27FC236}">
                <a16:creationId xmlns:a16="http://schemas.microsoft.com/office/drawing/2014/main" id="{48D76606-2F05-4BA9-A409-C5AB2366F8CF}"/>
              </a:ext>
            </a:extLst>
          </xdr:cNvPr>
          <xdr:cNvCxnSpPr>
            <a:stCxn id="419" idx="1"/>
            <a:endCxn id="4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1" name="Straight Connector 420">
            <a:extLst>
              <a:ext uri="{FF2B5EF4-FFF2-40B4-BE49-F238E27FC236}">
                <a16:creationId xmlns:a16="http://schemas.microsoft.com/office/drawing/2014/main" id="{58C60216-B631-43E8-BB37-DCB61C800249}"/>
              </a:ext>
            </a:extLst>
          </xdr:cNvPr>
          <xdr:cNvCxnSpPr>
            <a:stCxn id="419" idx="3"/>
            <a:endCxn id="4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157243</xdr:colOff>
      <xdr:row>68</xdr:row>
      <xdr:rowOff>4350</xdr:rowOff>
    </xdr:from>
    <xdr:to>
      <xdr:col>16</xdr:col>
      <xdr:colOff>229044</xdr:colOff>
      <xdr:row>68</xdr:row>
      <xdr:rowOff>94275</xdr:rowOff>
    </xdr:to>
    <xdr:grpSp>
      <xdr:nvGrpSpPr>
        <xdr:cNvPr id="422" name="Group 421">
          <a:extLst>
            <a:ext uri="{FF2B5EF4-FFF2-40B4-BE49-F238E27FC236}">
              <a16:creationId xmlns:a16="http://schemas.microsoft.com/office/drawing/2014/main" id="{C926EA13-9C68-44C4-B86A-A104F40F2546}"/>
            </a:ext>
          </a:extLst>
        </xdr:cNvPr>
        <xdr:cNvGrpSpPr/>
      </xdr:nvGrpSpPr>
      <xdr:grpSpPr>
        <a:xfrm>
          <a:off x="5805982" y="10365893"/>
          <a:ext cx="71801" cy="899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3" name="Oval 422">
            <a:extLst>
              <a:ext uri="{FF2B5EF4-FFF2-40B4-BE49-F238E27FC236}">
                <a16:creationId xmlns:a16="http://schemas.microsoft.com/office/drawing/2014/main" id="{23C868DA-8EB5-440A-8CA5-5761E5E54EE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6047094D-9EC5-4652-9797-61B0F4D1E083}"/>
              </a:ext>
            </a:extLst>
          </xdr:cNvPr>
          <xdr:cNvCxnSpPr>
            <a:stCxn id="423" idx="1"/>
            <a:endCxn id="4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5" name="Straight Connector 424">
            <a:extLst>
              <a:ext uri="{FF2B5EF4-FFF2-40B4-BE49-F238E27FC236}">
                <a16:creationId xmlns:a16="http://schemas.microsoft.com/office/drawing/2014/main" id="{CFC80A96-EF91-4500-85B2-45A9494FE092}"/>
              </a:ext>
            </a:extLst>
          </xdr:cNvPr>
          <xdr:cNvCxnSpPr>
            <a:stCxn id="423" idx="3"/>
            <a:endCxn id="4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299989</xdr:colOff>
      <xdr:row>70</xdr:row>
      <xdr:rowOff>111286</xdr:rowOff>
    </xdr:from>
    <xdr:to>
      <xdr:col>16</xdr:col>
      <xdr:colOff>10329</xdr:colOff>
      <xdr:row>71</xdr:row>
      <xdr:rowOff>51210</xdr:rowOff>
    </xdr:to>
    <xdr:grpSp>
      <xdr:nvGrpSpPr>
        <xdr:cNvPr id="426" name="Group 425">
          <a:extLst>
            <a:ext uri="{FF2B5EF4-FFF2-40B4-BE49-F238E27FC236}">
              <a16:creationId xmlns:a16="http://schemas.microsoft.com/office/drawing/2014/main" id="{7BFC9E4C-5D7A-4900-986D-B4E19CED72C7}"/>
            </a:ext>
          </a:extLst>
        </xdr:cNvPr>
        <xdr:cNvGrpSpPr/>
      </xdr:nvGrpSpPr>
      <xdr:grpSpPr>
        <a:xfrm>
          <a:off x="5567728" y="10771003"/>
          <a:ext cx="91340" cy="8901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7" name="Oval 426">
            <a:extLst>
              <a:ext uri="{FF2B5EF4-FFF2-40B4-BE49-F238E27FC236}">
                <a16:creationId xmlns:a16="http://schemas.microsoft.com/office/drawing/2014/main" id="{B77E5A34-394D-4364-9CE7-0E1B683327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8" name="Straight Connector 427">
            <a:extLst>
              <a:ext uri="{FF2B5EF4-FFF2-40B4-BE49-F238E27FC236}">
                <a16:creationId xmlns:a16="http://schemas.microsoft.com/office/drawing/2014/main" id="{748976BD-4317-4303-B0F8-20A25D39B61E}"/>
              </a:ext>
            </a:extLst>
          </xdr:cNvPr>
          <xdr:cNvCxnSpPr>
            <a:stCxn id="427" idx="1"/>
            <a:endCxn id="4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4DC2B9AB-959C-4B41-A6E4-81771D487E9A}"/>
              </a:ext>
            </a:extLst>
          </xdr:cNvPr>
          <xdr:cNvCxnSpPr>
            <a:stCxn id="427" idx="3"/>
            <a:endCxn id="4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288713</xdr:colOff>
      <xdr:row>76</xdr:row>
      <xdr:rowOff>110277</xdr:rowOff>
    </xdr:from>
    <xdr:to>
      <xdr:col>14</xdr:col>
      <xdr:colOff>393255</xdr:colOff>
      <xdr:row>77</xdr:row>
      <xdr:rowOff>56819</xdr:rowOff>
    </xdr:to>
    <xdr:grpSp>
      <xdr:nvGrpSpPr>
        <xdr:cNvPr id="396" name="Group 395">
          <a:extLst>
            <a:ext uri="{FF2B5EF4-FFF2-40B4-BE49-F238E27FC236}">
              <a16:creationId xmlns:a16="http://schemas.microsoft.com/office/drawing/2014/main" id="{8046C028-2708-4F77-BB40-766436AA2363}"/>
            </a:ext>
          </a:extLst>
        </xdr:cNvPr>
        <xdr:cNvGrpSpPr/>
      </xdr:nvGrpSpPr>
      <xdr:grpSpPr>
        <a:xfrm>
          <a:off x="5175452" y="11664516"/>
          <a:ext cx="95017" cy="9562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A2459F23-B000-4E92-9EDC-D6DB82025A0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0" name="Straight Connector 429">
            <a:extLst>
              <a:ext uri="{FF2B5EF4-FFF2-40B4-BE49-F238E27FC236}">
                <a16:creationId xmlns:a16="http://schemas.microsoft.com/office/drawing/2014/main" id="{F9FA9644-8ED2-4FAE-8654-C87D1B7B7A77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F1A1D9B1-5BD3-41CF-BD2F-6405DA53C18C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62099</xdr:colOff>
      <xdr:row>83</xdr:row>
      <xdr:rowOff>55671</xdr:rowOff>
    </xdr:from>
    <xdr:to>
      <xdr:col>13</xdr:col>
      <xdr:colOff>171783</xdr:colOff>
      <xdr:row>84</xdr:row>
      <xdr:rowOff>202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A09BC650-56D8-42FB-ABD9-6687862ECAE3}"/>
            </a:ext>
          </a:extLst>
        </xdr:cNvPr>
        <xdr:cNvGrpSpPr/>
      </xdr:nvGrpSpPr>
      <xdr:grpSpPr>
        <a:xfrm>
          <a:off x="4567838" y="12653519"/>
          <a:ext cx="109684" cy="936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33" name="Oval 432">
            <a:extLst>
              <a:ext uri="{FF2B5EF4-FFF2-40B4-BE49-F238E27FC236}">
                <a16:creationId xmlns:a16="http://schemas.microsoft.com/office/drawing/2014/main" id="{E6684BEC-3928-49CE-98D7-FA1A3F342B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4" name="Straight Connector 433">
            <a:extLst>
              <a:ext uri="{FF2B5EF4-FFF2-40B4-BE49-F238E27FC236}">
                <a16:creationId xmlns:a16="http://schemas.microsoft.com/office/drawing/2014/main" id="{B22998A0-613A-4072-92A9-E84EFCBE484F}"/>
              </a:ext>
            </a:extLst>
          </xdr:cNvPr>
          <xdr:cNvCxnSpPr>
            <a:stCxn id="433" idx="1"/>
            <a:endCxn id="4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Straight Connector 434">
            <a:extLst>
              <a:ext uri="{FF2B5EF4-FFF2-40B4-BE49-F238E27FC236}">
                <a16:creationId xmlns:a16="http://schemas.microsoft.com/office/drawing/2014/main" id="{2C3AA466-F37E-4D4E-B50B-8C4A9DADED01}"/>
              </a:ext>
            </a:extLst>
          </xdr:cNvPr>
          <xdr:cNvCxnSpPr>
            <a:stCxn id="433" idx="3"/>
            <a:endCxn id="4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309508</xdr:colOff>
      <xdr:row>88</xdr:row>
      <xdr:rowOff>84300</xdr:rowOff>
    </xdr:from>
    <xdr:to>
      <xdr:col>12</xdr:col>
      <xdr:colOff>37320</xdr:colOff>
      <xdr:row>89</xdr:row>
      <xdr:rowOff>29858</xdr:rowOff>
    </xdr:to>
    <xdr:grpSp>
      <xdr:nvGrpSpPr>
        <xdr:cNvPr id="436" name="Group 435">
          <a:extLst>
            <a:ext uri="{FF2B5EF4-FFF2-40B4-BE49-F238E27FC236}">
              <a16:creationId xmlns:a16="http://schemas.microsoft.com/office/drawing/2014/main" id="{1829002C-FD4B-46F6-AF3F-73A6ADDBD07D}"/>
            </a:ext>
          </a:extLst>
        </xdr:cNvPr>
        <xdr:cNvGrpSpPr/>
      </xdr:nvGrpSpPr>
      <xdr:grpSpPr>
        <a:xfrm>
          <a:off x="4053247" y="13427583"/>
          <a:ext cx="108812" cy="946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37" name="Oval 436">
            <a:extLst>
              <a:ext uri="{FF2B5EF4-FFF2-40B4-BE49-F238E27FC236}">
                <a16:creationId xmlns:a16="http://schemas.microsoft.com/office/drawing/2014/main" id="{4D00268A-D2B5-46AE-8952-AA531E972C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6CA60550-D36E-4875-AC40-B25631DFFDBF}"/>
              </a:ext>
            </a:extLst>
          </xdr:cNvPr>
          <xdr:cNvCxnSpPr>
            <a:stCxn id="437" idx="1"/>
            <a:endCxn id="4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438">
            <a:extLst>
              <a:ext uri="{FF2B5EF4-FFF2-40B4-BE49-F238E27FC236}">
                <a16:creationId xmlns:a16="http://schemas.microsoft.com/office/drawing/2014/main" id="{A7A8443B-08ED-4BBF-A22B-89DE7F38A259}"/>
              </a:ext>
            </a:extLst>
          </xdr:cNvPr>
          <xdr:cNvCxnSpPr>
            <a:stCxn id="437" idx="3"/>
            <a:endCxn id="4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314569</xdr:colOff>
      <xdr:row>94</xdr:row>
      <xdr:rowOff>41729</xdr:rowOff>
    </xdr:from>
    <xdr:to>
      <xdr:col>11</xdr:col>
      <xdr:colOff>21447</xdr:colOff>
      <xdr:row>94</xdr:row>
      <xdr:rowOff>134891</xdr:rowOff>
    </xdr:to>
    <xdr:grpSp>
      <xdr:nvGrpSpPr>
        <xdr:cNvPr id="444" name="Group 443">
          <a:extLst>
            <a:ext uri="{FF2B5EF4-FFF2-40B4-BE49-F238E27FC236}">
              <a16:creationId xmlns:a16="http://schemas.microsoft.com/office/drawing/2014/main" id="{D66AEA5E-546B-4173-B5B9-9D49CEAC445C}"/>
            </a:ext>
          </a:extLst>
        </xdr:cNvPr>
        <xdr:cNvGrpSpPr/>
      </xdr:nvGrpSpPr>
      <xdr:grpSpPr>
        <a:xfrm>
          <a:off x="3677308" y="14279533"/>
          <a:ext cx="87878" cy="931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5" name="Oval 444">
            <a:extLst>
              <a:ext uri="{FF2B5EF4-FFF2-40B4-BE49-F238E27FC236}">
                <a16:creationId xmlns:a16="http://schemas.microsoft.com/office/drawing/2014/main" id="{AC035F27-A254-4076-97D0-DDA6ED8686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4A3405EB-498C-43A4-8C11-323C2C467334}"/>
              </a:ext>
            </a:extLst>
          </xdr:cNvPr>
          <xdr:cNvCxnSpPr>
            <a:stCxn id="445" idx="1"/>
            <a:endCxn id="4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E5115ABF-D812-4931-A577-2E4E0F9B570F}"/>
              </a:ext>
            </a:extLst>
          </xdr:cNvPr>
          <xdr:cNvCxnSpPr>
            <a:stCxn id="445" idx="3"/>
            <a:endCxn id="4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143310</xdr:colOff>
      <xdr:row>95</xdr:row>
      <xdr:rowOff>118951</xdr:rowOff>
    </xdr:from>
    <xdr:to>
      <xdr:col>10</xdr:col>
      <xdr:colOff>250726</xdr:colOff>
      <xdr:row>96</xdr:row>
      <xdr:rowOff>57504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2440D00B-EC11-490A-B202-71E77573C1A0}"/>
            </a:ext>
          </a:extLst>
        </xdr:cNvPr>
        <xdr:cNvGrpSpPr/>
      </xdr:nvGrpSpPr>
      <xdr:grpSpPr>
        <a:xfrm>
          <a:off x="3506049" y="14505842"/>
          <a:ext cx="107416" cy="876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9" name="Oval 448">
            <a:extLst>
              <a:ext uri="{FF2B5EF4-FFF2-40B4-BE49-F238E27FC236}">
                <a16:creationId xmlns:a16="http://schemas.microsoft.com/office/drawing/2014/main" id="{ED18EBB1-D3D4-4C7A-B4F6-01BBA6920EF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E6ECD1C3-9D9A-404F-92BA-BE786C52EAC1}"/>
              </a:ext>
            </a:extLst>
          </xdr:cNvPr>
          <xdr:cNvCxnSpPr>
            <a:stCxn id="449" idx="1"/>
            <a:endCxn id="4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C060ACD1-C4B2-4647-96FA-7AD56809ED58}"/>
              </a:ext>
            </a:extLst>
          </xdr:cNvPr>
          <xdr:cNvCxnSpPr>
            <a:stCxn id="449" idx="3"/>
            <a:endCxn id="4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356898</xdr:colOff>
      <xdr:row>101</xdr:row>
      <xdr:rowOff>51834</xdr:rowOff>
    </xdr:from>
    <xdr:to>
      <xdr:col>9</xdr:col>
      <xdr:colOff>69722</xdr:colOff>
      <xdr:row>101</xdr:row>
      <xdr:rowOff>148180</xdr:rowOff>
    </xdr:to>
    <xdr:grpSp>
      <xdr:nvGrpSpPr>
        <xdr:cNvPr id="452" name="Group 451">
          <a:extLst>
            <a:ext uri="{FF2B5EF4-FFF2-40B4-BE49-F238E27FC236}">
              <a16:creationId xmlns:a16="http://schemas.microsoft.com/office/drawing/2014/main" id="{C2AB7569-6DD5-4AC0-8477-C12D72DA3465}"/>
            </a:ext>
          </a:extLst>
        </xdr:cNvPr>
        <xdr:cNvGrpSpPr/>
      </xdr:nvGrpSpPr>
      <xdr:grpSpPr>
        <a:xfrm>
          <a:off x="2957637" y="15333247"/>
          <a:ext cx="93824" cy="963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3" name="Oval 452">
            <a:extLst>
              <a:ext uri="{FF2B5EF4-FFF2-40B4-BE49-F238E27FC236}">
                <a16:creationId xmlns:a16="http://schemas.microsoft.com/office/drawing/2014/main" id="{AF156F3F-D540-4A96-8D34-F3083B52A81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7305F5EF-23C5-44BD-B4B8-FFE022E3359E}"/>
              </a:ext>
            </a:extLst>
          </xdr:cNvPr>
          <xdr:cNvCxnSpPr>
            <a:stCxn id="453" idx="1"/>
            <a:endCxn id="4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94CD2070-9FD4-4294-A8A6-99126BE81800}"/>
              </a:ext>
            </a:extLst>
          </xdr:cNvPr>
          <xdr:cNvCxnSpPr>
            <a:stCxn id="453" idx="3"/>
            <a:endCxn id="4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368044</xdr:colOff>
      <xdr:row>104</xdr:row>
      <xdr:rowOff>98747</xdr:rowOff>
    </xdr:from>
    <xdr:to>
      <xdr:col>8</xdr:col>
      <xdr:colOff>75022</xdr:colOff>
      <xdr:row>105</xdr:row>
      <xdr:rowOff>42496</xdr:rowOff>
    </xdr:to>
    <xdr:grpSp>
      <xdr:nvGrpSpPr>
        <xdr:cNvPr id="456" name="Group 455">
          <a:extLst>
            <a:ext uri="{FF2B5EF4-FFF2-40B4-BE49-F238E27FC236}">
              <a16:creationId xmlns:a16="http://schemas.microsoft.com/office/drawing/2014/main" id="{64103F74-6CE9-491F-BEDE-AA506F6A7075}"/>
            </a:ext>
          </a:extLst>
        </xdr:cNvPr>
        <xdr:cNvGrpSpPr/>
      </xdr:nvGrpSpPr>
      <xdr:grpSpPr>
        <a:xfrm>
          <a:off x="2587783" y="15827421"/>
          <a:ext cx="87978" cy="928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7" name="Oval 456">
            <a:extLst>
              <a:ext uri="{FF2B5EF4-FFF2-40B4-BE49-F238E27FC236}">
                <a16:creationId xmlns:a16="http://schemas.microsoft.com/office/drawing/2014/main" id="{F5E84531-228C-4488-8C8F-26D8E76972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0B46CE57-ABE6-4105-BE24-F94CFD563CFC}"/>
              </a:ext>
            </a:extLst>
          </xdr:cNvPr>
          <xdr:cNvCxnSpPr>
            <a:stCxn id="457" idx="1"/>
            <a:endCxn id="4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2CCFB3B1-D549-4654-97A1-AAFE8967702A}"/>
              </a:ext>
            </a:extLst>
          </xdr:cNvPr>
          <xdr:cNvCxnSpPr>
            <a:stCxn id="457" idx="3"/>
            <a:endCxn id="4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257403</xdr:colOff>
      <xdr:row>97</xdr:row>
      <xdr:rowOff>145542</xdr:rowOff>
    </xdr:from>
    <xdr:to>
      <xdr:col>9</xdr:col>
      <xdr:colOff>395629</xdr:colOff>
      <xdr:row>99</xdr:row>
      <xdr:rowOff>703</xdr:rowOff>
    </xdr:to>
    <xdr:grpSp>
      <xdr:nvGrpSpPr>
        <xdr:cNvPr id="460" name="Group 459">
          <a:extLst>
            <a:ext uri="{FF2B5EF4-FFF2-40B4-BE49-F238E27FC236}">
              <a16:creationId xmlns:a16="http://schemas.microsoft.com/office/drawing/2014/main" id="{519415F5-10D5-4D72-BE8C-6B8B4CBFE0E2}"/>
            </a:ext>
          </a:extLst>
        </xdr:cNvPr>
        <xdr:cNvGrpSpPr/>
      </xdr:nvGrpSpPr>
      <xdr:grpSpPr>
        <a:xfrm>
          <a:off x="3239142" y="14830607"/>
          <a:ext cx="119176" cy="153335"/>
          <a:chOff x="704537" y="3681605"/>
          <a:chExt cx="141199" cy="169566"/>
        </a:xfrm>
      </xdr:grpSpPr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FC3037CD-6C36-4034-AFDB-4ADEF698B0F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01E86B65-FCB1-44C5-9279-5005DCF53DC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345028</xdr:colOff>
      <xdr:row>101</xdr:row>
      <xdr:rowOff>4229</xdr:rowOff>
    </xdr:from>
    <xdr:to>
      <xdr:col>9</xdr:col>
      <xdr:colOff>85689</xdr:colOff>
      <xdr:row>102</xdr:row>
      <xdr:rowOff>13998</xdr:rowOff>
    </xdr:to>
    <xdr:grpSp>
      <xdr:nvGrpSpPr>
        <xdr:cNvPr id="463" name="Group 462">
          <a:extLst>
            <a:ext uri="{FF2B5EF4-FFF2-40B4-BE49-F238E27FC236}">
              <a16:creationId xmlns:a16="http://schemas.microsoft.com/office/drawing/2014/main" id="{CF5F1381-74FF-4B78-88D3-99F39140A7B8}"/>
            </a:ext>
          </a:extLst>
        </xdr:cNvPr>
        <xdr:cNvGrpSpPr/>
      </xdr:nvGrpSpPr>
      <xdr:grpSpPr>
        <a:xfrm>
          <a:off x="2945767" y="15285642"/>
          <a:ext cx="121661" cy="158856"/>
          <a:chOff x="704537" y="3681605"/>
          <a:chExt cx="141199" cy="169566"/>
        </a:xfrm>
      </xdr:grpSpPr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C6BAA5AE-9877-42EB-9A6B-2B7326C7F936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911CFEA4-BC48-482C-B38B-5DF9D3A4ACD7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124118</xdr:colOff>
      <xdr:row>95</xdr:row>
      <xdr:rowOff>77244</xdr:rowOff>
    </xdr:from>
    <xdr:to>
      <xdr:col>10</xdr:col>
      <xdr:colOff>265317</xdr:colOff>
      <xdr:row>96</xdr:row>
      <xdr:rowOff>87013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AEC9DCBA-5060-492E-95C5-1E4D33E25867}"/>
            </a:ext>
          </a:extLst>
        </xdr:cNvPr>
        <xdr:cNvGrpSpPr/>
      </xdr:nvGrpSpPr>
      <xdr:grpSpPr>
        <a:xfrm>
          <a:off x="3486857" y="14464135"/>
          <a:ext cx="141199" cy="158856"/>
          <a:chOff x="704537" y="3681605"/>
          <a:chExt cx="141199" cy="169566"/>
        </a:xfrm>
      </xdr:grpSpPr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DE7AA499-0AEA-4886-A790-073753CAD1CA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009FD33B-A862-4E3C-A340-ADEEA304263D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284010</xdr:colOff>
      <xdr:row>104</xdr:row>
      <xdr:rowOff>77005</xdr:rowOff>
    </xdr:from>
    <xdr:to>
      <xdr:col>9</xdr:col>
      <xdr:colOff>391426</xdr:colOff>
      <xdr:row>105</xdr:row>
      <xdr:rowOff>21535</xdr:rowOff>
    </xdr:to>
    <xdr:grpSp>
      <xdr:nvGrpSpPr>
        <xdr:cNvPr id="466" name="Group 465">
          <a:extLst>
            <a:ext uri="{FF2B5EF4-FFF2-40B4-BE49-F238E27FC236}">
              <a16:creationId xmlns:a16="http://schemas.microsoft.com/office/drawing/2014/main" id="{79B103E0-CF06-44EF-9FD8-724C576C93FD}"/>
            </a:ext>
          </a:extLst>
        </xdr:cNvPr>
        <xdr:cNvGrpSpPr/>
      </xdr:nvGrpSpPr>
      <xdr:grpSpPr>
        <a:xfrm>
          <a:off x="3265749" y="15805679"/>
          <a:ext cx="97891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7" name="Oval 466">
            <a:extLst>
              <a:ext uri="{FF2B5EF4-FFF2-40B4-BE49-F238E27FC236}">
                <a16:creationId xmlns:a16="http://schemas.microsoft.com/office/drawing/2014/main" id="{501A8B6D-BCB3-4497-A730-DB282AC6897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058B004D-D310-45C2-AD6F-3502446690EE}"/>
              </a:ext>
            </a:extLst>
          </xdr:cNvPr>
          <xdr:cNvCxnSpPr>
            <a:stCxn id="467" idx="1"/>
            <a:endCxn id="46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Connector 468">
            <a:extLst>
              <a:ext uri="{FF2B5EF4-FFF2-40B4-BE49-F238E27FC236}">
                <a16:creationId xmlns:a16="http://schemas.microsoft.com/office/drawing/2014/main" id="{C8D478D5-3D9E-493B-9144-E028DDD670BB}"/>
              </a:ext>
            </a:extLst>
          </xdr:cNvPr>
          <xdr:cNvCxnSpPr>
            <a:stCxn id="467" idx="3"/>
            <a:endCxn id="46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276414</xdr:colOff>
      <xdr:row>102</xdr:row>
      <xdr:rowOff>127118</xdr:rowOff>
    </xdr:from>
    <xdr:to>
      <xdr:col>9</xdr:col>
      <xdr:colOff>300123</xdr:colOff>
      <xdr:row>108</xdr:row>
      <xdr:rowOff>29881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02B0852-000A-4E1D-B59C-2D1EDFFC8513}"/>
            </a:ext>
          </a:extLst>
        </xdr:cNvPr>
        <xdr:cNvCxnSpPr/>
      </xdr:nvCxnSpPr>
      <xdr:spPr>
        <a:xfrm flipH="1">
          <a:off x="3025590" y="15516530"/>
          <a:ext cx="427121" cy="806704"/>
        </a:xfrm>
        <a:prstGeom prst="line">
          <a:avLst/>
        </a:prstGeom>
        <a:ln w="1524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104588</xdr:colOff>
      <xdr:row>102</xdr:row>
      <xdr:rowOff>127000</xdr:rowOff>
    </xdr:from>
    <xdr:to>
      <xdr:col>9</xdr:col>
      <xdr:colOff>283883</xdr:colOff>
      <xdr:row>108</xdr:row>
      <xdr:rowOff>0</xdr:rowOff>
    </xdr:to>
    <xdr:sp macro="" textlink="">
      <xdr:nvSpPr>
        <xdr:cNvPr id="6" name="Freeform: Shape 5">
          <a:extLst>
            <a:ext uri="{FF2B5EF4-FFF2-40B4-BE49-F238E27FC236}">
              <a16:creationId xmlns:a16="http://schemas.microsoft.com/office/drawing/2014/main" id="{6E612BFF-D5AD-4F90-949A-42AC26D749F6}"/>
            </a:ext>
          </a:extLst>
        </xdr:cNvPr>
        <xdr:cNvSpPr/>
      </xdr:nvSpPr>
      <xdr:spPr>
        <a:xfrm>
          <a:off x="2450353" y="15516412"/>
          <a:ext cx="986118" cy="776941"/>
        </a:xfrm>
        <a:custGeom>
          <a:avLst/>
          <a:gdLst>
            <a:gd name="connsiteX0" fmla="*/ 986118 w 986118"/>
            <a:gd name="connsiteY0" fmla="*/ 0 h 776941"/>
            <a:gd name="connsiteX1" fmla="*/ 724647 w 986118"/>
            <a:gd name="connsiteY1" fmla="*/ 156882 h 776941"/>
            <a:gd name="connsiteX2" fmla="*/ 0 w 986118"/>
            <a:gd name="connsiteY2" fmla="*/ 776941 h 7769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86118" h="776941">
              <a:moveTo>
                <a:pt x="986118" y="0"/>
              </a:moveTo>
              <a:cubicBezTo>
                <a:pt x="937559" y="13696"/>
                <a:pt x="889000" y="27392"/>
                <a:pt x="724647" y="156882"/>
              </a:cubicBezTo>
              <a:cubicBezTo>
                <a:pt x="560294" y="286372"/>
                <a:pt x="131980" y="664882"/>
                <a:pt x="0" y="776941"/>
              </a:cubicBezTo>
            </a:path>
          </a:pathLst>
        </a:custGeom>
        <a:noFill/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206187</xdr:colOff>
      <xdr:row>105</xdr:row>
      <xdr:rowOff>3842</xdr:rowOff>
    </xdr:from>
    <xdr:to>
      <xdr:col>12</xdr:col>
      <xdr:colOff>313603</xdr:colOff>
      <xdr:row>105</xdr:row>
      <xdr:rowOff>97784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9BBD3D36-9F39-4897-8F40-0217A00D5B0A}"/>
            </a:ext>
          </a:extLst>
        </xdr:cNvPr>
        <xdr:cNvGrpSpPr/>
      </xdr:nvGrpSpPr>
      <xdr:grpSpPr>
        <a:xfrm>
          <a:off x="4330926" y="15881603"/>
          <a:ext cx="107416" cy="939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1" name="Oval 470">
            <a:extLst>
              <a:ext uri="{FF2B5EF4-FFF2-40B4-BE49-F238E27FC236}">
                <a16:creationId xmlns:a16="http://schemas.microsoft.com/office/drawing/2014/main" id="{E5CE5438-2B64-40CE-82CF-8D5E3E2F06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id="{E40C4C5A-D63C-4611-93E1-D915F5F1C3E5}"/>
              </a:ext>
            </a:extLst>
          </xdr:cNvPr>
          <xdr:cNvCxnSpPr>
            <a:stCxn id="471" idx="1"/>
            <a:endCxn id="4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17820025-7BC5-47C3-B519-8772D8EBCA59}"/>
              </a:ext>
            </a:extLst>
          </xdr:cNvPr>
          <xdr:cNvCxnSpPr>
            <a:stCxn id="471" idx="3"/>
            <a:endCxn id="4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261472</xdr:colOff>
      <xdr:row>7</xdr:row>
      <xdr:rowOff>112059</xdr:rowOff>
    </xdr:from>
    <xdr:to>
      <xdr:col>10</xdr:col>
      <xdr:colOff>216647</xdr:colOff>
      <xdr:row>12</xdr:row>
      <xdr:rowOff>59766</xdr:rowOff>
    </xdr:to>
    <xdr:cxnSp macro="">
      <xdr:nvCxnSpPr>
        <xdr:cNvPr id="474" name="Straight Connector 473">
          <a:extLst>
            <a:ext uri="{FF2B5EF4-FFF2-40B4-BE49-F238E27FC236}">
              <a16:creationId xmlns:a16="http://schemas.microsoft.com/office/drawing/2014/main" id="{FA332E76-FC11-4D9D-BBDB-F8241F0E35AB}"/>
            </a:ext>
          </a:extLst>
        </xdr:cNvPr>
        <xdr:cNvCxnSpPr/>
      </xdr:nvCxnSpPr>
      <xdr:spPr>
        <a:xfrm flipH="1">
          <a:off x="470648" y="1172883"/>
          <a:ext cx="3301999" cy="694765"/>
        </a:xfrm>
        <a:prstGeom prst="line">
          <a:avLst/>
        </a:prstGeom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270346</xdr:colOff>
      <xdr:row>17</xdr:row>
      <xdr:rowOff>46514</xdr:rowOff>
    </xdr:from>
    <xdr:to>
      <xdr:col>6</xdr:col>
      <xdr:colOff>280731</xdr:colOff>
      <xdr:row>20</xdr:row>
      <xdr:rowOff>117862</xdr:rowOff>
    </xdr:to>
    <xdr:cxnSp macro="">
      <xdr:nvCxnSpPr>
        <xdr:cNvPr id="475" name="Straight Connector 474">
          <a:extLst>
            <a:ext uri="{FF2B5EF4-FFF2-40B4-BE49-F238E27FC236}">
              <a16:creationId xmlns:a16="http://schemas.microsoft.com/office/drawing/2014/main" id="{CAEBCE60-C9F4-466D-973C-65EE8C8CE113}"/>
            </a:ext>
          </a:extLst>
        </xdr:cNvPr>
        <xdr:cNvCxnSpPr>
          <a:stCxn id="178" idx="1"/>
          <a:endCxn id="108" idx="4"/>
        </xdr:cNvCxnSpPr>
      </xdr:nvCxnSpPr>
      <xdr:spPr>
        <a:xfrm flipH="1" flipV="1">
          <a:off x="1716955" y="2695655"/>
          <a:ext cx="391385" cy="53569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356685</xdr:colOff>
      <xdr:row>21</xdr:row>
      <xdr:rowOff>30929</xdr:rowOff>
    </xdr:from>
    <xdr:to>
      <xdr:col>7</xdr:col>
      <xdr:colOff>358187</xdr:colOff>
      <xdr:row>24</xdr:row>
      <xdr:rowOff>51779</xdr:rowOff>
    </xdr:to>
    <xdr:cxnSp macro="">
      <xdr:nvCxnSpPr>
        <xdr:cNvPr id="476" name="Straight Connector 475">
          <a:extLst>
            <a:ext uri="{FF2B5EF4-FFF2-40B4-BE49-F238E27FC236}">
              <a16:creationId xmlns:a16="http://schemas.microsoft.com/office/drawing/2014/main" id="{B997B14B-1803-4138-AFD7-D88C58D95243}"/>
            </a:ext>
          </a:extLst>
        </xdr:cNvPr>
        <xdr:cNvCxnSpPr>
          <a:stCxn id="182" idx="1"/>
          <a:endCxn id="178" idx="5"/>
        </xdr:cNvCxnSpPr>
      </xdr:nvCxnSpPr>
      <xdr:spPr>
        <a:xfrm flipH="1" flipV="1">
          <a:off x="2184294" y="3299195"/>
          <a:ext cx="382502" cy="48519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40312</xdr:colOff>
      <xdr:row>24</xdr:row>
      <xdr:rowOff>120029</xdr:rowOff>
    </xdr:from>
    <xdr:to>
      <xdr:col>9</xdr:col>
      <xdr:colOff>191493</xdr:colOff>
      <xdr:row>27</xdr:row>
      <xdr:rowOff>133878</xdr:rowOff>
    </xdr:to>
    <xdr:cxnSp macro="">
      <xdr:nvCxnSpPr>
        <xdr:cNvPr id="477" name="Straight Connector 476">
          <a:extLst>
            <a:ext uri="{FF2B5EF4-FFF2-40B4-BE49-F238E27FC236}">
              <a16:creationId xmlns:a16="http://schemas.microsoft.com/office/drawing/2014/main" id="{785C18AC-8CA0-4403-A3F6-8CB01BF8E217}"/>
            </a:ext>
          </a:extLst>
        </xdr:cNvPr>
        <xdr:cNvCxnSpPr>
          <a:stCxn id="186" idx="1"/>
          <a:endCxn id="182" idx="5"/>
        </xdr:cNvCxnSpPr>
      </xdr:nvCxnSpPr>
      <xdr:spPr>
        <a:xfrm flipH="1" flipV="1">
          <a:off x="2629921" y="3852638"/>
          <a:ext cx="532181" cy="47819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349085</xdr:colOff>
      <xdr:row>40</xdr:row>
      <xdr:rowOff>141401</xdr:rowOff>
    </xdr:from>
    <xdr:to>
      <xdr:col>18</xdr:col>
      <xdr:colOff>368783</xdr:colOff>
      <xdr:row>46</xdr:row>
      <xdr:rowOff>68623</xdr:rowOff>
    </xdr:to>
    <xdr:cxnSp macro="">
      <xdr:nvCxnSpPr>
        <xdr:cNvPr id="479" name="Straight Connector 478">
          <a:extLst>
            <a:ext uri="{FF2B5EF4-FFF2-40B4-BE49-F238E27FC236}">
              <a16:creationId xmlns:a16="http://schemas.microsoft.com/office/drawing/2014/main" id="{EF0D5D75-8A3F-4D14-B700-B2F12DDE0942}"/>
            </a:ext>
          </a:extLst>
        </xdr:cNvPr>
        <xdr:cNvCxnSpPr>
          <a:stCxn id="233" idx="4"/>
          <a:endCxn id="237" idx="0"/>
        </xdr:cNvCxnSpPr>
      </xdr:nvCxnSpPr>
      <xdr:spPr>
        <a:xfrm>
          <a:off x="6753826" y="6243970"/>
          <a:ext cx="19698" cy="83373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314739</xdr:colOff>
      <xdr:row>46</xdr:row>
      <xdr:rowOff>52282</xdr:rowOff>
    </xdr:from>
    <xdr:to>
      <xdr:col>19</xdr:col>
      <xdr:colOff>39500</xdr:colOff>
      <xdr:row>52</xdr:row>
      <xdr:rowOff>138043</xdr:rowOff>
    </xdr:to>
    <xdr:cxnSp macro="">
      <xdr:nvCxnSpPr>
        <xdr:cNvPr id="480" name="Straight Connector 479">
          <a:extLst>
            <a:ext uri="{FF2B5EF4-FFF2-40B4-BE49-F238E27FC236}">
              <a16:creationId xmlns:a16="http://schemas.microsoft.com/office/drawing/2014/main" id="{EA8C245D-237D-417A-952B-2D93757CB74A}"/>
            </a:ext>
          </a:extLst>
        </xdr:cNvPr>
        <xdr:cNvCxnSpPr>
          <a:endCxn id="245" idx="5"/>
        </xdr:cNvCxnSpPr>
      </xdr:nvCxnSpPr>
      <xdr:spPr>
        <a:xfrm flipV="1">
          <a:off x="6996043" y="7175325"/>
          <a:ext cx="122327" cy="111280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315926</xdr:colOff>
      <xdr:row>14</xdr:row>
      <xdr:rowOff>28025</xdr:rowOff>
    </xdr:from>
    <xdr:to>
      <xdr:col>4</xdr:col>
      <xdr:colOff>108183</xdr:colOff>
      <xdr:row>16</xdr:row>
      <xdr:rowOff>122419</xdr:rowOff>
    </xdr:to>
    <xdr:cxnSp macro="">
      <xdr:nvCxnSpPr>
        <xdr:cNvPr id="481" name="Straight Connector 480">
          <a:extLst>
            <a:ext uri="{FF2B5EF4-FFF2-40B4-BE49-F238E27FC236}">
              <a16:creationId xmlns:a16="http://schemas.microsoft.com/office/drawing/2014/main" id="{1CA3FF44-714F-4BB4-93D3-8F5D3AA12660}"/>
            </a:ext>
          </a:extLst>
        </xdr:cNvPr>
        <xdr:cNvCxnSpPr>
          <a:stCxn id="12" idx="4"/>
          <a:endCxn id="222" idx="1"/>
        </xdr:cNvCxnSpPr>
      </xdr:nvCxnSpPr>
      <xdr:spPr>
        <a:xfrm>
          <a:off x="1048044" y="2142201"/>
          <a:ext cx="195668" cy="393218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146160</xdr:colOff>
      <xdr:row>17</xdr:row>
      <xdr:rowOff>50809</xdr:rowOff>
    </xdr:from>
    <xdr:to>
      <xdr:col>9</xdr:col>
      <xdr:colOff>48843</xdr:colOff>
      <xdr:row>30</xdr:row>
      <xdr:rowOff>118576</xdr:rowOff>
    </xdr:to>
    <xdr:cxnSp macro="">
      <xdr:nvCxnSpPr>
        <xdr:cNvPr id="482" name="Straight Connector 481">
          <a:extLst>
            <a:ext uri="{FF2B5EF4-FFF2-40B4-BE49-F238E27FC236}">
              <a16:creationId xmlns:a16="http://schemas.microsoft.com/office/drawing/2014/main" id="{0C64AD66-2A8C-46EA-9E09-66611B6AE608}"/>
            </a:ext>
          </a:extLst>
        </xdr:cNvPr>
        <xdr:cNvCxnSpPr>
          <a:stCxn id="222" idx="4"/>
          <a:endCxn id="214" idx="1"/>
        </xdr:cNvCxnSpPr>
      </xdr:nvCxnSpPr>
      <xdr:spPr>
        <a:xfrm>
          <a:off x="1281689" y="2613221"/>
          <a:ext cx="1919742" cy="2002649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358590</xdr:colOff>
      <xdr:row>10</xdr:row>
      <xdr:rowOff>22412</xdr:rowOff>
    </xdr:from>
    <xdr:to>
      <xdr:col>10</xdr:col>
      <xdr:colOff>291353</xdr:colOff>
      <xdr:row>14</xdr:row>
      <xdr:rowOff>82177</xdr:rowOff>
    </xdr:to>
    <xdr:cxnSp macro="">
      <xdr:nvCxnSpPr>
        <xdr:cNvPr id="484" name="Straight Connector 483">
          <a:extLst>
            <a:ext uri="{FF2B5EF4-FFF2-40B4-BE49-F238E27FC236}">
              <a16:creationId xmlns:a16="http://schemas.microsoft.com/office/drawing/2014/main" id="{94029D01-C783-4EC9-B40A-5E917B3E7A7E}"/>
            </a:ext>
          </a:extLst>
        </xdr:cNvPr>
        <xdr:cNvCxnSpPr/>
      </xdr:nvCxnSpPr>
      <xdr:spPr>
        <a:xfrm flipH="1">
          <a:off x="567766" y="1531471"/>
          <a:ext cx="3279587" cy="664882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124797</xdr:colOff>
      <xdr:row>31</xdr:row>
      <xdr:rowOff>33372</xdr:rowOff>
    </xdr:from>
    <xdr:to>
      <xdr:col>15</xdr:col>
      <xdr:colOff>376015</xdr:colOff>
      <xdr:row>39</xdr:row>
      <xdr:rowOff>51603</xdr:rowOff>
    </xdr:to>
    <xdr:cxnSp macro="">
      <xdr:nvCxnSpPr>
        <xdr:cNvPr id="493" name="Straight Connector 492">
          <a:extLst>
            <a:ext uri="{FF2B5EF4-FFF2-40B4-BE49-F238E27FC236}">
              <a16:creationId xmlns:a16="http://schemas.microsoft.com/office/drawing/2014/main" id="{55D2D2E7-FBA9-460E-8A8D-FC8A28C57AEE}"/>
            </a:ext>
          </a:extLst>
        </xdr:cNvPr>
        <xdr:cNvCxnSpPr>
          <a:stCxn id="214" idx="5"/>
          <a:endCxn id="206" idx="2"/>
        </xdr:cNvCxnSpPr>
      </xdr:nvCxnSpPr>
      <xdr:spPr>
        <a:xfrm>
          <a:off x="3100538" y="4749889"/>
          <a:ext cx="2537218" cy="1253197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237668</xdr:colOff>
      <xdr:row>43</xdr:row>
      <xdr:rowOff>30723</xdr:rowOff>
    </xdr:from>
    <xdr:to>
      <xdr:col>21</xdr:col>
      <xdr:colOff>306293</xdr:colOff>
      <xdr:row>44</xdr:row>
      <xdr:rowOff>89647</xdr:rowOff>
    </xdr:to>
    <xdr:cxnSp macro="">
      <xdr:nvCxnSpPr>
        <xdr:cNvPr id="501" name="Straight Connector 500">
          <a:extLst>
            <a:ext uri="{FF2B5EF4-FFF2-40B4-BE49-F238E27FC236}">
              <a16:creationId xmlns:a16="http://schemas.microsoft.com/office/drawing/2014/main" id="{4FA3B48E-6675-40F2-A6D4-7885F236D927}"/>
            </a:ext>
          </a:extLst>
        </xdr:cNvPr>
        <xdr:cNvCxnSpPr>
          <a:stCxn id="316" idx="5"/>
        </xdr:cNvCxnSpPr>
      </xdr:nvCxnSpPr>
      <xdr:spPr>
        <a:xfrm>
          <a:off x="7827786" y="6485311"/>
          <a:ext cx="472036" cy="208336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54375</xdr:colOff>
      <xdr:row>43</xdr:row>
      <xdr:rowOff>30723</xdr:rowOff>
    </xdr:from>
    <xdr:to>
      <xdr:col>20</xdr:col>
      <xdr:colOff>175184</xdr:colOff>
      <xdr:row>46</xdr:row>
      <xdr:rowOff>20817</xdr:rowOff>
    </xdr:to>
    <xdr:cxnSp macro="">
      <xdr:nvCxnSpPr>
        <xdr:cNvPr id="504" name="Straight Connector 503">
          <a:extLst>
            <a:ext uri="{FF2B5EF4-FFF2-40B4-BE49-F238E27FC236}">
              <a16:creationId xmlns:a16="http://schemas.microsoft.com/office/drawing/2014/main" id="{CF11A881-2F35-4997-906B-F3E06E8D5582}"/>
            </a:ext>
          </a:extLst>
        </xdr:cNvPr>
        <xdr:cNvCxnSpPr>
          <a:stCxn id="316" idx="3"/>
          <a:endCxn id="245" idx="6"/>
        </xdr:cNvCxnSpPr>
      </xdr:nvCxnSpPr>
      <xdr:spPr>
        <a:xfrm flipH="1">
          <a:off x="7241081" y="6485311"/>
          <a:ext cx="524221" cy="438330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201706</xdr:colOff>
      <xdr:row>46</xdr:row>
      <xdr:rowOff>20817</xdr:rowOff>
    </xdr:from>
    <xdr:to>
      <xdr:col>18</xdr:col>
      <xdr:colOff>350371</xdr:colOff>
      <xdr:row>53</xdr:row>
      <xdr:rowOff>7471</xdr:rowOff>
    </xdr:to>
    <xdr:cxnSp macro="">
      <xdr:nvCxnSpPr>
        <xdr:cNvPr id="512" name="Straight Connector 511">
          <a:extLst>
            <a:ext uri="{FF2B5EF4-FFF2-40B4-BE49-F238E27FC236}">
              <a16:creationId xmlns:a16="http://schemas.microsoft.com/office/drawing/2014/main" id="{C5E72A2B-4FE5-489F-99A5-E4E3AF0F2A63}"/>
            </a:ext>
          </a:extLst>
        </xdr:cNvPr>
        <xdr:cNvCxnSpPr>
          <a:stCxn id="245" idx="2"/>
        </xdr:cNvCxnSpPr>
      </xdr:nvCxnSpPr>
      <xdr:spPr>
        <a:xfrm flipH="1">
          <a:off x="6985000" y="6923641"/>
          <a:ext cx="148665" cy="1137124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171823</xdr:colOff>
      <xdr:row>52</xdr:row>
      <xdr:rowOff>97118</xdr:rowOff>
    </xdr:from>
    <xdr:to>
      <xdr:col>20</xdr:col>
      <xdr:colOff>216647</xdr:colOff>
      <xdr:row>53</xdr:row>
      <xdr:rowOff>22413</xdr:rowOff>
    </xdr:to>
    <xdr:cxnSp macro="">
      <xdr:nvCxnSpPr>
        <xdr:cNvPr id="513" name="Straight Connector 512">
          <a:extLst>
            <a:ext uri="{FF2B5EF4-FFF2-40B4-BE49-F238E27FC236}">
              <a16:creationId xmlns:a16="http://schemas.microsoft.com/office/drawing/2014/main" id="{D57AA46D-79B5-40A9-A0DE-2A25C87A8D1A}"/>
            </a:ext>
          </a:extLst>
        </xdr:cNvPr>
        <xdr:cNvCxnSpPr/>
      </xdr:nvCxnSpPr>
      <xdr:spPr>
        <a:xfrm>
          <a:off x="6148294" y="8001000"/>
          <a:ext cx="1658471" cy="74707"/>
        </a:xfrm>
        <a:prstGeom prst="line">
          <a:avLst/>
        </a:prstGeom>
        <a:ln w="25400">
          <a:solidFill>
            <a:schemeClr val="tx2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237827</xdr:colOff>
      <xdr:row>50</xdr:row>
      <xdr:rowOff>205326</xdr:rowOff>
    </xdr:from>
    <xdr:to>
      <xdr:col>16</xdr:col>
      <xdr:colOff>179294</xdr:colOff>
      <xdr:row>53</xdr:row>
      <xdr:rowOff>44824</xdr:rowOff>
    </xdr:to>
    <xdr:sp macro="" textlink="">
      <xdr:nvSpPr>
        <xdr:cNvPr id="514" name="Rectangle 513">
          <a:extLst>
            <a:ext uri="{FF2B5EF4-FFF2-40B4-BE49-F238E27FC236}">
              <a16:creationId xmlns:a16="http://schemas.microsoft.com/office/drawing/2014/main" id="{5590D438-B4CA-48CD-963E-C2D7465400EB}"/>
            </a:ext>
          </a:extLst>
        </xdr:cNvPr>
        <xdr:cNvSpPr/>
      </xdr:nvSpPr>
      <xdr:spPr>
        <a:xfrm>
          <a:off x="5810886" y="7713267"/>
          <a:ext cx="344879" cy="384851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A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203356</xdr:colOff>
      <xdr:row>52</xdr:row>
      <xdr:rowOff>47056</xdr:rowOff>
    </xdr:from>
    <xdr:to>
      <xdr:col>21</xdr:col>
      <xdr:colOff>144824</xdr:colOff>
      <xdr:row>54</xdr:row>
      <xdr:rowOff>126039</xdr:rowOff>
    </xdr:to>
    <xdr:sp macro="" textlink="">
      <xdr:nvSpPr>
        <xdr:cNvPr id="515" name="Rectangle 514">
          <a:extLst>
            <a:ext uri="{FF2B5EF4-FFF2-40B4-BE49-F238E27FC236}">
              <a16:creationId xmlns:a16="http://schemas.microsoft.com/office/drawing/2014/main" id="{8D587E4E-D8BD-4D2A-BC13-7ACB5D68A50B}"/>
            </a:ext>
          </a:extLst>
        </xdr:cNvPr>
        <xdr:cNvSpPr/>
      </xdr:nvSpPr>
      <xdr:spPr>
        <a:xfrm>
          <a:off x="7371599" y="8124256"/>
          <a:ext cx="322468" cy="39466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A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174811</xdr:colOff>
      <xdr:row>56</xdr:row>
      <xdr:rowOff>32870</xdr:rowOff>
    </xdr:from>
    <xdr:to>
      <xdr:col>20</xdr:col>
      <xdr:colOff>219635</xdr:colOff>
      <xdr:row>56</xdr:row>
      <xdr:rowOff>107577</xdr:rowOff>
    </xdr:to>
    <xdr:cxnSp macro="">
      <xdr:nvCxnSpPr>
        <xdr:cNvPr id="516" name="Straight Connector 515">
          <a:extLst>
            <a:ext uri="{FF2B5EF4-FFF2-40B4-BE49-F238E27FC236}">
              <a16:creationId xmlns:a16="http://schemas.microsoft.com/office/drawing/2014/main" id="{37AD4B57-314A-49B8-83A0-FEC0C39267C2}"/>
            </a:ext>
          </a:extLst>
        </xdr:cNvPr>
        <xdr:cNvCxnSpPr/>
      </xdr:nvCxnSpPr>
      <xdr:spPr>
        <a:xfrm>
          <a:off x="6151282" y="8549341"/>
          <a:ext cx="1658471" cy="74707"/>
        </a:xfrm>
        <a:prstGeom prst="line">
          <a:avLst/>
        </a:prstGeom>
        <a:ln w="25400">
          <a:solidFill>
            <a:schemeClr val="tx2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292535</xdr:colOff>
      <xdr:row>56</xdr:row>
      <xdr:rowOff>104013</xdr:rowOff>
    </xdr:from>
    <xdr:to>
      <xdr:col>17</xdr:col>
      <xdr:colOff>305718</xdr:colOff>
      <xdr:row>59</xdr:row>
      <xdr:rowOff>40629</xdr:rowOff>
    </xdr:to>
    <xdr:sp macro="" textlink="">
      <xdr:nvSpPr>
        <xdr:cNvPr id="517" name="Rectangle 516">
          <a:extLst>
            <a:ext uri="{FF2B5EF4-FFF2-40B4-BE49-F238E27FC236}">
              <a16:creationId xmlns:a16="http://schemas.microsoft.com/office/drawing/2014/main" id="{149DA9FA-FFED-4DB9-964A-BDCC7C38B889}"/>
            </a:ext>
          </a:extLst>
        </xdr:cNvPr>
        <xdr:cNvSpPr/>
      </xdr:nvSpPr>
      <xdr:spPr>
        <a:xfrm>
          <a:off x="5934266" y="8867013"/>
          <a:ext cx="394183" cy="398212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A'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315629</xdr:colOff>
      <xdr:row>56</xdr:row>
      <xdr:rowOff>112798</xdr:rowOff>
    </xdr:from>
    <xdr:to>
      <xdr:col>21</xdr:col>
      <xdr:colOff>328813</xdr:colOff>
      <xdr:row>59</xdr:row>
      <xdr:rowOff>49414</xdr:rowOff>
    </xdr:to>
    <xdr:sp macro="" textlink="">
      <xdr:nvSpPr>
        <xdr:cNvPr id="518" name="Rectangle 517">
          <a:extLst>
            <a:ext uri="{FF2B5EF4-FFF2-40B4-BE49-F238E27FC236}">
              <a16:creationId xmlns:a16="http://schemas.microsoft.com/office/drawing/2014/main" id="{1B223C9B-0A53-43DE-985B-878D5300B137}"/>
            </a:ext>
          </a:extLst>
        </xdr:cNvPr>
        <xdr:cNvSpPr/>
      </xdr:nvSpPr>
      <xdr:spPr>
        <a:xfrm>
          <a:off x="7483872" y="8821369"/>
          <a:ext cx="394184" cy="393816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A'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151556</xdr:colOff>
      <xdr:row>61</xdr:row>
      <xdr:rowOff>91767</xdr:rowOff>
    </xdr:from>
    <xdr:to>
      <xdr:col>18</xdr:col>
      <xdr:colOff>201975</xdr:colOff>
      <xdr:row>64</xdr:row>
      <xdr:rowOff>41000</xdr:rowOff>
    </xdr:to>
    <xdr:cxnSp macro="">
      <xdr:nvCxnSpPr>
        <xdr:cNvPr id="519" name="Straight Connector 518">
          <a:extLst>
            <a:ext uri="{FF2B5EF4-FFF2-40B4-BE49-F238E27FC236}">
              <a16:creationId xmlns:a16="http://schemas.microsoft.com/office/drawing/2014/main" id="{AD3B58A4-8629-4268-97A6-6BA29773DA52}"/>
            </a:ext>
          </a:extLst>
        </xdr:cNvPr>
        <xdr:cNvCxnSpPr>
          <a:stCxn id="538" idx="7"/>
          <a:endCxn id="441" idx="5"/>
        </xdr:cNvCxnSpPr>
      </xdr:nvCxnSpPr>
      <xdr:spPr>
        <a:xfrm flipV="1">
          <a:off x="6557799" y="9562338"/>
          <a:ext cx="50419" cy="40643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146593</xdr:colOff>
      <xdr:row>59</xdr:row>
      <xdr:rowOff>125290</xdr:rowOff>
    </xdr:from>
    <xdr:to>
      <xdr:col>18</xdr:col>
      <xdr:colOff>234959</xdr:colOff>
      <xdr:row>60</xdr:row>
      <xdr:rowOff>61223</xdr:rowOff>
    </xdr:to>
    <xdr:grpSp>
      <xdr:nvGrpSpPr>
        <xdr:cNvPr id="520" name="Group 519">
          <a:extLst>
            <a:ext uri="{FF2B5EF4-FFF2-40B4-BE49-F238E27FC236}">
              <a16:creationId xmlns:a16="http://schemas.microsoft.com/office/drawing/2014/main" id="{BAFFE401-5148-4338-8617-C786C3CF7443}"/>
            </a:ext>
          </a:extLst>
        </xdr:cNvPr>
        <xdr:cNvGrpSpPr/>
      </xdr:nvGrpSpPr>
      <xdr:grpSpPr>
        <a:xfrm>
          <a:off x="6557332" y="9145051"/>
          <a:ext cx="88366" cy="850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1" name="Oval 520">
            <a:extLst>
              <a:ext uri="{FF2B5EF4-FFF2-40B4-BE49-F238E27FC236}">
                <a16:creationId xmlns:a16="http://schemas.microsoft.com/office/drawing/2014/main" id="{63201B2F-7741-44E6-A13F-1D2CF71D95C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620E42A4-411A-4A65-B75F-82A5BA49432E}"/>
              </a:ext>
            </a:extLst>
          </xdr:cNvPr>
          <xdr:cNvCxnSpPr>
            <a:stCxn id="521" idx="1"/>
            <a:endCxn id="5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5C0C13EF-9E44-4F40-A98E-64F759B07D72}"/>
              </a:ext>
            </a:extLst>
          </xdr:cNvPr>
          <xdr:cNvCxnSpPr>
            <a:stCxn id="521" idx="3"/>
            <a:endCxn id="5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201975</xdr:colOff>
      <xdr:row>56</xdr:row>
      <xdr:rowOff>97972</xdr:rowOff>
    </xdr:from>
    <xdr:to>
      <xdr:col>18</xdr:col>
      <xdr:colOff>310243</xdr:colOff>
      <xdr:row>61</xdr:row>
      <xdr:rowOff>91767</xdr:rowOff>
    </xdr:to>
    <xdr:cxnSp macro="">
      <xdr:nvCxnSpPr>
        <xdr:cNvPr id="524" name="Straight Connector 523">
          <a:extLst>
            <a:ext uri="{FF2B5EF4-FFF2-40B4-BE49-F238E27FC236}">
              <a16:creationId xmlns:a16="http://schemas.microsoft.com/office/drawing/2014/main" id="{0D9C1B24-7249-4BCA-B64A-4D19A782F62E}"/>
            </a:ext>
          </a:extLst>
        </xdr:cNvPr>
        <xdr:cNvCxnSpPr>
          <a:endCxn id="441" idx="5"/>
        </xdr:cNvCxnSpPr>
      </xdr:nvCxnSpPr>
      <xdr:spPr>
        <a:xfrm flipH="1">
          <a:off x="6608218" y="8806543"/>
          <a:ext cx="108268" cy="75579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165879</xdr:colOff>
      <xdr:row>64</xdr:row>
      <xdr:rowOff>107568</xdr:rowOff>
    </xdr:from>
    <xdr:to>
      <xdr:col>18</xdr:col>
      <xdr:colOff>75602</xdr:colOff>
      <xdr:row>66</xdr:row>
      <xdr:rowOff>73924</xdr:rowOff>
    </xdr:to>
    <xdr:cxnSp macro="">
      <xdr:nvCxnSpPr>
        <xdr:cNvPr id="526" name="Straight Connector 525">
          <a:extLst>
            <a:ext uri="{FF2B5EF4-FFF2-40B4-BE49-F238E27FC236}">
              <a16:creationId xmlns:a16="http://schemas.microsoft.com/office/drawing/2014/main" id="{B2A01505-2675-4FD0-A473-93D0F1A7D921}"/>
            </a:ext>
          </a:extLst>
        </xdr:cNvPr>
        <xdr:cNvCxnSpPr>
          <a:stCxn id="538" idx="3"/>
          <a:endCxn id="395" idx="7"/>
        </xdr:cNvCxnSpPr>
      </xdr:nvCxnSpPr>
      <xdr:spPr>
        <a:xfrm flipH="1">
          <a:off x="6191122" y="10035339"/>
          <a:ext cx="290723" cy="27115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369815</xdr:colOff>
      <xdr:row>74</xdr:row>
      <xdr:rowOff>49507</xdr:rowOff>
    </xdr:from>
    <xdr:to>
      <xdr:col>15</xdr:col>
      <xdr:colOff>152640</xdr:colOff>
      <xdr:row>76</xdr:row>
      <xdr:rowOff>124473</xdr:rowOff>
    </xdr:to>
    <xdr:cxnSp macro="">
      <xdr:nvCxnSpPr>
        <xdr:cNvPr id="528" name="Straight Connector 527">
          <a:extLst>
            <a:ext uri="{FF2B5EF4-FFF2-40B4-BE49-F238E27FC236}">
              <a16:creationId xmlns:a16="http://schemas.microsoft.com/office/drawing/2014/main" id="{0BFAD20C-1645-4592-997C-466565F803C3}"/>
            </a:ext>
          </a:extLst>
        </xdr:cNvPr>
        <xdr:cNvCxnSpPr>
          <a:stCxn id="360" idx="5"/>
          <a:endCxn id="413" idx="7"/>
        </xdr:cNvCxnSpPr>
      </xdr:nvCxnSpPr>
      <xdr:spPr>
        <a:xfrm flipH="1">
          <a:off x="5247618" y="11349165"/>
          <a:ext cx="163825" cy="37575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151843</xdr:colOff>
      <xdr:row>77</xdr:row>
      <xdr:rowOff>56819</xdr:rowOff>
    </xdr:from>
    <xdr:to>
      <xdr:col>14</xdr:col>
      <xdr:colOff>336222</xdr:colOff>
      <xdr:row>82</xdr:row>
      <xdr:rowOff>64032</xdr:rowOff>
    </xdr:to>
    <xdr:cxnSp macro="">
      <xdr:nvCxnSpPr>
        <xdr:cNvPr id="529" name="Straight Connector 528">
          <a:extLst>
            <a:ext uri="{FF2B5EF4-FFF2-40B4-BE49-F238E27FC236}">
              <a16:creationId xmlns:a16="http://schemas.microsoft.com/office/drawing/2014/main" id="{2DBA6517-E80F-4541-B234-1B420C8E693E}"/>
            </a:ext>
          </a:extLst>
        </xdr:cNvPr>
        <xdr:cNvCxnSpPr>
          <a:stCxn id="413" idx="4"/>
          <a:endCxn id="192" idx="7"/>
        </xdr:cNvCxnSpPr>
      </xdr:nvCxnSpPr>
      <xdr:spPr>
        <a:xfrm flipH="1">
          <a:off x="5029646" y="11807661"/>
          <a:ext cx="184379" cy="75918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302238</xdr:colOff>
      <xdr:row>82</xdr:row>
      <xdr:rowOff>110289</xdr:rowOff>
    </xdr:from>
    <xdr:to>
      <xdr:col>14</xdr:col>
      <xdr:colOff>100263</xdr:colOff>
      <xdr:row>91</xdr:row>
      <xdr:rowOff>139231</xdr:rowOff>
    </xdr:to>
    <xdr:cxnSp macro="">
      <xdr:nvCxnSpPr>
        <xdr:cNvPr id="530" name="Straight Connector 529">
          <a:extLst>
            <a:ext uri="{FF2B5EF4-FFF2-40B4-BE49-F238E27FC236}">
              <a16:creationId xmlns:a16="http://schemas.microsoft.com/office/drawing/2014/main" id="{1880B095-A7FC-4975-B3B3-595DE96164F5}"/>
            </a:ext>
          </a:extLst>
        </xdr:cNvPr>
        <xdr:cNvCxnSpPr>
          <a:endCxn id="55" idx="7"/>
        </xdr:cNvCxnSpPr>
      </xdr:nvCxnSpPr>
      <xdr:spPr>
        <a:xfrm flipH="1">
          <a:off x="4037041" y="12613105"/>
          <a:ext cx="941025" cy="138249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8578</xdr:colOff>
      <xdr:row>92</xdr:row>
      <xdr:rowOff>55959</xdr:rowOff>
    </xdr:from>
    <xdr:to>
      <xdr:col>11</xdr:col>
      <xdr:colOff>226284</xdr:colOff>
      <xdr:row>94</xdr:row>
      <xdr:rowOff>121248</xdr:rowOff>
    </xdr:to>
    <xdr:cxnSp macro="">
      <xdr:nvCxnSpPr>
        <xdr:cNvPr id="531" name="Straight Connector 530">
          <a:extLst>
            <a:ext uri="{FF2B5EF4-FFF2-40B4-BE49-F238E27FC236}">
              <a16:creationId xmlns:a16="http://schemas.microsoft.com/office/drawing/2014/main" id="{6F55B5E3-4DEE-4693-8306-325871A045C7}"/>
            </a:ext>
          </a:extLst>
        </xdr:cNvPr>
        <xdr:cNvCxnSpPr>
          <a:stCxn id="445" idx="5"/>
          <a:endCxn id="55" idx="3"/>
        </xdr:cNvCxnSpPr>
      </xdr:nvCxnSpPr>
      <xdr:spPr>
        <a:xfrm flipV="1">
          <a:off x="3743381" y="14062722"/>
          <a:ext cx="217706" cy="36607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258497</xdr:colOff>
      <xdr:row>94</xdr:row>
      <xdr:rowOff>121248</xdr:rowOff>
    </xdr:from>
    <xdr:to>
      <xdr:col>11</xdr:col>
      <xdr:colOff>6152</xdr:colOff>
      <xdr:row>97</xdr:row>
      <xdr:rowOff>2832</xdr:rowOff>
    </xdr:to>
    <xdr:cxnSp macro="">
      <xdr:nvCxnSpPr>
        <xdr:cNvPr id="532" name="Straight Connector 531">
          <a:extLst>
            <a:ext uri="{FF2B5EF4-FFF2-40B4-BE49-F238E27FC236}">
              <a16:creationId xmlns:a16="http://schemas.microsoft.com/office/drawing/2014/main" id="{65AED974-7217-4919-AFA8-9B69A567F85F}"/>
            </a:ext>
          </a:extLst>
        </xdr:cNvPr>
        <xdr:cNvCxnSpPr>
          <a:stCxn id="402" idx="7"/>
          <a:endCxn id="445" idx="5"/>
        </xdr:cNvCxnSpPr>
      </xdr:nvCxnSpPr>
      <xdr:spPr>
        <a:xfrm flipV="1">
          <a:off x="3759280" y="14775944"/>
          <a:ext cx="145220" cy="34541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247592</xdr:colOff>
      <xdr:row>97</xdr:row>
      <xdr:rowOff>85069</xdr:rowOff>
    </xdr:from>
    <xdr:to>
      <xdr:col>10</xdr:col>
      <xdr:colOff>220520</xdr:colOff>
      <xdr:row>101</xdr:row>
      <xdr:rowOff>121003</xdr:rowOff>
    </xdr:to>
    <xdr:cxnSp macro="">
      <xdr:nvCxnSpPr>
        <xdr:cNvPr id="533" name="Straight Connector 532">
          <a:extLst>
            <a:ext uri="{FF2B5EF4-FFF2-40B4-BE49-F238E27FC236}">
              <a16:creationId xmlns:a16="http://schemas.microsoft.com/office/drawing/2014/main" id="{D74F626B-0177-4694-91BA-7C1558BE73DA}"/>
            </a:ext>
          </a:extLst>
        </xdr:cNvPr>
        <xdr:cNvCxnSpPr>
          <a:stCxn id="372" idx="7"/>
          <a:endCxn id="402" idx="4"/>
        </xdr:cNvCxnSpPr>
      </xdr:nvCxnSpPr>
      <xdr:spPr>
        <a:xfrm flipV="1">
          <a:off x="3350809" y="15203591"/>
          <a:ext cx="370494" cy="65436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190776</xdr:colOff>
      <xdr:row>56</xdr:row>
      <xdr:rowOff>103415</xdr:rowOff>
    </xdr:from>
    <xdr:to>
      <xdr:col>18</xdr:col>
      <xdr:colOff>239486</xdr:colOff>
      <xdr:row>59</xdr:row>
      <xdr:rowOff>125290</xdr:rowOff>
    </xdr:to>
    <xdr:cxnSp macro="">
      <xdr:nvCxnSpPr>
        <xdr:cNvPr id="535" name="Straight Connector 534">
          <a:extLst>
            <a:ext uri="{FF2B5EF4-FFF2-40B4-BE49-F238E27FC236}">
              <a16:creationId xmlns:a16="http://schemas.microsoft.com/office/drawing/2014/main" id="{573995E1-675A-4E72-83C2-8FF77BE5C84E}"/>
            </a:ext>
          </a:extLst>
        </xdr:cNvPr>
        <xdr:cNvCxnSpPr>
          <a:endCxn id="521" idx="0"/>
        </xdr:cNvCxnSpPr>
      </xdr:nvCxnSpPr>
      <xdr:spPr>
        <a:xfrm flipH="1">
          <a:off x="6597019" y="8811986"/>
          <a:ext cx="48710" cy="479075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63693</xdr:colOff>
      <xdr:row>60</xdr:row>
      <xdr:rowOff>48287</xdr:rowOff>
    </xdr:from>
    <xdr:to>
      <xdr:col>18</xdr:col>
      <xdr:colOff>159534</xdr:colOff>
      <xdr:row>65</xdr:row>
      <xdr:rowOff>73104</xdr:rowOff>
    </xdr:to>
    <xdr:cxnSp macro="">
      <xdr:nvCxnSpPr>
        <xdr:cNvPr id="540" name="Straight Connector 539">
          <a:extLst>
            <a:ext uri="{FF2B5EF4-FFF2-40B4-BE49-F238E27FC236}">
              <a16:creationId xmlns:a16="http://schemas.microsoft.com/office/drawing/2014/main" id="{A618AED9-AC0E-47FE-96E3-C2AE79666D35}"/>
            </a:ext>
          </a:extLst>
        </xdr:cNvPr>
        <xdr:cNvCxnSpPr>
          <a:stCxn id="521" idx="3"/>
          <a:endCxn id="328" idx="0"/>
        </xdr:cNvCxnSpPr>
      </xdr:nvCxnSpPr>
      <xdr:spPr>
        <a:xfrm flipH="1">
          <a:off x="6469936" y="9366458"/>
          <a:ext cx="95841" cy="786817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157243</xdr:colOff>
      <xdr:row>66</xdr:row>
      <xdr:rowOff>14851</xdr:rowOff>
    </xdr:from>
    <xdr:to>
      <xdr:col>16</xdr:col>
      <xdr:colOff>343290</xdr:colOff>
      <xdr:row>68</xdr:row>
      <xdr:rowOff>49313</xdr:rowOff>
    </xdr:to>
    <xdr:cxnSp macro="">
      <xdr:nvCxnSpPr>
        <xdr:cNvPr id="543" name="Straight Connector 542">
          <a:extLst>
            <a:ext uri="{FF2B5EF4-FFF2-40B4-BE49-F238E27FC236}">
              <a16:creationId xmlns:a16="http://schemas.microsoft.com/office/drawing/2014/main" id="{043C52E5-8806-4898-9C90-2D8A1A5ADAB1}"/>
            </a:ext>
          </a:extLst>
        </xdr:cNvPr>
        <xdr:cNvCxnSpPr>
          <a:stCxn id="423" idx="2"/>
          <a:endCxn id="419" idx="2"/>
        </xdr:cNvCxnSpPr>
      </xdr:nvCxnSpPr>
      <xdr:spPr>
        <a:xfrm flipV="1">
          <a:off x="5801486" y="10247422"/>
          <a:ext cx="186047" cy="339262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302628</xdr:colOff>
      <xdr:row>74</xdr:row>
      <xdr:rowOff>13745</xdr:rowOff>
    </xdr:from>
    <xdr:to>
      <xdr:col>15</xdr:col>
      <xdr:colOff>63408</xdr:colOff>
      <xdr:row>76</xdr:row>
      <xdr:rowOff>124473</xdr:rowOff>
    </xdr:to>
    <xdr:cxnSp macro="">
      <xdr:nvCxnSpPr>
        <xdr:cNvPr id="546" name="Straight Connector 545">
          <a:extLst>
            <a:ext uri="{FF2B5EF4-FFF2-40B4-BE49-F238E27FC236}">
              <a16:creationId xmlns:a16="http://schemas.microsoft.com/office/drawing/2014/main" id="{2F4DE9D8-477F-4EEC-A839-88824094A16F}"/>
            </a:ext>
          </a:extLst>
        </xdr:cNvPr>
        <xdr:cNvCxnSpPr>
          <a:stCxn id="413" idx="1"/>
          <a:endCxn id="360" idx="2"/>
        </xdr:cNvCxnSpPr>
      </xdr:nvCxnSpPr>
      <xdr:spPr>
        <a:xfrm flipV="1">
          <a:off x="5180431" y="11313403"/>
          <a:ext cx="141780" cy="411517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288702</xdr:colOff>
      <xdr:row>77</xdr:row>
      <xdr:rowOff>8351</xdr:rowOff>
    </xdr:from>
    <xdr:to>
      <xdr:col>14</xdr:col>
      <xdr:colOff>288713</xdr:colOff>
      <xdr:row>81</xdr:row>
      <xdr:rowOff>116058</xdr:rowOff>
    </xdr:to>
    <xdr:cxnSp macro="">
      <xdr:nvCxnSpPr>
        <xdr:cNvPr id="549" name="Straight Connector 548">
          <a:extLst>
            <a:ext uri="{FF2B5EF4-FFF2-40B4-BE49-F238E27FC236}">
              <a16:creationId xmlns:a16="http://schemas.microsoft.com/office/drawing/2014/main" id="{1165F147-6E16-4558-9BA3-9A7D59F09FFF}"/>
            </a:ext>
          </a:extLst>
        </xdr:cNvPr>
        <xdr:cNvCxnSpPr>
          <a:stCxn id="320" idx="2"/>
          <a:endCxn id="413" idx="2"/>
        </xdr:cNvCxnSpPr>
      </xdr:nvCxnSpPr>
      <xdr:spPr>
        <a:xfrm flipV="1">
          <a:off x="4785505" y="11759193"/>
          <a:ext cx="381011" cy="709286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144536</xdr:colOff>
      <xdr:row>81</xdr:row>
      <xdr:rowOff>118166</xdr:rowOff>
    </xdr:from>
    <xdr:to>
      <xdr:col>13</xdr:col>
      <xdr:colOff>293715</xdr:colOff>
      <xdr:row>91</xdr:row>
      <xdr:rowOff>49107</xdr:rowOff>
    </xdr:to>
    <xdr:cxnSp macro="">
      <xdr:nvCxnSpPr>
        <xdr:cNvPr id="552" name="Straight Connector 551">
          <a:extLst>
            <a:ext uri="{FF2B5EF4-FFF2-40B4-BE49-F238E27FC236}">
              <a16:creationId xmlns:a16="http://schemas.microsoft.com/office/drawing/2014/main" id="{C57F389D-AC9D-454D-AD5C-2D3DF16162C1}"/>
            </a:ext>
          </a:extLst>
        </xdr:cNvPr>
        <xdr:cNvCxnSpPr>
          <a:stCxn id="410" idx="0"/>
        </xdr:cNvCxnSpPr>
      </xdr:nvCxnSpPr>
      <xdr:spPr>
        <a:xfrm flipV="1">
          <a:off x="3882277" y="12553218"/>
          <a:ext cx="911179" cy="1441803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59712</xdr:colOff>
      <xdr:row>94</xdr:row>
      <xdr:rowOff>121248</xdr:rowOff>
    </xdr:from>
    <xdr:to>
      <xdr:col>10</xdr:col>
      <xdr:colOff>329864</xdr:colOff>
      <xdr:row>104</xdr:row>
      <xdr:rowOff>113151</xdr:rowOff>
    </xdr:to>
    <xdr:cxnSp macro="">
      <xdr:nvCxnSpPr>
        <xdr:cNvPr id="555" name="Straight Connector 554">
          <a:extLst>
            <a:ext uri="{FF2B5EF4-FFF2-40B4-BE49-F238E27FC236}">
              <a16:creationId xmlns:a16="http://schemas.microsoft.com/office/drawing/2014/main" id="{6F9A066C-F994-4D95-92EA-CB7977B6D709}"/>
            </a:ext>
          </a:extLst>
        </xdr:cNvPr>
        <xdr:cNvCxnSpPr>
          <a:stCxn id="457" idx="7"/>
          <a:endCxn id="445" idx="3"/>
        </xdr:cNvCxnSpPr>
      </xdr:nvCxnSpPr>
      <xdr:spPr>
        <a:xfrm flipV="1">
          <a:off x="2765364" y="14775944"/>
          <a:ext cx="1065283" cy="1537990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209615</xdr:colOff>
      <xdr:row>102</xdr:row>
      <xdr:rowOff>51015</xdr:rowOff>
    </xdr:from>
    <xdr:to>
      <xdr:col>9</xdr:col>
      <xdr:colOff>299741</xdr:colOff>
      <xdr:row>104</xdr:row>
      <xdr:rowOff>90762</xdr:rowOff>
    </xdr:to>
    <xdr:cxnSp macro="">
      <xdr:nvCxnSpPr>
        <xdr:cNvPr id="566" name="Straight Connector 565">
          <a:extLst>
            <a:ext uri="{FF2B5EF4-FFF2-40B4-BE49-F238E27FC236}">
              <a16:creationId xmlns:a16="http://schemas.microsoft.com/office/drawing/2014/main" id="{D975B4F2-0D81-4693-B990-CCA9008E06A7}"/>
            </a:ext>
          </a:extLst>
        </xdr:cNvPr>
        <xdr:cNvCxnSpPr>
          <a:stCxn id="467" idx="1"/>
          <a:endCxn id="372" idx="4"/>
        </xdr:cNvCxnSpPr>
      </xdr:nvCxnSpPr>
      <xdr:spPr>
        <a:xfrm flipH="1" flipV="1">
          <a:off x="3362203" y="15440427"/>
          <a:ext cx="90126" cy="33857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375695</xdr:colOff>
      <xdr:row>105</xdr:row>
      <xdr:rowOff>7340</xdr:rowOff>
    </xdr:from>
    <xdr:to>
      <xdr:col>12</xdr:col>
      <xdr:colOff>206187</xdr:colOff>
      <xdr:row>105</xdr:row>
      <xdr:rowOff>50813</xdr:rowOff>
    </xdr:to>
    <xdr:cxnSp macro="">
      <xdr:nvCxnSpPr>
        <xdr:cNvPr id="570" name="Straight Connector 569">
          <a:extLst>
            <a:ext uri="{FF2B5EF4-FFF2-40B4-BE49-F238E27FC236}">
              <a16:creationId xmlns:a16="http://schemas.microsoft.com/office/drawing/2014/main" id="{01C4A171-4A7F-4572-AC79-FAF0B3A9B78E}"/>
            </a:ext>
          </a:extLst>
        </xdr:cNvPr>
        <xdr:cNvCxnSpPr>
          <a:stCxn id="471" idx="2"/>
          <a:endCxn id="467" idx="5"/>
        </xdr:cNvCxnSpPr>
      </xdr:nvCxnSpPr>
      <xdr:spPr>
        <a:xfrm flipH="1" flipV="1">
          <a:off x="3496266" y="16150854"/>
          <a:ext cx="1027921" cy="4347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59712</xdr:colOff>
      <xdr:row>102</xdr:row>
      <xdr:rowOff>36497</xdr:rowOff>
    </xdr:from>
    <xdr:to>
      <xdr:col>9</xdr:col>
      <xdr:colOff>171638</xdr:colOff>
      <xdr:row>104</xdr:row>
      <xdr:rowOff>113151</xdr:rowOff>
    </xdr:to>
    <xdr:cxnSp macro="">
      <xdr:nvCxnSpPr>
        <xdr:cNvPr id="573" name="Straight Connector 572">
          <a:extLst>
            <a:ext uri="{FF2B5EF4-FFF2-40B4-BE49-F238E27FC236}">
              <a16:creationId xmlns:a16="http://schemas.microsoft.com/office/drawing/2014/main" id="{C54050C6-BA98-4F3D-8AAD-A30B0E1139E9}"/>
            </a:ext>
          </a:extLst>
        </xdr:cNvPr>
        <xdr:cNvCxnSpPr>
          <a:stCxn id="457" idx="7"/>
          <a:endCxn id="372" idx="3"/>
        </xdr:cNvCxnSpPr>
      </xdr:nvCxnSpPr>
      <xdr:spPr>
        <a:xfrm flipV="1">
          <a:off x="2765364" y="15928062"/>
          <a:ext cx="509491" cy="385872"/>
        </a:xfrm>
        <a:prstGeom prst="line">
          <a:avLst/>
        </a:prstGeom>
        <a:ln w="63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388098</xdr:colOff>
      <xdr:row>96</xdr:row>
      <xdr:rowOff>113559</xdr:rowOff>
    </xdr:from>
    <xdr:to>
      <xdr:col>10</xdr:col>
      <xdr:colOff>128758</xdr:colOff>
      <xdr:row>97</xdr:row>
      <xdr:rowOff>123327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4240E94F-66EC-42DC-A276-2F191CD0E733}"/>
            </a:ext>
          </a:extLst>
        </xdr:cNvPr>
        <xdr:cNvGrpSpPr/>
      </xdr:nvGrpSpPr>
      <xdr:grpSpPr>
        <a:xfrm>
          <a:off x="3360312" y="14649537"/>
          <a:ext cx="131185" cy="158855"/>
          <a:chOff x="704537" y="3681605"/>
          <a:chExt cx="141199" cy="169566"/>
        </a:xfrm>
      </xdr:grpSpPr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40016FD9-98CB-47FB-802A-5550E96B3D41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E4442EBF-9E84-4F13-8BD1-B23ED8FC30C9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298646</xdr:colOff>
      <xdr:row>89</xdr:row>
      <xdr:rowOff>151108</xdr:rowOff>
    </xdr:from>
    <xdr:to>
      <xdr:col>12</xdr:col>
      <xdr:colOff>39307</xdr:colOff>
      <xdr:row>91</xdr:row>
      <xdr:rowOff>6267</xdr:rowOff>
    </xdr:to>
    <xdr:grpSp>
      <xdr:nvGrpSpPr>
        <xdr:cNvPr id="594" name="Group 593">
          <a:extLst>
            <a:ext uri="{FF2B5EF4-FFF2-40B4-BE49-F238E27FC236}">
              <a16:creationId xmlns:a16="http://schemas.microsoft.com/office/drawing/2014/main" id="{7D899760-4DA0-4C9B-838A-1F9FBA4E0CD5}"/>
            </a:ext>
          </a:extLst>
        </xdr:cNvPr>
        <xdr:cNvGrpSpPr/>
      </xdr:nvGrpSpPr>
      <xdr:grpSpPr>
        <a:xfrm rot="2028823">
          <a:off x="4042385" y="13643478"/>
          <a:ext cx="121661" cy="153332"/>
          <a:chOff x="704537" y="3681605"/>
          <a:chExt cx="141199" cy="169566"/>
        </a:xfrm>
      </xdr:grpSpPr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DAE7ED48-A17A-45E8-8CC2-FCD377B801FD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33FF0432-C982-4E05-82F8-47FE75D2449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315953</xdr:colOff>
      <xdr:row>92</xdr:row>
      <xdr:rowOff>52651</xdr:rowOff>
    </xdr:from>
    <xdr:to>
      <xdr:col>11</xdr:col>
      <xdr:colOff>73179</xdr:colOff>
      <xdr:row>93</xdr:row>
      <xdr:rowOff>62419</xdr:rowOff>
    </xdr:to>
    <xdr:grpSp>
      <xdr:nvGrpSpPr>
        <xdr:cNvPr id="597" name="Group 596">
          <a:extLst>
            <a:ext uri="{FF2B5EF4-FFF2-40B4-BE49-F238E27FC236}">
              <a16:creationId xmlns:a16="http://schemas.microsoft.com/office/drawing/2014/main" id="{04306782-F08E-478C-B394-F553BE031C6F}"/>
            </a:ext>
          </a:extLst>
        </xdr:cNvPr>
        <xdr:cNvGrpSpPr/>
      </xdr:nvGrpSpPr>
      <xdr:grpSpPr>
        <a:xfrm rot="2028823">
          <a:off x="3678692" y="13992281"/>
          <a:ext cx="138226" cy="158855"/>
          <a:chOff x="704537" y="3681605"/>
          <a:chExt cx="141199" cy="169566"/>
        </a:xfrm>
      </xdr:grpSpPr>
      <xdr:cxnSp macro="">
        <xdr:nvCxnSpPr>
          <xdr:cNvPr id="598" name="Straight Connector 597">
            <a:extLst>
              <a:ext uri="{FF2B5EF4-FFF2-40B4-BE49-F238E27FC236}">
                <a16:creationId xmlns:a16="http://schemas.microsoft.com/office/drawing/2014/main" id="{FE609DC0-9565-4E09-8DA3-782D013CDD3C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9" name="Straight Connector 598">
            <a:extLst>
              <a:ext uri="{FF2B5EF4-FFF2-40B4-BE49-F238E27FC236}">
                <a16:creationId xmlns:a16="http://schemas.microsoft.com/office/drawing/2014/main" id="{F20576A7-02B9-49FB-AB8A-9876CC9E5E7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117533</xdr:colOff>
      <xdr:row>99</xdr:row>
      <xdr:rowOff>47298</xdr:rowOff>
    </xdr:from>
    <xdr:to>
      <xdr:col>9</xdr:col>
      <xdr:colOff>255759</xdr:colOff>
      <xdr:row>100</xdr:row>
      <xdr:rowOff>57066</xdr:rowOff>
    </xdr:to>
    <xdr:grpSp>
      <xdr:nvGrpSpPr>
        <xdr:cNvPr id="600" name="Group 599">
          <a:extLst>
            <a:ext uri="{FF2B5EF4-FFF2-40B4-BE49-F238E27FC236}">
              <a16:creationId xmlns:a16="http://schemas.microsoft.com/office/drawing/2014/main" id="{8B116161-59E2-47F9-B009-4B9321CC37D3}"/>
            </a:ext>
          </a:extLst>
        </xdr:cNvPr>
        <xdr:cNvGrpSpPr/>
      </xdr:nvGrpSpPr>
      <xdr:grpSpPr>
        <a:xfrm rot="2028823">
          <a:off x="3099272" y="15030537"/>
          <a:ext cx="138226" cy="158855"/>
          <a:chOff x="704537" y="3681605"/>
          <a:chExt cx="141199" cy="169566"/>
        </a:xfrm>
      </xdr:grpSpPr>
      <xdr:cxnSp macro="">
        <xdr:nvCxnSpPr>
          <xdr:cNvPr id="601" name="Straight Connector 600">
            <a:extLst>
              <a:ext uri="{FF2B5EF4-FFF2-40B4-BE49-F238E27FC236}">
                <a16:creationId xmlns:a16="http://schemas.microsoft.com/office/drawing/2014/main" id="{777EE07C-69C9-459C-9498-4488CCC95DB8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2" name="Straight Connector 601">
            <a:extLst>
              <a:ext uri="{FF2B5EF4-FFF2-40B4-BE49-F238E27FC236}">
                <a16:creationId xmlns:a16="http://schemas.microsoft.com/office/drawing/2014/main" id="{8B97D40C-D36F-44A5-A2C5-D28B26FA3E6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214716</xdr:colOff>
      <xdr:row>102</xdr:row>
      <xdr:rowOff>34046</xdr:rowOff>
    </xdr:from>
    <xdr:to>
      <xdr:col>8</xdr:col>
      <xdr:colOff>352942</xdr:colOff>
      <xdr:row>103</xdr:row>
      <xdr:rowOff>43814</xdr:rowOff>
    </xdr:to>
    <xdr:grpSp>
      <xdr:nvGrpSpPr>
        <xdr:cNvPr id="603" name="Group 602">
          <a:extLst>
            <a:ext uri="{FF2B5EF4-FFF2-40B4-BE49-F238E27FC236}">
              <a16:creationId xmlns:a16="http://schemas.microsoft.com/office/drawing/2014/main" id="{49A71096-D68C-460A-A370-3BDDA680BE7D}"/>
            </a:ext>
          </a:extLst>
        </xdr:cNvPr>
        <xdr:cNvGrpSpPr/>
      </xdr:nvGrpSpPr>
      <xdr:grpSpPr>
        <a:xfrm rot="2028823">
          <a:off x="2815455" y="15464546"/>
          <a:ext cx="138226" cy="158855"/>
          <a:chOff x="704537" y="3681605"/>
          <a:chExt cx="141199" cy="169566"/>
        </a:xfrm>
      </xdr:grpSpPr>
      <xdr:cxnSp macro="">
        <xdr:nvCxnSpPr>
          <xdr:cNvPr id="604" name="Straight Connector 603">
            <a:extLst>
              <a:ext uri="{FF2B5EF4-FFF2-40B4-BE49-F238E27FC236}">
                <a16:creationId xmlns:a16="http://schemas.microsoft.com/office/drawing/2014/main" id="{A407E7FF-B827-4D4E-9BF1-365D998243D5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5" name="Straight Connector 604">
            <a:extLst>
              <a:ext uri="{FF2B5EF4-FFF2-40B4-BE49-F238E27FC236}">
                <a16:creationId xmlns:a16="http://schemas.microsoft.com/office/drawing/2014/main" id="{C17F77F8-D5FD-433F-85DF-AC04212FDA64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182218</xdr:colOff>
      <xdr:row>87</xdr:row>
      <xdr:rowOff>71782</xdr:rowOff>
    </xdr:from>
    <xdr:to>
      <xdr:col>12</xdr:col>
      <xdr:colOff>320444</xdr:colOff>
      <xdr:row>88</xdr:row>
      <xdr:rowOff>81551</xdr:rowOff>
    </xdr:to>
    <xdr:grpSp>
      <xdr:nvGrpSpPr>
        <xdr:cNvPr id="606" name="Group 605">
          <a:extLst>
            <a:ext uri="{FF2B5EF4-FFF2-40B4-BE49-F238E27FC236}">
              <a16:creationId xmlns:a16="http://schemas.microsoft.com/office/drawing/2014/main" id="{D3FE7734-4D9B-4972-BA41-AAC251FD7EBA}"/>
            </a:ext>
          </a:extLst>
        </xdr:cNvPr>
        <xdr:cNvGrpSpPr/>
      </xdr:nvGrpSpPr>
      <xdr:grpSpPr>
        <a:xfrm rot="2028823">
          <a:off x="4306957" y="13265978"/>
          <a:ext cx="138226" cy="158856"/>
          <a:chOff x="704537" y="3681605"/>
          <a:chExt cx="141199" cy="169566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5604F04C-7FF9-407B-823D-B0691A199846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Straight Connector 607">
            <a:extLst>
              <a:ext uri="{FF2B5EF4-FFF2-40B4-BE49-F238E27FC236}">
                <a16:creationId xmlns:a16="http://schemas.microsoft.com/office/drawing/2014/main" id="{5698A03A-D1F2-43B5-A973-34965E72308F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14357</xdr:colOff>
      <xdr:row>85</xdr:row>
      <xdr:rowOff>25400</xdr:rowOff>
    </xdr:from>
    <xdr:to>
      <xdr:col>13</xdr:col>
      <xdr:colOff>152583</xdr:colOff>
      <xdr:row>86</xdr:row>
      <xdr:rowOff>35168</xdr:rowOff>
    </xdr:to>
    <xdr:grpSp>
      <xdr:nvGrpSpPr>
        <xdr:cNvPr id="609" name="Group 608">
          <a:extLst>
            <a:ext uri="{FF2B5EF4-FFF2-40B4-BE49-F238E27FC236}">
              <a16:creationId xmlns:a16="http://schemas.microsoft.com/office/drawing/2014/main" id="{E4A26154-B8CB-4807-9617-3A487E4D461D}"/>
            </a:ext>
          </a:extLst>
        </xdr:cNvPr>
        <xdr:cNvGrpSpPr/>
      </xdr:nvGrpSpPr>
      <xdr:grpSpPr>
        <a:xfrm rot="2028823">
          <a:off x="4520096" y="12921422"/>
          <a:ext cx="138226" cy="158855"/>
          <a:chOff x="704537" y="3681605"/>
          <a:chExt cx="141199" cy="169566"/>
        </a:xfrm>
      </xdr:grpSpPr>
      <xdr:cxnSp macro="">
        <xdr:nvCxnSpPr>
          <xdr:cNvPr id="610" name="Straight Connector 609">
            <a:extLst>
              <a:ext uri="{FF2B5EF4-FFF2-40B4-BE49-F238E27FC236}">
                <a16:creationId xmlns:a16="http://schemas.microsoft.com/office/drawing/2014/main" id="{4315D97C-DA84-407B-B8AE-C1B732715162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1" name="Straight Connector 610">
            <a:extLst>
              <a:ext uri="{FF2B5EF4-FFF2-40B4-BE49-F238E27FC236}">
                <a16:creationId xmlns:a16="http://schemas.microsoft.com/office/drawing/2014/main" id="{08C576DA-520F-496C-93B1-1E07CBC0A2E4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15195</xdr:colOff>
      <xdr:row>83</xdr:row>
      <xdr:rowOff>18716</xdr:rowOff>
    </xdr:from>
    <xdr:to>
      <xdr:col>13</xdr:col>
      <xdr:colOff>153421</xdr:colOff>
      <xdr:row>84</xdr:row>
      <xdr:rowOff>28484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C910433C-13FD-4806-8F96-97EAD6C1CE1D}"/>
            </a:ext>
          </a:extLst>
        </xdr:cNvPr>
        <xdr:cNvGrpSpPr/>
      </xdr:nvGrpSpPr>
      <xdr:grpSpPr>
        <a:xfrm rot="2028823">
          <a:off x="4520934" y="12616564"/>
          <a:ext cx="138226" cy="158855"/>
          <a:chOff x="704537" y="3681605"/>
          <a:chExt cx="141199" cy="169566"/>
        </a:xfrm>
      </xdr:grpSpPr>
      <xdr:cxnSp macro="">
        <xdr:nvCxnSpPr>
          <xdr:cNvPr id="613" name="Straight Connector 612">
            <a:extLst>
              <a:ext uri="{FF2B5EF4-FFF2-40B4-BE49-F238E27FC236}">
                <a16:creationId xmlns:a16="http://schemas.microsoft.com/office/drawing/2014/main" id="{C4F270CB-0669-464D-BBAC-D3AC32317FC6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BDA7A83-3902-4981-A2A9-760C94F62E6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4418</xdr:colOff>
      <xdr:row>80</xdr:row>
      <xdr:rowOff>125895</xdr:rowOff>
    </xdr:from>
    <xdr:to>
      <xdr:col>14</xdr:col>
      <xdr:colOff>142644</xdr:colOff>
      <xdr:row>81</xdr:row>
      <xdr:rowOff>135663</xdr:rowOff>
    </xdr:to>
    <xdr:grpSp>
      <xdr:nvGrpSpPr>
        <xdr:cNvPr id="615" name="Group 614">
          <a:extLst>
            <a:ext uri="{FF2B5EF4-FFF2-40B4-BE49-F238E27FC236}">
              <a16:creationId xmlns:a16="http://schemas.microsoft.com/office/drawing/2014/main" id="{5A3C9EAE-3458-491C-91C7-33666E3B6721}"/>
            </a:ext>
          </a:extLst>
        </xdr:cNvPr>
        <xdr:cNvGrpSpPr/>
      </xdr:nvGrpSpPr>
      <xdr:grpSpPr>
        <a:xfrm rot="2028823">
          <a:off x="4891157" y="12276482"/>
          <a:ext cx="138226" cy="158855"/>
          <a:chOff x="704537" y="3681605"/>
          <a:chExt cx="141199" cy="169566"/>
        </a:xfrm>
      </xdr:grpSpPr>
      <xdr:cxnSp macro="">
        <xdr:nvCxnSpPr>
          <xdr:cNvPr id="616" name="Straight Connector 615">
            <a:extLst>
              <a:ext uri="{FF2B5EF4-FFF2-40B4-BE49-F238E27FC236}">
                <a16:creationId xmlns:a16="http://schemas.microsoft.com/office/drawing/2014/main" id="{2590A02B-46C8-40D6-A0B3-3E7771DC0929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7" name="Straight Connector 616">
            <a:extLst>
              <a:ext uri="{FF2B5EF4-FFF2-40B4-BE49-F238E27FC236}">
                <a16:creationId xmlns:a16="http://schemas.microsoft.com/office/drawing/2014/main" id="{13B4D1D7-B595-4AA8-B526-DA8B7F2F0C78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134731</xdr:colOff>
      <xdr:row>77</xdr:row>
      <xdr:rowOff>106176</xdr:rowOff>
    </xdr:from>
    <xdr:to>
      <xdr:col>14</xdr:col>
      <xdr:colOff>272957</xdr:colOff>
      <xdr:row>78</xdr:row>
      <xdr:rowOff>111731</xdr:rowOff>
    </xdr:to>
    <xdr:grpSp>
      <xdr:nvGrpSpPr>
        <xdr:cNvPr id="618" name="Group 617">
          <a:extLst>
            <a:ext uri="{FF2B5EF4-FFF2-40B4-BE49-F238E27FC236}">
              <a16:creationId xmlns:a16="http://schemas.microsoft.com/office/drawing/2014/main" id="{4E21F8DA-ED3A-4CB2-A6A2-4894065FEB9A}"/>
            </a:ext>
          </a:extLst>
        </xdr:cNvPr>
        <xdr:cNvGrpSpPr/>
      </xdr:nvGrpSpPr>
      <xdr:grpSpPr>
        <a:xfrm rot="2028823">
          <a:off x="5021470" y="11809502"/>
          <a:ext cx="138226" cy="154642"/>
          <a:chOff x="704537" y="3681605"/>
          <a:chExt cx="141199" cy="169566"/>
        </a:xfrm>
      </xdr:grpSpPr>
      <xdr:cxnSp macro="">
        <xdr:nvCxnSpPr>
          <xdr:cNvPr id="619" name="Straight Connector 618">
            <a:extLst>
              <a:ext uri="{FF2B5EF4-FFF2-40B4-BE49-F238E27FC236}">
                <a16:creationId xmlns:a16="http://schemas.microsoft.com/office/drawing/2014/main" id="{6CF949F4-0825-4916-8965-D5F9CACD05C7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0" name="Straight Connector 619">
            <a:extLst>
              <a:ext uri="{FF2B5EF4-FFF2-40B4-BE49-F238E27FC236}">
                <a16:creationId xmlns:a16="http://schemas.microsoft.com/office/drawing/2014/main" id="{AF83C443-1712-40A0-9929-71BAD9B75788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323824</xdr:colOff>
      <xdr:row>74</xdr:row>
      <xdr:rowOff>116319</xdr:rowOff>
    </xdr:from>
    <xdr:to>
      <xdr:col>15</xdr:col>
      <xdr:colOff>64484</xdr:colOff>
      <xdr:row>75</xdr:row>
      <xdr:rowOff>126086</xdr:rowOff>
    </xdr:to>
    <xdr:grpSp>
      <xdr:nvGrpSpPr>
        <xdr:cNvPr id="621" name="Group 620">
          <a:extLst>
            <a:ext uri="{FF2B5EF4-FFF2-40B4-BE49-F238E27FC236}">
              <a16:creationId xmlns:a16="http://schemas.microsoft.com/office/drawing/2014/main" id="{018E333C-E488-4A91-833A-73D41D6EA52B}"/>
            </a:ext>
          </a:extLst>
        </xdr:cNvPr>
        <xdr:cNvGrpSpPr/>
      </xdr:nvGrpSpPr>
      <xdr:grpSpPr>
        <a:xfrm rot="2028823">
          <a:off x="5210563" y="11372384"/>
          <a:ext cx="121660" cy="158854"/>
          <a:chOff x="704537" y="3681605"/>
          <a:chExt cx="141199" cy="169566"/>
        </a:xfrm>
      </xdr:grpSpPr>
      <xdr:cxnSp macro="">
        <xdr:nvCxnSpPr>
          <xdr:cNvPr id="622" name="Straight Connector 621">
            <a:extLst>
              <a:ext uri="{FF2B5EF4-FFF2-40B4-BE49-F238E27FC236}">
                <a16:creationId xmlns:a16="http://schemas.microsoft.com/office/drawing/2014/main" id="{D2998813-A9B7-4E4A-A71F-84B340FA9F65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3" name="Straight Connector 622">
            <a:extLst>
              <a:ext uri="{FF2B5EF4-FFF2-40B4-BE49-F238E27FC236}">
                <a16:creationId xmlns:a16="http://schemas.microsoft.com/office/drawing/2014/main" id="{EA1F9A8E-D0DB-4779-93C3-CF50680E9D8E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165119</xdr:colOff>
      <xdr:row>71</xdr:row>
      <xdr:rowOff>103140</xdr:rowOff>
    </xdr:from>
    <xdr:to>
      <xdr:col>15</xdr:col>
      <xdr:colOff>286780</xdr:colOff>
      <xdr:row>72</xdr:row>
      <xdr:rowOff>112909</xdr:rowOff>
    </xdr:to>
    <xdr:grpSp>
      <xdr:nvGrpSpPr>
        <xdr:cNvPr id="624" name="Group 623">
          <a:extLst>
            <a:ext uri="{FF2B5EF4-FFF2-40B4-BE49-F238E27FC236}">
              <a16:creationId xmlns:a16="http://schemas.microsoft.com/office/drawing/2014/main" id="{925DAFC6-1EE1-430B-8BBB-0524A0EADDF7}"/>
            </a:ext>
          </a:extLst>
        </xdr:cNvPr>
        <xdr:cNvGrpSpPr/>
      </xdr:nvGrpSpPr>
      <xdr:grpSpPr>
        <a:xfrm rot="2028823">
          <a:off x="5432858" y="10911944"/>
          <a:ext cx="121661" cy="158856"/>
          <a:chOff x="704537" y="3681605"/>
          <a:chExt cx="141199" cy="169566"/>
        </a:xfrm>
      </xdr:grpSpPr>
      <xdr:cxnSp macro="">
        <xdr:nvCxnSpPr>
          <xdr:cNvPr id="625" name="Straight Connector 624">
            <a:extLst>
              <a:ext uri="{FF2B5EF4-FFF2-40B4-BE49-F238E27FC236}">
                <a16:creationId xmlns:a16="http://schemas.microsoft.com/office/drawing/2014/main" id="{4F16E948-564B-426A-977A-6669C965DEC3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6" name="Straight Connector 625">
            <a:extLst>
              <a:ext uri="{FF2B5EF4-FFF2-40B4-BE49-F238E27FC236}">
                <a16:creationId xmlns:a16="http://schemas.microsoft.com/office/drawing/2014/main" id="{7331911F-939D-467C-9E2B-E854B43A2DC9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41356</xdr:colOff>
      <xdr:row>62</xdr:row>
      <xdr:rowOff>74891</xdr:rowOff>
    </xdr:from>
    <xdr:to>
      <xdr:col>18</xdr:col>
      <xdr:colOff>179966</xdr:colOff>
      <xdr:row>63</xdr:row>
      <xdr:rowOff>61161</xdr:rowOff>
    </xdr:to>
    <xdr:grpSp>
      <xdr:nvGrpSpPr>
        <xdr:cNvPr id="627" name="Group 626">
          <a:extLst>
            <a:ext uri="{FF2B5EF4-FFF2-40B4-BE49-F238E27FC236}">
              <a16:creationId xmlns:a16="http://schemas.microsoft.com/office/drawing/2014/main" id="{D2D1237D-4AC0-44FE-8096-702FDE13F411}"/>
            </a:ext>
          </a:extLst>
        </xdr:cNvPr>
        <xdr:cNvGrpSpPr/>
      </xdr:nvGrpSpPr>
      <xdr:grpSpPr>
        <a:xfrm rot="2028823">
          <a:off x="6452095" y="9541913"/>
          <a:ext cx="138610" cy="135357"/>
          <a:chOff x="704537" y="3681605"/>
          <a:chExt cx="141199" cy="169566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C83E0A34-9265-4402-8603-C1A6A12D10A6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9" name="Straight Connector 628">
            <a:extLst>
              <a:ext uri="{FF2B5EF4-FFF2-40B4-BE49-F238E27FC236}">
                <a16:creationId xmlns:a16="http://schemas.microsoft.com/office/drawing/2014/main" id="{FCC94D2E-9A06-4272-8D23-939705433D51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205412</xdr:colOff>
      <xdr:row>66</xdr:row>
      <xdr:rowOff>75255</xdr:rowOff>
    </xdr:from>
    <xdr:to>
      <xdr:col>16</xdr:col>
      <xdr:colOff>327073</xdr:colOff>
      <xdr:row>67</xdr:row>
      <xdr:rowOff>85023</xdr:rowOff>
    </xdr:to>
    <xdr:grpSp>
      <xdr:nvGrpSpPr>
        <xdr:cNvPr id="630" name="Group 629">
          <a:extLst>
            <a:ext uri="{FF2B5EF4-FFF2-40B4-BE49-F238E27FC236}">
              <a16:creationId xmlns:a16="http://schemas.microsoft.com/office/drawing/2014/main" id="{53ABEB39-E703-4E40-84A9-2FDD560B9CA2}"/>
            </a:ext>
          </a:extLst>
        </xdr:cNvPr>
        <xdr:cNvGrpSpPr/>
      </xdr:nvGrpSpPr>
      <xdr:grpSpPr>
        <a:xfrm rot="2028823">
          <a:off x="5854151" y="10138625"/>
          <a:ext cx="121661" cy="158855"/>
          <a:chOff x="704537" y="3681605"/>
          <a:chExt cx="141199" cy="169566"/>
        </a:xfrm>
      </xdr:grpSpPr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id="{DD8187D6-42EB-4362-8D29-812C4E283B86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2" name="Straight Connector 631">
            <a:extLst>
              <a:ext uri="{FF2B5EF4-FFF2-40B4-BE49-F238E27FC236}">
                <a16:creationId xmlns:a16="http://schemas.microsoft.com/office/drawing/2014/main" id="{28020677-5EDD-43A5-9852-CF75292BD984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358773</xdr:colOff>
      <xdr:row>69</xdr:row>
      <xdr:rowOff>5505</xdr:rowOff>
    </xdr:from>
    <xdr:to>
      <xdr:col>16</xdr:col>
      <xdr:colOff>115999</xdr:colOff>
      <xdr:row>70</xdr:row>
      <xdr:rowOff>15273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id="{CC9A10E6-2238-45FD-A330-454EDE766C09}"/>
            </a:ext>
          </a:extLst>
        </xdr:cNvPr>
        <xdr:cNvGrpSpPr/>
      </xdr:nvGrpSpPr>
      <xdr:grpSpPr>
        <a:xfrm rot="2028823">
          <a:off x="5626512" y="10516135"/>
          <a:ext cx="138226" cy="158855"/>
          <a:chOff x="704537" y="3681605"/>
          <a:chExt cx="141199" cy="169566"/>
        </a:xfrm>
      </xdr:grpSpPr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6CD05C04-E551-4F37-BD7D-8B18D7D2724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E7EDB7C0-3683-4881-BCDD-0C1446E4DF57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378543</xdr:colOff>
      <xdr:row>65</xdr:row>
      <xdr:rowOff>48613</xdr:rowOff>
    </xdr:from>
    <xdr:to>
      <xdr:col>18</xdr:col>
      <xdr:colOff>162605</xdr:colOff>
      <xdr:row>66</xdr:row>
      <xdr:rowOff>78332</xdr:rowOff>
    </xdr:to>
    <xdr:grpSp>
      <xdr:nvGrpSpPr>
        <xdr:cNvPr id="639" name="Group 638">
          <a:extLst>
            <a:ext uri="{FF2B5EF4-FFF2-40B4-BE49-F238E27FC236}">
              <a16:creationId xmlns:a16="http://schemas.microsoft.com/office/drawing/2014/main" id="{4169DE47-DA19-4319-AE5D-F9754D495AB3}"/>
            </a:ext>
          </a:extLst>
        </xdr:cNvPr>
        <xdr:cNvGrpSpPr/>
      </xdr:nvGrpSpPr>
      <xdr:grpSpPr>
        <a:xfrm rot="2028823">
          <a:off x="6408282" y="9962896"/>
          <a:ext cx="165062" cy="178806"/>
          <a:chOff x="704537" y="3681605"/>
          <a:chExt cx="141199" cy="169566"/>
        </a:xfrm>
      </xdr:grpSpPr>
      <xdr:cxnSp macro="">
        <xdr:nvCxnSpPr>
          <xdr:cNvPr id="640" name="Straight Connector 639">
            <a:extLst>
              <a:ext uri="{FF2B5EF4-FFF2-40B4-BE49-F238E27FC236}">
                <a16:creationId xmlns:a16="http://schemas.microsoft.com/office/drawing/2014/main" id="{30242A91-7F80-4F59-B1CA-C7C0C22BE845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1" name="Straight Connector 640">
            <a:extLst>
              <a:ext uri="{FF2B5EF4-FFF2-40B4-BE49-F238E27FC236}">
                <a16:creationId xmlns:a16="http://schemas.microsoft.com/office/drawing/2014/main" id="{A47F8FB6-0324-4887-9E1D-98035D5496AC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161239</xdr:colOff>
      <xdr:row>51</xdr:row>
      <xdr:rowOff>23194</xdr:rowOff>
    </xdr:from>
    <xdr:to>
      <xdr:col>18</xdr:col>
      <xdr:colOff>299465</xdr:colOff>
      <xdr:row>52</xdr:row>
      <xdr:rowOff>32962</xdr:rowOff>
    </xdr:to>
    <xdr:grpSp>
      <xdr:nvGrpSpPr>
        <xdr:cNvPr id="642" name="Group 641">
          <a:extLst>
            <a:ext uri="{FF2B5EF4-FFF2-40B4-BE49-F238E27FC236}">
              <a16:creationId xmlns:a16="http://schemas.microsoft.com/office/drawing/2014/main" id="{0F4406A4-8B8B-4D9C-9A05-624C0D1D3472}"/>
            </a:ext>
          </a:extLst>
        </xdr:cNvPr>
        <xdr:cNvGrpSpPr/>
      </xdr:nvGrpSpPr>
      <xdr:grpSpPr>
        <a:xfrm rot="2028823">
          <a:off x="6571978" y="7817129"/>
          <a:ext cx="138226" cy="158855"/>
          <a:chOff x="704537" y="3681605"/>
          <a:chExt cx="141199" cy="169566"/>
        </a:xfrm>
      </xdr:grpSpPr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id="{67A3D759-1860-4CC4-91DB-F158AE91B5E3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4" name="Straight Connector 643">
            <a:extLst>
              <a:ext uri="{FF2B5EF4-FFF2-40B4-BE49-F238E27FC236}">
                <a16:creationId xmlns:a16="http://schemas.microsoft.com/office/drawing/2014/main" id="{059F4ACE-E25F-4A7F-98C6-451F72C131D8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214247</xdr:colOff>
      <xdr:row>48</xdr:row>
      <xdr:rowOff>20986</xdr:rowOff>
    </xdr:from>
    <xdr:to>
      <xdr:col>18</xdr:col>
      <xdr:colOff>352473</xdr:colOff>
      <xdr:row>49</xdr:row>
      <xdr:rowOff>30755</xdr:rowOff>
    </xdr:to>
    <xdr:grpSp>
      <xdr:nvGrpSpPr>
        <xdr:cNvPr id="645" name="Group 644">
          <a:extLst>
            <a:ext uri="{FF2B5EF4-FFF2-40B4-BE49-F238E27FC236}">
              <a16:creationId xmlns:a16="http://schemas.microsoft.com/office/drawing/2014/main" id="{85F70439-C66A-4C1B-B736-1F50E1255CAA}"/>
            </a:ext>
          </a:extLst>
        </xdr:cNvPr>
        <xdr:cNvGrpSpPr/>
      </xdr:nvGrpSpPr>
      <xdr:grpSpPr>
        <a:xfrm rot="2028823">
          <a:off x="6624986" y="7268269"/>
          <a:ext cx="138226" cy="158856"/>
          <a:chOff x="704537" y="3681605"/>
          <a:chExt cx="141199" cy="169566"/>
        </a:xfrm>
      </xdr:grpSpPr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id="{EF64D639-D99B-466B-9597-0214EB5F29C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7" name="Straight Connector 646">
            <a:extLst>
              <a:ext uri="{FF2B5EF4-FFF2-40B4-BE49-F238E27FC236}">
                <a16:creationId xmlns:a16="http://schemas.microsoft.com/office/drawing/2014/main" id="{6129F695-514F-407B-8C2C-6C5CE0E7B46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195473</xdr:colOff>
      <xdr:row>44</xdr:row>
      <xdr:rowOff>68472</xdr:rowOff>
    </xdr:from>
    <xdr:to>
      <xdr:col>19</xdr:col>
      <xdr:colOff>333699</xdr:colOff>
      <xdr:row>45</xdr:row>
      <xdr:rowOff>78240</xdr:rowOff>
    </xdr:to>
    <xdr:grpSp>
      <xdr:nvGrpSpPr>
        <xdr:cNvPr id="648" name="Group 647">
          <a:extLst>
            <a:ext uri="{FF2B5EF4-FFF2-40B4-BE49-F238E27FC236}">
              <a16:creationId xmlns:a16="http://schemas.microsoft.com/office/drawing/2014/main" id="{00ED1AC8-84E8-494A-AD6F-321FFCD22249}"/>
            </a:ext>
          </a:extLst>
        </xdr:cNvPr>
        <xdr:cNvGrpSpPr/>
      </xdr:nvGrpSpPr>
      <xdr:grpSpPr>
        <a:xfrm rot="2028823">
          <a:off x="6987212" y="6702842"/>
          <a:ext cx="138226" cy="158855"/>
          <a:chOff x="704537" y="3681605"/>
          <a:chExt cx="141199" cy="169566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53438F11-A627-43DB-ACF0-ACD9DECBD8DF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FA2FFECC-3C8F-4930-B2F3-417E61BA6B1E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16964</xdr:colOff>
      <xdr:row>40</xdr:row>
      <xdr:rowOff>94818</xdr:rowOff>
    </xdr:from>
    <xdr:to>
      <xdr:col>18</xdr:col>
      <xdr:colOff>138625</xdr:colOff>
      <xdr:row>41</xdr:row>
      <xdr:rowOff>104587</xdr:rowOff>
    </xdr:to>
    <xdr:grpSp>
      <xdr:nvGrpSpPr>
        <xdr:cNvPr id="657" name="Group 656">
          <a:extLst>
            <a:ext uri="{FF2B5EF4-FFF2-40B4-BE49-F238E27FC236}">
              <a16:creationId xmlns:a16="http://schemas.microsoft.com/office/drawing/2014/main" id="{FA81D205-ADF2-48AB-B5D0-EA3983FCEAB9}"/>
            </a:ext>
          </a:extLst>
        </xdr:cNvPr>
        <xdr:cNvGrpSpPr/>
      </xdr:nvGrpSpPr>
      <xdr:grpSpPr>
        <a:xfrm rot="2028823">
          <a:off x="6427703" y="6132840"/>
          <a:ext cx="121661" cy="158856"/>
          <a:chOff x="704537" y="3681605"/>
          <a:chExt cx="141199" cy="169566"/>
        </a:xfrm>
      </xdr:grpSpPr>
      <xdr:cxnSp macro="">
        <xdr:nvCxnSpPr>
          <xdr:cNvPr id="658" name="Straight Connector 657">
            <a:extLst>
              <a:ext uri="{FF2B5EF4-FFF2-40B4-BE49-F238E27FC236}">
                <a16:creationId xmlns:a16="http://schemas.microsoft.com/office/drawing/2014/main" id="{344DCE3B-2AAB-4DEC-858D-69CB60B69EAF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9A8E6A82-1535-42DB-8002-6990DD22A8F1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17064</xdr:colOff>
      <xdr:row>38</xdr:row>
      <xdr:rowOff>42432</xdr:rowOff>
    </xdr:from>
    <xdr:to>
      <xdr:col>15</xdr:col>
      <xdr:colOff>155290</xdr:colOff>
      <xdr:row>39</xdr:row>
      <xdr:rowOff>52200</xdr:rowOff>
    </xdr:to>
    <xdr:grpSp>
      <xdr:nvGrpSpPr>
        <xdr:cNvPr id="660" name="Group 659">
          <a:extLst>
            <a:ext uri="{FF2B5EF4-FFF2-40B4-BE49-F238E27FC236}">
              <a16:creationId xmlns:a16="http://schemas.microsoft.com/office/drawing/2014/main" id="{7ED3940C-BA95-4CD0-9345-F3523A3D541F}"/>
            </a:ext>
          </a:extLst>
        </xdr:cNvPr>
        <xdr:cNvGrpSpPr/>
      </xdr:nvGrpSpPr>
      <xdr:grpSpPr>
        <a:xfrm rot="2028823">
          <a:off x="5284803" y="5782280"/>
          <a:ext cx="138226" cy="158855"/>
          <a:chOff x="704537" y="3681605"/>
          <a:chExt cx="141199" cy="169566"/>
        </a:xfrm>
      </xdr:grpSpPr>
      <xdr:cxnSp macro="">
        <xdr:nvCxnSpPr>
          <xdr:cNvPr id="661" name="Straight Connector 660">
            <a:extLst>
              <a:ext uri="{FF2B5EF4-FFF2-40B4-BE49-F238E27FC236}">
                <a16:creationId xmlns:a16="http://schemas.microsoft.com/office/drawing/2014/main" id="{01C79A1F-EFF5-45B3-B055-07C5A10EBB87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2" name="Straight Connector 661">
            <a:extLst>
              <a:ext uri="{FF2B5EF4-FFF2-40B4-BE49-F238E27FC236}">
                <a16:creationId xmlns:a16="http://schemas.microsoft.com/office/drawing/2014/main" id="{A0EF3EC5-19CA-4F45-B603-A35074C9CDC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271531</xdr:colOff>
      <xdr:row>35</xdr:row>
      <xdr:rowOff>43500</xdr:rowOff>
    </xdr:from>
    <xdr:to>
      <xdr:col>13</xdr:col>
      <xdr:colOff>28757</xdr:colOff>
      <xdr:row>36</xdr:row>
      <xdr:rowOff>53441</xdr:rowOff>
    </xdr:to>
    <xdr:grpSp>
      <xdr:nvGrpSpPr>
        <xdr:cNvPr id="663" name="Group 662">
          <a:extLst>
            <a:ext uri="{FF2B5EF4-FFF2-40B4-BE49-F238E27FC236}">
              <a16:creationId xmlns:a16="http://schemas.microsoft.com/office/drawing/2014/main" id="{47812606-2CEE-4571-B5E0-3C59E410E776}"/>
            </a:ext>
          </a:extLst>
        </xdr:cNvPr>
        <xdr:cNvGrpSpPr/>
      </xdr:nvGrpSpPr>
      <xdr:grpSpPr>
        <a:xfrm rot="2028823">
          <a:off x="4396270" y="5302957"/>
          <a:ext cx="138226" cy="159027"/>
          <a:chOff x="704537" y="3681605"/>
          <a:chExt cx="141199" cy="169566"/>
        </a:xfrm>
      </xdr:grpSpPr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id="{84D6D797-94F5-4908-9BEA-279EC30652B8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2DBFE340-9A05-436E-8047-2DD0D002E40C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336279</xdr:colOff>
      <xdr:row>38</xdr:row>
      <xdr:rowOff>125009</xdr:rowOff>
    </xdr:from>
    <xdr:to>
      <xdr:col>16</xdr:col>
      <xdr:colOff>119482</xdr:colOff>
      <xdr:row>40</xdr:row>
      <xdr:rowOff>45178</xdr:rowOff>
    </xdr:to>
    <xdr:grpSp>
      <xdr:nvGrpSpPr>
        <xdr:cNvPr id="666" name="Group 665">
          <a:extLst>
            <a:ext uri="{FF2B5EF4-FFF2-40B4-BE49-F238E27FC236}">
              <a16:creationId xmlns:a16="http://schemas.microsoft.com/office/drawing/2014/main" id="{1F7D3F8C-0F97-4786-BF7C-C7612138FA99}"/>
            </a:ext>
          </a:extLst>
        </xdr:cNvPr>
        <xdr:cNvGrpSpPr/>
      </xdr:nvGrpSpPr>
      <xdr:grpSpPr>
        <a:xfrm rot="2028823">
          <a:off x="5604018" y="5864857"/>
          <a:ext cx="164203" cy="218343"/>
          <a:chOff x="704537" y="3681605"/>
          <a:chExt cx="141199" cy="169566"/>
        </a:xfrm>
      </xdr:grpSpPr>
      <xdr:cxnSp macro="">
        <xdr:nvCxnSpPr>
          <xdr:cNvPr id="667" name="Straight Connector 666">
            <a:extLst>
              <a:ext uri="{FF2B5EF4-FFF2-40B4-BE49-F238E27FC236}">
                <a16:creationId xmlns:a16="http://schemas.microsoft.com/office/drawing/2014/main" id="{45127B2D-FE90-4E1B-9706-2F2EE846131C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8" name="Straight Connector 667">
            <a:extLst>
              <a:ext uri="{FF2B5EF4-FFF2-40B4-BE49-F238E27FC236}">
                <a16:creationId xmlns:a16="http://schemas.microsoft.com/office/drawing/2014/main" id="{6041D032-4EE8-4631-BD03-70BCCCBB9C93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351330</xdr:colOff>
      <xdr:row>45</xdr:row>
      <xdr:rowOff>125212</xdr:rowOff>
    </xdr:from>
    <xdr:to>
      <xdr:col>19</xdr:col>
      <xdr:colOff>56673</xdr:colOff>
      <xdr:row>46</xdr:row>
      <xdr:rowOff>71568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75180CA1-7A62-48D6-B6F5-0097CF894828}"/>
            </a:ext>
          </a:extLst>
        </xdr:cNvPr>
        <xdr:cNvGrpSpPr/>
      </xdr:nvGrpSpPr>
      <xdr:grpSpPr>
        <a:xfrm rot="2028823">
          <a:off x="6762069" y="6908669"/>
          <a:ext cx="86343" cy="95442"/>
          <a:chOff x="704537" y="3681605"/>
          <a:chExt cx="141199" cy="169566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9DD9EFC6-B066-41A0-B19A-2E1A39D2DA5E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1" name="Straight Connector 670">
            <a:extLst>
              <a:ext uri="{FF2B5EF4-FFF2-40B4-BE49-F238E27FC236}">
                <a16:creationId xmlns:a16="http://schemas.microsoft.com/office/drawing/2014/main" id="{5F057572-EDA4-447B-B5D0-9E58C174D9AA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118075</xdr:colOff>
      <xdr:row>59</xdr:row>
      <xdr:rowOff>94292</xdr:rowOff>
    </xdr:from>
    <xdr:to>
      <xdr:col>18</xdr:col>
      <xdr:colOff>220984</xdr:colOff>
      <xdr:row>60</xdr:row>
      <xdr:rowOff>42856</xdr:rowOff>
    </xdr:to>
    <xdr:grpSp>
      <xdr:nvGrpSpPr>
        <xdr:cNvPr id="672" name="Group 671">
          <a:extLst>
            <a:ext uri="{FF2B5EF4-FFF2-40B4-BE49-F238E27FC236}">
              <a16:creationId xmlns:a16="http://schemas.microsoft.com/office/drawing/2014/main" id="{B3E8B904-76B7-4039-AC88-FD8666491030}"/>
            </a:ext>
          </a:extLst>
        </xdr:cNvPr>
        <xdr:cNvGrpSpPr/>
      </xdr:nvGrpSpPr>
      <xdr:grpSpPr>
        <a:xfrm rot="2028823">
          <a:off x="6528814" y="9114053"/>
          <a:ext cx="102909" cy="97651"/>
          <a:chOff x="704537" y="3681605"/>
          <a:chExt cx="141199" cy="169566"/>
        </a:xfrm>
      </xdr:grpSpPr>
      <xdr:cxnSp macro="">
        <xdr:nvCxnSpPr>
          <xdr:cNvPr id="673" name="Straight Connector 672">
            <a:extLst>
              <a:ext uri="{FF2B5EF4-FFF2-40B4-BE49-F238E27FC236}">
                <a16:creationId xmlns:a16="http://schemas.microsoft.com/office/drawing/2014/main" id="{7ABA2CAC-C772-449E-9E80-C0AE002AE414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4" name="Straight Connector 673">
            <a:extLst>
              <a:ext uri="{FF2B5EF4-FFF2-40B4-BE49-F238E27FC236}">
                <a16:creationId xmlns:a16="http://schemas.microsoft.com/office/drawing/2014/main" id="{A42C536D-1FE4-40D0-A89F-153179C1D31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227995</xdr:colOff>
      <xdr:row>26</xdr:row>
      <xdr:rowOff>60101</xdr:rowOff>
    </xdr:from>
    <xdr:to>
      <xdr:col>7</xdr:col>
      <xdr:colOff>366221</xdr:colOff>
      <xdr:row>27</xdr:row>
      <xdr:rowOff>69869</xdr:rowOff>
    </xdr:to>
    <xdr:grpSp>
      <xdr:nvGrpSpPr>
        <xdr:cNvPr id="678" name="Group 677">
          <a:extLst>
            <a:ext uri="{FF2B5EF4-FFF2-40B4-BE49-F238E27FC236}">
              <a16:creationId xmlns:a16="http://schemas.microsoft.com/office/drawing/2014/main" id="{68C93B59-B6D7-4A9F-95E5-E42391369B6B}"/>
            </a:ext>
          </a:extLst>
        </xdr:cNvPr>
        <xdr:cNvGrpSpPr/>
      </xdr:nvGrpSpPr>
      <xdr:grpSpPr>
        <a:xfrm rot="2028823">
          <a:off x="2447734" y="3986058"/>
          <a:ext cx="138226" cy="158854"/>
          <a:chOff x="704537" y="3681605"/>
          <a:chExt cx="141199" cy="169566"/>
        </a:xfrm>
      </xdr:grpSpPr>
      <xdr:cxnSp macro="">
        <xdr:nvCxnSpPr>
          <xdr:cNvPr id="679" name="Straight Connector 678">
            <a:extLst>
              <a:ext uri="{FF2B5EF4-FFF2-40B4-BE49-F238E27FC236}">
                <a16:creationId xmlns:a16="http://schemas.microsoft.com/office/drawing/2014/main" id="{080ACDAB-6677-4C27-BCEC-8642DAC3B3F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0" name="Straight Connector 679">
            <a:extLst>
              <a:ext uri="{FF2B5EF4-FFF2-40B4-BE49-F238E27FC236}">
                <a16:creationId xmlns:a16="http://schemas.microsoft.com/office/drawing/2014/main" id="{1192E205-7B18-4B7B-A030-CC779C357F81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251288</xdr:colOff>
      <xdr:row>33</xdr:row>
      <xdr:rowOff>102552</xdr:rowOff>
    </xdr:from>
    <xdr:to>
      <xdr:col>11</xdr:col>
      <xdr:colOff>372949</xdr:colOff>
      <xdr:row>34</xdr:row>
      <xdr:rowOff>112319</xdr:rowOff>
    </xdr:to>
    <xdr:grpSp>
      <xdr:nvGrpSpPr>
        <xdr:cNvPr id="681" name="Group 680">
          <a:extLst>
            <a:ext uri="{FF2B5EF4-FFF2-40B4-BE49-F238E27FC236}">
              <a16:creationId xmlns:a16="http://schemas.microsoft.com/office/drawing/2014/main" id="{149773D3-F554-44B3-857A-01359E0E3520}"/>
            </a:ext>
          </a:extLst>
        </xdr:cNvPr>
        <xdr:cNvGrpSpPr/>
      </xdr:nvGrpSpPr>
      <xdr:grpSpPr>
        <a:xfrm rot="2028823">
          <a:off x="3995027" y="5063835"/>
          <a:ext cx="121661" cy="158854"/>
          <a:chOff x="704537" y="3681605"/>
          <a:chExt cx="141199" cy="169566"/>
        </a:xfrm>
      </xdr:grpSpPr>
      <xdr:cxnSp macro="">
        <xdr:nvCxnSpPr>
          <xdr:cNvPr id="682" name="Straight Connector 681">
            <a:extLst>
              <a:ext uri="{FF2B5EF4-FFF2-40B4-BE49-F238E27FC236}">
                <a16:creationId xmlns:a16="http://schemas.microsoft.com/office/drawing/2014/main" id="{D44B1A7E-51D0-46A4-B6A4-B6164EA4FBFC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3" name="Straight Connector 682">
            <a:extLst>
              <a:ext uri="{FF2B5EF4-FFF2-40B4-BE49-F238E27FC236}">
                <a16:creationId xmlns:a16="http://schemas.microsoft.com/office/drawing/2014/main" id="{31F3E12A-D30B-425C-BC68-C4EEA6AB421E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126308</xdr:colOff>
      <xdr:row>32</xdr:row>
      <xdr:rowOff>57461</xdr:rowOff>
    </xdr:from>
    <xdr:to>
      <xdr:col>10</xdr:col>
      <xdr:colOff>264534</xdr:colOff>
      <xdr:row>33</xdr:row>
      <xdr:rowOff>67230</xdr:rowOff>
    </xdr:to>
    <xdr:grpSp>
      <xdr:nvGrpSpPr>
        <xdr:cNvPr id="684" name="Group 683">
          <a:extLst>
            <a:ext uri="{FF2B5EF4-FFF2-40B4-BE49-F238E27FC236}">
              <a16:creationId xmlns:a16="http://schemas.microsoft.com/office/drawing/2014/main" id="{890E969A-4754-4F9D-B7BF-B401CDAAF36B}"/>
            </a:ext>
          </a:extLst>
        </xdr:cNvPr>
        <xdr:cNvGrpSpPr/>
      </xdr:nvGrpSpPr>
      <xdr:grpSpPr>
        <a:xfrm rot="2028823">
          <a:off x="3489047" y="4869657"/>
          <a:ext cx="138226" cy="158856"/>
          <a:chOff x="704537" y="3681605"/>
          <a:chExt cx="141199" cy="169566"/>
        </a:xfrm>
      </xdr:grpSpPr>
      <xdr:cxnSp macro="">
        <xdr:nvCxnSpPr>
          <xdr:cNvPr id="685" name="Straight Connector 684">
            <a:extLst>
              <a:ext uri="{FF2B5EF4-FFF2-40B4-BE49-F238E27FC236}">
                <a16:creationId xmlns:a16="http://schemas.microsoft.com/office/drawing/2014/main" id="{E824D15F-EE8B-4695-BC19-2F50B895246F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6" name="Straight Connector 685">
            <a:extLst>
              <a:ext uri="{FF2B5EF4-FFF2-40B4-BE49-F238E27FC236}">
                <a16:creationId xmlns:a16="http://schemas.microsoft.com/office/drawing/2014/main" id="{15AB4C04-F4C9-4AAE-9251-3F6AA84D151F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44219</xdr:colOff>
      <xdr:row>19</xdr:row>
      <xdr:rowOff>87774</xdr:rowOff>
    </xdr:from>
    <xdr:to>
      <xdr:col>5</xdr:col>
      <xdr:colOff>188291</xdr:colOff>
      <xdr:row>20</xdr:row>
      <xdr:rowOff>97542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0C6353D1-B258-471E-A0CB-04624CDCEB52}"/>
            </a:ext>
          </a:extLst>
        </xdr:cNvPr>
        <xdr:cNvGrpSpPr/>
      </xdr:nvGrpSpPr>
      <xdr:grpSpPr>
        <a:xfrm rot="2028823">
          <a:off x="1501958" y="2970122"/>
          <a:ext cx="144072" cy="158855"/>
          <a:chOff x="704537" y="3681605"/>
          <a:chExt cx="141199" cy="169566"/>
        </a:xfrm>
      </xdr:grpSpPr>
      <xdr:cxnSp macro="">
        <xdr:nvCxnSpPr>
          <xdr:cNvPr id="688" name="Straight Connector 687">
            <a:extLst>
              <a:ext uri="{FF2B5EF4-FFF2-40B4-BE49-F238E27FC236}">
                <a16:creationId xmlns:a16="http://schemas.microsoft.com/office/drawing/2014/main" id="{CBAE3DF3-DE8A-41B1-84E0-18C5A713FDF1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9" name="Straight Connector 688">
            <a:extLst>
              <a:ext uri="{FF2B5EF4-FFF2-40B4-BE49-F238E27FC236}">
                <a16:creationId xmlns:a16="http://schemas.microsoft.com/office/drawing/2014/main" id="{5FA79EB3-CBDF-4FE9-BD3C-B3B48C1501CE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350511</xdr:colOff>
      <xdr:row>14</xdr:row>
      <xdr:rowOff>140069</xdr:rowOff>
    </xdr:from>
    <xdr:to>
      <xdr:col>4</xdr:col>
      <xdr:colOff>85326</xdr:colOff>
      <xdr:row>16</xdr:row>
      <xdr:rowOff>424</xdr:rowOff>
    </xdr:to>
    <xdr:grpSp>
      <xdr:nvGrpSpPr>
        <xdr:cNvPr id="690" name="Group 689">
          <a:extLst>
            <a:ext uri="{FF2B5EF4-FFF2-40B4-BE49-F238E27FC236}">
              <a16:creationId xmlns:a16="http://schemas.microsoft.com/office/drawing/2014/main" id="{36AC97E3-10C2-466C-B6AB-9ECDA91238D2}"/>
            </a:ext>
          </a:extLst>
        </xdr:cNvPr>
        <xdr:cNvGrpSpPr/>
      </xdr:nvGrpSpPr>
      <xdr:grpSpPr>
        <a:xfrm rot="2028823">
          <a:off x="1046250" y="2276982"/>
          <a:ext cx="115815" cy="158529"/>
          <a:chOff x="704537" y="3681605"/>
          <a:chExt cx="141199" cy="169566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635A5A24-56AC-47C0-8211-25120506B130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2" name="Straight Connector 691">
            <a:extLst>
              <a:ext uri="{FF2B5EF4-FFF2-40B4-BE49-F238E27FC236}">
                <a16:creationId xmlns:a16="http://schemas.microsoft.com/office/drawing/2014/main" id="{EC04F5FF-5A11-4739-A190-08FC7A34B087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156205</xdr:colOff>
      <xdr:row>6</xdr:row>
      <xdr:rowOff>72259</xdr:rowOff>
    </xdr:from>
    <xdr:to>
      <xdr:col>4</xdr:col>
      <xdr:colOff>341586</xdr:colOff>
      <xdr:row>12</xdr:row>
      <xdr:rowOff>54961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D023CCF2-0A1C-482B-ABFF-1BE72A4F5BDC}"/>
            </a:ext>
          </a:extLst>
        </xdr:cNvPr>
        <xdr:cNvSpPr/>
      </xdr:nvSpPr>
      <xdr:spPr>
        <a:xfrm>
          <a:off x="845946" y="1005052"/>
          <a:ext cx="566381" cy="88921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SYG01-77</a:t>
          </a:r>
          <a:r>
            <a:rPr lang="en-US" sz="600">
              <a:solidFill>
                <a:srgbClr val="FF0000"/>
              </a:solidFill>
            </a:rPr>
            <a:t>A</a:t>
          </a:r>
        </a:p>
        <a:p>
          <a:pPr algn="ctr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DC-C1V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CC7</a:t>
          </a:r>
        </a:p>
        <a:p>
          <a:pPr algn="l"/>
          <a:r>
            <a:rPr lang="en-US" sz="60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349085</xdr:colOff>
      <xdr:row>39</xdr:row>
      <xdr:rowOff>75865</xdr:rowOff>
    </xdr:from>
    <xdr:to>
      <xdr:col>18</xdr:col>
      <xdr:colOff>355755</xdr:colOff>
      <xdr:row>40</xdr:row>
      <xdr:rowOff>50251</xdr:rowOff>
    </xdr:to>
    <xdr:cxnSp macro="">
      <xdr:nvCxnSpPr>
        <xdr:cNvPr id="694" name="Straight Arrow Connector 693">
          <a:extLst>
            <a:ext uri="{FF2B5EF4-FFF2-40B4-BE49-F238E27FC236}">
              <a16:creationId xmlns:a16="http://schemas.microsoft.com/office/drawing/2014/main" id="{1C23A7C9-87DC-4E74-BC68-C34A7165BD64}"/>
            </a:ext>
          </a:extLst>
        </xdr:cNvPr>
        <xdr:cNvCxnSpPr>
          <a:cxnSpLocks/>
          <a:stCxn id="233" idx="0"/>
        </xdr:cNvCxnSpPr>
      </xdr:nvCxnSpPr>
      <xdr:spPr>
        <a:xfrm flipV="1">
          <a:off x="6753826" y="6027348"/>
          <a:ext cx="6670" cy="1254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238959</xdr:colOff>
      <xdr:row>65</xdr:row>
      <xdr:rowOff>84513</xdr:rowOff>
    </xdr:from>
    <xdr:to>
      <xdr:col>16</xdr:col>
      <xdr:colOff>343290</xdr:colOff>
      <xdr:row>66</xdr:row>
      <xdr:rowOff>15343</xdr:rowOff>
    </xdr:to>
    <xdr:cxnSp macro="">
      <xdr:nvCxnSpPr>
        <xdr:cNvPr id="701" name="Straight Arrow Connector 700">
          <a:extLst>
            <a:ext uri="{FF2B5EF4-FFF2-40B4-BE49-F238E27FC236}">
              <a16:creationId xmlns:a16="http://schemas.microsoft.com/office/drawing/2014/main" id="{A9743712-C3F5-476F-BBB1-1841E62622EC}"/>
            </a:ext>
          </a:extLst>
        </xdr:cNvPr>
        <xdr:cNvCxnSpPr>
          <a:cxnSpLocks/>
          <a:stCxn id="419" idx="2"/>
        </xdr:cNvCxnSpPr>
      </xdr:nvCxnSpPr>
      <xdr:spPr>
        <a:xfrm flipH="1" flipV="1">
          <a:off x="5883202" y="10164684"/>
          <a:ext cx="104331" cy="832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201706</xdr:colOff>
      <xdr:row>76</xdr:row>
      <xdr:rowOff>29882</xdr:rowOff>
    </xdr:from>
    <xdr:to>
      <xdr:col>14</xdr:col>
      <xdr:colOff>304023</xdr:colOff>
      <xdr:row>76</xdr:row>
      <xdr:rowOff>124329</xdr:rowOff>
    </xdr:to>
    <xdr:cxnSp macro="">
      <xdr:nvCxnSpPr>
        <xdr:cNvPr id="704" name="Straight Arrow Connector 703">
          <a:extLst>
            <a:ext uri="{FF2B5EF4-FFF2-40B4-BE49-F238E27FC236}">
              <a16:creationId xmlns:a16="http://schemas.microsoft.com/office/drawing/2014/main" id="{D5405200-482B-430D-BA61-DA62672B6864}"/>
            </a:ext>
          </a:extLst>
        </xdr:cNvPr>
        <xdr:cNvCxnSpPr>
          <a:cxnSpLocks/>
          <a:stCxn id="413" idx="1"/>
        </xdr:cNvCxnSpPr>
      </xdr:nvCxnSpPr>
      <xdr:spPr>
        <a:xfrm flipH="1" flipV="1">
          <a:off x="5371353" y="11534588"/>
          <a:ext cx="102317" cy="944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171824</xdr:colOff>
      <xdr:row>93</xdr:row>
      <xdr:rowOff>119529</xdr:rowOff>
    </xdr:from>
    <xdr:to>
      <xdr:col>10</xdr:col>
      <xdr:colOff>330721</xdr:colOff>
      <xdr:row>94</xdr:row>
      <xdr:rowOff>55372</xdr:rowOff>
    </xdr:to>
    <xdr:cxnSp macro="">
      <xdr:nvCxnSpPr>
        <xdr:cNvPr id="707" name="Straight Arrow Connector 706">
          <a:extLst>
            <a:ext uri="{FF2B5EF4-FFF2-40B4-BE49-F238E27FC236}">
              <a16:creationId xmlns:a16="http://schemas.microsoft.com/office/drawing/2014/main" id="{C9FA134A-D5E8-4E3A-A32F-2DB096463045}"/>
            </a:ext>
          </a:extLst>
        </xdr:cNvPr>
        <xdr:cNvCxnSpPr>
          <a:cxnSpLocks/>
          <a:stCxn id="445" idx="1"/>
        </xdr:cNvCxnSpPr>
      </xdr:nvCxnSpPr>
      <xdr:spPr>
        <a:xfrm flipH="1" flipV="1">
          <a:off x="3727824" y="14164235"/>
          <a:ext cx="158897" cy="852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119530</xdr:colOff>
      <xdr:row>101</xdr:row>
      <xdr:rowOff>14941</xdr:rowOff>
    </xdr:from>
    <xdr:to>
      <xdr:col>9</xdr:col>
      <xdr:colOff>171638</xdr:colOff>
      <xdr:row>101</xdr:row>
      <xdr:rowOff>120242</xdr:rowOff>
    </xdr:to>
    <xdr:cxnSp macro="">
      <xdr:nvCxnSpPr>
        <xdr:cNvPr id="712" name="Straight Arrow Connector 711">
          <a:extLst>
            <a:ext uri="{FF2B5EF4-FFF2-40B4-BE49-F238E27FC236}">
              <a16:creationId xmlns:a16="http://schemas.microsoft.com/office/drawing/2014/main" id="{5EDF117C-FA13-4D48-904D-BA6A8DB43EF6}"/>
            </a:ext>
          </a:extLst>
        </xdr:cNvPr>
        <xdr:cNvCxnSpPr>
          <a:cxnSpLocks/>
          <a:stCxn id="372" idx="1"/>
        </xdr:cNvCxnSpPr>
      </xdr:nvCxnSpPr>
      <xdr:spPr>
        <a:xfrm flipH="1" flipV="1">
          <a:off x="3272118" y="15254941"/>
          <a:ext cx="52108" cy="1053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172110</xdr:colOff>
      <xdr:row>23</xdr:row>
      <xdr:rowOff>69572</xdr:rowOff>
    </xdr:from>
    <xdr:to>
      <xdr:col>5</xdr:col>
      <xdr:colOff>373390</xdr:colOff>
      <xdr:row>26</xdr:row>
      <xdr:rowOff>11907</xdr:rowOff>
    </xdr:to>
    <xdr:sp macro="" textlink="">
      <xdr:nvSpPr>
        <xdr:cNvPr id="715" name="Rectangle 714">
          <a:extLst>
            <a:ext uri="{FF2B5EF4-FFF2-40B4-BE49-F238E27FC236}">
              <a16:creationId xmlns:a16="http://schemas.microsoft.com/office/drawing/2014/main" id="{50A50EAE-8444-40AD-84D4-DE7F8A3C12DF}"/>
            </a:ext>
          </a:extLst>
        </xdr:cNvPr>
        <xdr:cNvSpPr/>
      </xdr:nvSpPr>
      <xdr:spPr>
        <a:xfrm>
          <a:off x="1237719" y="3647400"/>
          <a:ext cx="582280" cy="40667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SYG01-77/2</a:t>
          </a:r>
        </a:p>
        <a:p>
          <a:pPr algn="l"/>
          <a:r>
            <a:rPr lang="en-US" sz="6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7</xdr:col>
      <xdr:colOff>206919</xdr:colOff>
      <xdr:row>31</xdr:row>
      <xdr:rowOff>41346</xdr:rowOff>
    </xdr:from>
    <xdr:to>
      <xdr:col>9</xdr:col>
      <xdr:colOff>14311</xdr:colOff>
      <xdr:row>33</xdr:row>
      <xdr:rowOff>142876</xdr:rowOff>
    </xdr:to>
    <xdr:sp macro="" textlink="">
      <xdr:nvSpPr>
        <xdr:cNvPr id="719" name="Rectangle 718">
          <a:extLst>
            <a:ext uri="{FF2B5EF4-FFF2-40B4-BE49-F238E27FC236}">
              <a16:creationId xmlns:a16="http://schemas.microsoft.com/office/drawing/2014/main" id="{D2A1EC50-53DB-47F7-AF99-C07E30E0780D}"/>
            </a:ext>
          </a:extLst>
        </xdr:cNvPr>
        <xdr:cNvSpPr/>
      </xdr:nvSpPr>
      <xdr:spPr>
        <a:xfrm>
          <a:off x="2415528" y="4845518"/>
          <a:ext cx="569392" cy="41109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SYG01-77/4</a:t>
          </a:r>
        </a:p>
        <a:p>
          <a:pPr algn="l"/>
          <a:r>
            <a:rPr lang="en-US" sz="6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12</xdr:col>
      <xdr:colOff>366321</xdr:colOff>
      <xdr:row>38</xdr:row>
      <xdr:rowOff>20057</xdr:rowOff>
    </xdr:from>
    <xdr:to>
      <xdr:col>14</xdr:col>
      <xdr:colOff>173714</xdr:colOff>
      <xdr:row>40</xdr:row>
      <xdr:rowOff>125017</xdr:rowOff>
    </xdr:to>
    <xdr:sp macro="" textlink="">
      <xdr:nvSpPr>
        <xdr:cNvPr id="721" name="Rectangle 720">
          <a:extLst>
            <a:ext uri="{FF2B5EF4-FFF2-40B4-BE49-F238E27FC236}">
              <a16:creationId xmlns:a16="http://schemas.microsoft.com/office/drawing/2014/main" id="{4AE133DC-5646-47A1-B9F3-9653330FA32F}"/>
            </a:ext>
          </a:extLst>
        </xdr:cNvPr>
        <xdr:cNvSpPr/>
      </xdr:nvSpPr>
      <xdr:spPr>
        <a:xfrm>
          <a:off x="4479930" y="5919604"/>
          <a:ext cx="569393" cy="41452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SYG01-77/5</a:t>
          </a:r>
        </a:p>
        <a:p>
          <a:pPr algn="l"/>
          <a:r>
            <a:rPr lang="en-US" sz="6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10</xdr:col>
      <xdr:colOff>127934</xdr:colOff>
      <xdr:row>34</xdr:row>
      <xdr:rowOff>98751</xdr:rowOff>
    </xdr:from>
    <xdr:to>
      <xdr:col>11</xdr:col>
      <xdr:colOff>316326</xdr:colOff>
      <xdr:row>37</xdr:row>
      <xdr:rowOff>71437</xdr:rowOff>
    </xdr:to>
    <xdr:sp macro="" textlink="">
      <xdr:nvSpPr>
        <xdr:cNvPr id="722" name="Rectangle 721">
          <a:extLst>
            <a:ext uri="{FF2B5EF4-FFF2-40B4-BE49-F238E27FC236}">
              <a16:creationId xmlns:a16="http://schemas.microsoft.com/office/drawing/2014/main" id="{97D493EE-6F21-48C6-8525-3124E0E310AA}"/>
            </a:ext>
          </a:extLst>
        </xdr:cNvPr>
        <xdr:cNvSpPr/>
      </xdr:nvSpPr>
      <xdr:spPr>
        <a:xfrm>
          <a:off x="3479543" y="5367267"/>
          <a:ext cx="569392" cy="44298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SYG01-77/6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P12C-1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16</xdr:col>
      <xdr:colOff>377434</xdr:colOff>
      <xdr:row>69</xdr:row>
      <xdr:rowOff>55449</xdr:rowOff>
    </xdr:from>
    <xdr:to>
      <xdr:col>17</xdr:col>
      <xdr:colOff>241969</xdr:colOff>
      <xdr:row>70</xdr:row>
      <xdr:rowOff>16456</xdr:rowOff>
    </xdr:to>
    <xdr:cxnSp macro="">
      <xdr:nvCxnSpPr>
        <xdr:cNvPr id="732" name="Straight Connector 731">
          <a:extLst>
            <a:ext uri="{FF2B5EF4-FFF2-40B4-BE49-F238E27FC236}">
              <a16:creationId xmlns:a16="http://schemas.microsoft.com/office/drawing/2014/main" id="{5418FE20-718F-44AC-9D3F-98329A584F91}"/>
            </a:ext>
          </a:extLst>
        </xdr:cNvPr>
        <xdr:cNvCxnSpPr>
          <a:stCxn id="356" idx="5"/>
          <a:endCxn id="344" idx="2"/>
        </xdr:cNvCxnSpPr>
      </xdr:nvCxnSpPr>
      <xdr:spPr>
        <a:xfrm>
          <a:off x="6019165" y="10818699"/>
          <a:ext cx="245535" cy="114872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17386</xdr:colOff>
      <xdr:row>81</xdr:row>
      <xdr:rowOff>115566</xdr:rowOff>
    </xdr:from>
    <xdr:to>
      <xdr:col>14</xdr:col>
      <xdr:colOff>111371</xdr:colOff>
      <xdr:row>82</xdr:row>
      <xdr:rowOff>14941</xdr:rowOff>
    </xdr:to>
    <xdr:cxnSp macro="">
      <xdr:nvCxnSpPr>
        <xdr:cNvPr id="745" name="Straight Arrow Connector 744">
          <a:extLst>
            <a:ext uri="{FF2B5EF4-FFF2-40B4-BE49-F238E27FC236}">
              <a16:creationId xmlns:a16="http://schemas.microsoft.com/office/drawing/2014/main" id="{F763FEB4-DEE7-4A51-92DD-FB13B914F2CD}"/>
            </a:ext>
          </a:extLst>
        </xdr:cNvPr>
        <xdr:cNvCxnSpPr>
          <a:cxnSpLocks/>
          <a:stCxn id="320" idx="6"/>
        </xdr:cNvCxnSpPr>
      </xdr:nvCxnSpPr>
      <xdr:spPr>
        <a:xfrm>
          <a:off x="4895189" y="12467987"/>
          <a:ext cx="93985" cy="49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158343</xdr:colOff>
      <xdr:row>69</xdr:row>
      <xdr:rowOff>122642</xdr:rowOff>
    </xdr:from>
    <xdr:to>
      <xdr:col>14</xdr:col>
      <xdr:colOff>346736</xdr:colOff>
      <xdr:row>74</xdr:row>
      <xdr:rowOff>52551</xdr:rowOff>
    </xdr:to>
    <xdr:sp macro="" textlink="">
      <xdr:nvSpPr>
        <xdr:cNvPr id="749" name="Rectangle 748">
          <a:extLst>
            <a:ext uri="{FF2B5EF4-FFF2-40B4-BE49-F238E27FC236}">
              <a16:creationId xmlns:a16="http://schemas.microsoft.com/office/drawing/2014/main" id="{87C8DC84-79AB-4CB3-A483-FB3DC9B44756}"/>
            </a:ext>
          </a:extLst>
        </xdr:cNvPr>
        <xdr:cNvSpPr/>
      </xdr:nvSpPr>
      <xdr:spPr>
        <a:xfrm>
          <a:off x="4658084" y="10744659"/>
          <a:ext cx="569393" cy="6853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>
              <a:solidFill>
                <a:schemeClr val="tx1"/>
              </a:solidFill>
            </a:rPr>
            <a:t>SYG01-77/18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C11-100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10</xdr:col>
      <xdr:colOff>320842</xdr:colOff>
      <xdr:row>90</xdr:row>
      <xdr:rowOff>102227</xdr:rowOff>
    </xdr:from>
    <xdr:to>
      <xdr:col>11</xdr:col>
      <xdr:colOff>63696</xdr:colOff>
      <xdr:row>91</xdr:row>
      <xdr:rowOff>75197</xdr:rowOff>
    </xdr:to>
    <xdr:sp macro="" textlink="">
      <xdr:nvSpPr>
        <xdr:cNvPr id="753" name="Isosceles Triangle 752">
          <a:extLst>
            <a:ext uri="{FF2B5EF4-FFF2-40B4-BE49-F238E27FC236}">
              <a16:creationId xmlns:a16="http://schemas.microsoft.com/office/drawing/2014/main" id="{1D0C61DC-0EBE-42A8-8D37-590076E5B708}"/>
            </a:ext>
          </a:extLst>
        </xdr:cNvPr>
        <xdr:cNvSpPr/>
      </xdr:nvSpPr>
      <xdr:spPr>
        <a:xfrm>
          <a:off x="3674645" y="13808201"/>
          <a:ext cx="123854" cy="12336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25400</xdr:colOff>
      <xdr:row>94</xdr:row>
      <xdr:rowOff>10458</xdr:rowOff>
    </xdr:from>
    <xdr:to>
      <xdr:col>11</xdr:col>
      <xdr:colOff>204694</xdr:colOff>
      <xdr:row>95</xdr:row>
      <xdr:rowOff>25400</xdr:rowOff>
    </xdr:to>
    <xdr:sp macro="" textlink="">
      <xdr:nvSpPr>
        <xdr:cNvPr id="754" name="Isosceles Triangle 753">
          <a:extLst>
            <a:ext uri="{FF2B5EF4-FFF2-40B4-BE49-F238E27FC236}">
              <a16:creationId xmlns:a16="http://schemas.microsoft.com/office/drawing/2014/main" id="{F43154D9-0353-4FA5-A3DF-5CDBB56A2375}"/>
            </a:ext>
          </a:extLst>
        </xdr:cNvPr>
        <xdr:cNvSpPr/>
      </xdr:nvSpPr>
      <xdr:spPr>
        <a:xfrm>
          <a:off x="3984812" y="14204576"/>
          <a:ext cx="179294" cy="16435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82127</xdr:colOff>
      <xdr:row>95</xdr:row>
      <xdr:rowOff>42286</xdr:rowOff>
    </xdr:from>
    <xdr:to>
      <xdr:col>12</xdr:col>
      <xdr:colOff>292931</xdr:colOff>
      <xdr:row>100</xdr:row>
      <xdr:rowOff>137190</xdr:rowOff>
    </xdr:to>
    <xdr:sp macro="" textlink="">
      <xdr:nvSpPr>
        <xdr:cNvPr id="756" name="Rectangle 755">
          <a:extLst>
            <a:ext uri="{FF2B5EF4-FFF2-40B4-BE49-F238E27FC236}">
              <a16:creationId xmlns:a16="http://schemas.microsoft.com/office/drawing/2014/main" id="{EAFE653F-6717-49EF-B52A-07AF4ED90B9D}"/>
            </a:ext>
          </a:extLst>
        </xdr:cNvPr>
        <xdr:cNvSpPr/>
      </xdr:nvSpPr>
      <xdr:spPr>
        <a:xfrm>
          <a:off x="3818858" y="14806036"/>
          <a:ext cx="591804" cy="86423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SYG01-77/19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1P12C-1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17283</xdr:colOff>
      <xdr:row>93</xdr:row>
      <xdr:rowOff>91966</xdr:rowOff>
    </xdr:from>
    <xdr:to>
      <xdr:col>9</xdr:col>
      <xdr:colOff>205676</xdr:colOff>
      <xdr:row>99</xdr:row>
      <xdr:rowOff>12263</xdr:rowOff>
    </xdr:to>
    <xdr:sp macro="" textlink="">
      <xdr:nvSpPr>
        <xdr:cNvPr id="757" name="Rectangle 756">
          <a:extLst>
            <a:ext uri="{FF2B5EF4-FFF2-40B4-BE49-F238E27FC236}">
              <a16:creationId xmlns:a16="http://schemas.microsoft.com/office/drawing/2014/main" id="{9E1F54CF-9CB1-447A-B380-FC15247091F8}"/>
            </a:ext>
          </a:extLst>
        </xdr:cNvPr>
        <xdr:cNvSpPr/>
      </xdr:nvSpPr>
      <xdr:spPr>
        <a:xfrm>
          <a:off x="2612024" y="14340052"/>
          <a:ext cx="569393" cy="8268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SYG01-77/20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C11-100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1P12C-1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297327</xdr:colOff>
      <xdr:row>93</xdr:row>
      <xdr:rowOff>131886</xdr:rowOff>
    </xdr:from>
    <xdr:to>
      <xdr:col>7</xdr:col>
      <xdr:colOff>104719</xdr:colOff>
      <xdr:row>102</xdr:row>
      <xdr:rowOff>104589</xdr:rowOff>
    </xdr:to>
    <xdr:sp macro="" textlink="">
      <xdr:nvSpPr>
        <xdr:cNvPr id="758" name="Rectangle 757">
          <a:extLst>
            <a:ext uri="{FF2B5EF4-FFF2-40B4-BE49-F238E27FC236}">
              <a16:creationId xmlns:a16="http://schemas.microsoft.com/office/drawing/2014/main" id="{5D24913E-6319-4433-A227-4FA1C9B24098}"/>
            </a:ext>
          </a:extLst>
        </xdr:cNvPr>
        <xdr:cNvSpPr/>
      </xdr:nvSpPr>
      <xdr:spPr>
        <a:xfrm>
          <a:off x="1748058" y="14587905"/>
          <a:ext cx="569392" cy="135749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SYG01-77/21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C11-100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1P12C-1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CA5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CM5-9</a:t>
          </a:r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CM2-12A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333654</xdr:colOff>
      <xdr:row>70</xdr:row>
      <xdr:rowOff>50909</xdr:rowOff>
    </xdr:from>
    <xdr:to>
      <xdr:col>18</xdr:col>
      <xdr:colOff>59765</xdr:colOff>
      <xdr:row>70</xdr:row>
      <xdr:rowOff>67236</xdr:rowOff>
    </xdr:to>
    <xdr:cxnSp macro="">
      <xdr:nvCxnSpPr>
        <xdr:cNvPr id="759" name="Straight Arrow Connector 758">
          <a:extLst>
            <a:ext uri="{FF2B5EF4-FFF2-40B4-BE49-F238E27FC236}">
              <a16:creationId xmlns:a16="http://schemas.microsoft.com/office/drawing/2014/main" id="{5F14B4C3-04C5-407C-BA1B-D609D0FA7217}"/>
            </a:ext>
          </a:extLst>
        </xdr:cNvPr>
        <xdr:cNvCxnSpPr>
          <a:cxnSpLocks/>
          <a:stCxn id="344" idx="5"/>
        </xdr:cNvCxnSpPr>
      </xdr:nvCxnSpPr>
      <xdr:spPr>
        <a:xfrm>
          <a:off x="6713536" y="10659144"/>
          <a:ext cx="129523" cy="163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89648</xdr:colOff>
      <xdr:row>99</xdr:row>
      <xdr:rowOff>44826</xdr:rowOff>
    </xdr:from>
    <xdr:to>
      <xdr:col>8</xdr:col>
      <xdr:colOff>291353</xdr:colOff>
      <xdr:row>101</xdr:row>
      <xdr:rowOff>37353</xdr:rowOff>
    </xdr:to>
    <xdr:cxnSp macro="">
      <xdr:nvCxnSpPr>
        <xdr:cNvPr id="763" name="Straight Arrow Connector 762">
          <a:extLst>
            <a:ext uri="{FF2B5EF4-FFF2-40B4-BE49-F238E27FC236}">
              <a16:creationId xmlns:a16="http://schemas.microsoft.com/office/drawing/2014/main" id="{F0794670-4F03-4FCC-9A46-9EBEDB0E9443}"/>
            </a:ext>
          </a:extLst>
        </xdr:cNvPr>
        <xdr:cNvCxnSpPr>
          <a:cxnSpLocks/>
        </xdr:cNvCxnSpPr>
      </xdr:nvCxnSpPr>
      <xdr:spPr>
        <a:xfrm flipH="1" flipV="1">
          <a:off x="2435413" y="14986002"/>
          <a:ext cx="605116" cy="291351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105</xdr:row>
      <xdr:rowOff>28853</xdr:rowOff>
    </xdr:from>
    <xdr:to>
      <xdr:col>7</xdr:col>
      <xdr:colOff>384210</xdr:colOff>
      <xdr:row>107</xdr:row>
      <xdr:rowOff>119529</xdr:rowOff>
    </xdr:to>
    <xdr:cxnSp macro="">
      <xdr:nvCxnSpPr>
        <xdr:cNvPr id="767" name="Straight Connector 766">
          <a:extLst>
            <a:ext uri="{FF2B5EF4-FFF2-40B4-BE49-F238E27FC236}">
              <a16:creationId xmlns:a16="http://schemas.microsoft.com/office/drawing/2014/main" id="{DB08E4C8-8F19-4D07-A37E-3C5DB88A3E1C}"/>
            </a:ext>
          </a:extLst>
        </xdr:cNvPr>
        <xdr:cNvCxnSpPr>
          <a:endCxn id="457" idx="3"/>
        </xdr:cNvCxnSpPr>
      </xdr:nvCxnSpPr>
      <xdr:spPr>
        <a:xfrm flipV="1">
          <a:off x="2345765" y="15866500"/>
          <a:ext cx="384210" cy="389500"/>
        </a:xfrm>
        <a:prstGeom prst="line">
          <a:avLst/>
        </a:prstGeom>
        <a:ln w="635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328706</xdr:colOff>
      <xdr:row>103</xdr:row>
      <xdr:rowOff>134470</xdr:rowOff>
    </xdr:from>
    <xdr:to>
      <xdr:col>8</xdr:col>
      <xdr:colOff>19828</xdr:colOff>
      <xdr:row>104</xdr:row>
      <xdr:rowOff>98747</xdr:rowOff>
    </xdr:to>
    <xdr:cxnSp macro="">
      <xdr:nvCxnSpPr>
        <xdr:cNvPr id="770" name="Straight Arrow Connector 769">
          <a:extLst>
            <a:ext uri="{FF2B5EF4-FFF2-40B4-BE49-F238E27FC236}">
              <a16:creationId xmlns:a16="http://schemas.microsoft.com/office/drawing/2014/main" id="{7CFCBA47-A0C8-4EC1-921F-1D86DCC564AB}"/>
            </a:ext>
          </a:extLst>
        </xdr:cNvPr>
        <xdr:cNvCxnSpPr>
          <a:cxnSpLocks/>
          <a:stCxn id="457" idx="0"/>
        </xdr:cNvCxnSpPr>
      </xdr:nvCxnSpPr>
      <xdr:spPr>
        <a:xfrm flipH="1" flipV="1">
          <a:off x="2674471" y="15673294"/>
          <a:ext cx="94533" cy="1136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52294</xdr:colOff>
      <xdr:row>103</xdr:row>
      <xdr:rowOff>59765</xdr:rowOff>
    </xdr:from>
    <xdr:to>
      <xdr:col>6</xdr:col>
      <xdr:colOff>263098</xdr:colOff>
      <xdr:row>108</xdr:row>
      <xdr:rowOff>29884</xdr:rowOff>
    </xdr:to>
    <xdr:sp macro="" textlink="">
      <xdr:nvSpPr>
        <xdr:cNvPr id="775" name="Rectangle 774">
          <a:extLst>
            <a:ext uri="{FF2B5EF4-FFF2-40B4-BE49-F238E27FC236}">
              <a16:creationId xmlns:a16="http://schemas.microsoft.com/office/drawing/2014/main" id="{A8BFD182-8779-4D5C-83D2-44C172867B8C}"/>
            </a:ext>
          </a:extLst>
        </xdr:cNvPr>
        <xdr:cNvSpPr/>
      </xdr:nvSpPr>
      <xdr:spPr>
        <a:xfrm>
          <a:off x="1591235" y="15598589"/>
          <a:ext cx="614216" cy="72464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SYG01-77/22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CM2-12A</a:t>
          </a: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55306</xdr:colOff>
      <xdr:row>95</xdr:row>
      <xdr:rowOff>86437</xdr:rowOff>
    </xdr:from>
    <xdr:to>
      <xdr:col>16</xdr:col>
      <xdr:colOff>5736</xdr:colOff>
      <xdr:row>101</xdr:row>
      <xdr:rowOff>146238</xdr:rowOff>
    </xdr:to>
    <xdr:sp macro="" textlink="">
      <xdr:nvSpPr>
        <xdr:cNvPr id="776" name="Rectangle 775">
          <a:extLst>
            <a:ext uri="{FF2B5EF4-FFF2-40B4-BE49-F238E27FC236}">
              <a16:creationId xmlns:a16="http://schemas.microsoft.com/office/drawing/2014/main" id="{DB65B92A-A4E3-45C2-9591-00CD59B2512A}"/>
            </a:ext>
          </a:extLst>
        </xdr:cNvPr>
        <xdr:cNvSpPr/>
      </xdr:nvSpPr>
      <xdr:spPr>
        <a:xfrm>
          <a:off x="4935037" y="14850187"/>
          <a:ext cx="712430" cy="98299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SYG01-77/21/1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CC7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CG321A</a:t>
          </a:r>
        </a:p>
        <a:p>
          <a:pPr algn="l"/>
          <a:r>
            <a:rPr lang="en-US" sz="600">
              <a:solidFill>
                <a:srgbClr val="FF0000"/>
              </a:solidFill>
            </a:rPr>
            <a:t>2</a:t>
          </a:r>
          <a:r>
            <a:rPr lang="en-US" sz="600" baseline="0">
              <a:solidFill>
                <a:srgbClr val="FF0000"/>
              </a:solidFill>
            </a:rPr>
            <a:t> </a:t>
          </a:r>
          <a:r>
            <a:rPr lang="en-US" sz="600">
              <a:solidFill>
                <a:srgbClr val="FF0000"/>
              </a:solidFill>
            </a:rPr>
            <a:t>CM2-11M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CM2-12A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52722</xdr:colOff>
      <xdr:row>100</xdr:row>
      <xdr:rowOff>63607</xdr:rowOff>
    </xdr:from>
    <xdr:to>
      <xdr:col>15</xdr:col>
      <xdr:colOff>170543</xdr:colOff>
      <xdr:row>107</xdr:row>
      <xdr:rowOff>93488</xdr:rowOff>
    </xdr:to>
    <xdr:grpSp>
      <xdr:nvGrpSpPr>
        <xdr:cNvPr id="790" name="Group 789">
          <a:extLst>
            <a:ext uri="{FF2B5EF4-FFF2-40B4-BE49-F238E27FC236}">
              <a16:creationId xmlns:a16="http://schemas.microsoft.com/office/drawing/2014/main" id="{6101C29B-05C6-4C1D-BD3D-32E963ACD7EF}"/>
            </a:ext>
          </a:extLst>
        </xdr:cNvPr>
        <xdr:cNvGrpSpPr/>
      </xdr:nvGrpSpPr>
      <xdr:grpSpPr>
        <a:xfrm>
          <a:off x="3034461" y="15195933"/>
          <a:ext cx="2403821" cy="1073490"/>
          <a:chOff x="3187807" y="15448750"/>
          <a:chExt cx="2374793" cy="1096681"/>
        </a:xfrm>
      </xdr:grpSpPr>
      <xdr:cxnSp macro="">
        <xdr:nvCxnSpPr>
          <xdr:cNvPr id="779" name="Straight Connector 778">
            <a:extLst>
              <a:ext uri="{FF2B5EF4-FFF2-40B4-BE49-F238E27FC236}">
                <a16:creationId xmlns:a16="http://schemas.microsoft.com/office/drawing/2014/main" id="{79A57DF5-9B95-4CD1-8117-170DD1B6A03E}"/>
              </a:ext>
            </a:extLst>
          </xdr:cNvPr>
          <xdr:cNvCxnSpPr/>
        </xdr:nvCxnSpPr>
        <xdr:spPr>
          <a:xfrm flipV="1">
            <a:off x="3187807" y="15448750"/>
            <a:ext cx="578436" cy="10443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3" name="Straight Connector 782">
            <a:extLst>
              <a:ext uri="{FF2B5EF4-FFF2-40B4-BE49-F238E27FC236}">
                <a16:creationId xmlns:a16="http://schemas.microsoft.com/office/drawing/2014/main" id="{CF0CB173-307A-4C32-B4C3-783989C77DE5}"/>
              </a:ext>
            </a:extLst>
          </xdr:cNvPr>
          <xdr:cNvCxnSpPr/>
        </xdr:nvCxnSpPr>
        <xdr:spPr>
          <a:xfrm>
            <a:off x="3193143" y="16495486"/>
            <a:ext cx="2172874" cy="397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5" name="Straight Connector 784">
            <a:extLst>
              <a:ext uri="{FF2B5EF4-FFF2-40B4-BE49-F238E27FC236}">
                <a16:creationId xmlns:a16="http://schemas.microsoft.com/office/drawing/2014/main" id="{FEC91B2B-C505-47B8-9217-AAC21048C31B}"/>
              </a:ext>
            </a:extLst>
          </xdr:cNvPr>
          <xdr:cNvCxnSpPr/>
        </xdr:nvCxnSpPr>
        <xdr:spPr>
          <a:xfrm flipV="1">
            <a:off x="5362815" y="15493573"/>
            <a:ext cx="197437" cy="105185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7" name="Straight Connector 786">
            <a:extLst>
              <a:ext uri="{FF2B5EF4-FFF2-40B4-BE49-F238E27FC236}">
                <a16:creationId xmlns:a16="http://schemas.microsoft.com/office/drawing/2014/main" id="{FD6C02DC-C61F-4BDB-949F-FB1CCE0A33C2}"/>
              </a:ext>
            </a:extLst>
          </xdr:cNvPr>
          <xdr:cNvCxnSpPr/>
        </xdr:nvCxnSpPr>
        <xdr:spPr>
          <a:xfrm flipH="1" flipV="1">
            <a:off x="3758773" y="15448750"/>
            <a:ext cx="1803827" cy="3799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240862</xdr:colOff>
      <xdr:row>105</xdr:row>
      <xdr:rowOff>7212</xdr:rowOff>
    </xdr:from>
    <xdr:to>
      <xdr:col>9</xdr:col>
      <xdr:colOff>299741</xdr:colOff>
      <xdr:row>105</xdr:row>
      <xdr:rowOff>127000</xdr:rowOff>
    </xdr:to>
    <xdr:cxnSp macro="">
      <xdr:nvCxnSpPr>
        <xdr:cNvPr id="791" name="Straight Arrow Connector 790">
          <a:extLst>
            <a:ext uri="{FF2B5EF4-FFF2-40B4-BE49-F238E27FC236}">
              <a16:creationId xmlns:a16="http://schemas.microsoft.com/office/drawing/2014/main" id="{92AEFB5B-EA3C-4256-ABB7-2451E3D288E8}"/>
            </a:ext>
          </a:extLst>
        </xdr:cNvPr>
        <xdr:cNvCxnSpPr>
          <a:cxnSpLocks/>
          <a:stCxn id="467" idx="3"/>
        </xdr:cNvCxnSpPr>
      </xdr:nvCxnSpPr>
      <xdr:spPr>
        <a:xfrm flipH="1">
          <a:off x="3354552" y="16219419"/>
          <a:ext cx="58879" cy="1197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297872</xdr:colOff>
      <xdr:row>104</xdr:row>
      <xdr:rowOff>116596</xdr:rowOff>
    </xdr:from>
    <xdr:to>
      <xdr:col>13</xdr:col>
      <xdr:colOff>301303</xdr:colOff>
      <xdr:row>105</xdr:row>
      <xdr:rowOff>17599</xdr:rowOff>
    </xdr:to>
    <xdr:cxnSp macro="">
      <xdr:nvCxnSpPr>
        <xdr:cNvPr id="796" name="Straight Connector 795">
          <a:extLst>
            <a:ext uri="{FF2B5EF4-FFF2-40B4-BE49-F238E27FC236}">
              <a16:creationId xmlns:a16="http://schemas.microsoft.com/office/drawing/2014/main" id="{7CABEACD-962E-467C-9D66-E825CE68A37B}"/>
            </a:ext>
          </a:extLst>
        </xdr:cNvPr>
        <xdr:cNvCxnSpPr>
          <a:stCxn id="337" idx="2"/>
          <a:endCxn id="471" idx="7"/>
        </xdr:cNvCxnSpPr>
      </xdr:nvCxnSpPr>
      <xdr:spPr>
        <a:xfrm flipH="1">
          <a:off x="4607113" y="16175527"/>
          <a:ext cx="401949" cy="5427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274722</xdr:colOff>
      <xdr:row>103</xdr:row>
      <xdr:rowOff>72693</xdr:rowOff>
    </xdr:from>
    <xdr:to>
      <xdr:col>13</xdr:col>
      <xdr:colOff>249287</xdr:colOff>
      <xdr:row>106</xdr:row>
      <xdr:rowOff>68015</xdr:rowOff>
    </xdr:to>
    <xdr:sp macro="" textlink="">
      <xdr:nvSpPr>
        <xdr:cNvPr id="807" name="Rectangle 806">
          <a:extLst>
            <a:ext uri="{FF2B5EF4-FFF2-40B4-BE49-F238E27FC236}">
              <a16:creationId xmlns:a16="http://schemas.microsoft.com/office/drawing/2014/main" id="{5D4748DD-A25B-46A3-92AE-EAC4A418F1A1}"/>
            </a:ext>
          </a:extLst>
        </xdr:cNvPr>
        <xdr:cNvSpPr/>
      </xdr:nvSpPr>
      <xdr:spPr>
        <a:xfrm rot="159777">
          <a:off x="4583963" y="15978348"/>
          <a:ext cx="373083" cy="45515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22087</xdr:colOff>
      <xdr:row>100</xdr:row>
      <xdr:rowOff>146538</xdr:rowOff>
    </xdr:from>
    <xdr:to>
      <xdr:col>13</xdr:col>
      <xdr:colOff>373673</xdr:colOff>
      <xdr:row>104</xdr:row>
      <xdr:rowOff>49695</xdr:rowOff>
    </xdr:to>
    <xdr:cxnSp macro="">
      <xdr:nvCxnSpPr>
        <xdr:cNvPr id="808" name="Straight Arrow Connector 807">
          <a:extLst>
            <a:ext uri="{FF2B5EF4-FFF2-40B4-BE49-F238E27FC236}">
              <a16:creationId xmlns:a16="http://schemas.microsoft.com/office/drawing/2014/main" id="{E94D751C-AE6E-4FF1-B891-41769A5F9538}"/>
            </a:ext>
          </a:extLst>
        </xdr:cNvPr>
        <xdr:cNvCxnSpPr>
          <a:cxnSpLocks/>
        </xdr:cNvCxnSpPr>
      </xdr:nvCxnSpPr>
      <xdr:spPr>
        <a:xfrm flipV="1">
          <a:off x="3377818" y="15679615"/>
          <a:ext cx="1494586" cy="518618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229925</xdr:colOff>
      <xdr:row>102</xdr:row>
      <xdr:rowOff>146727</xdr:rowOff>
    </xdr:from>
    <xdr:to>
      <xdr:col>16</xdr:col>
      <xdr:colOff>180356</xdr:colOff>
      <xdr:row>108</xdr:row>
      <xdr:rowOff>115087</xdr:rowOff>
    </xdr:to>
    <xdr:sp macro="" textlink="">
      <xdr:nvSpPr>
        <xdr:cNvPr id="811" name="Rectangle 810">
          <a:extLst>
            <a:ext uri="{FF2B5EF4-FFF2-40B4-BE49-F238E27FC236}">
              <a16:creationId xmlns:a16="http://schemas.microsoft.com/office/drawing/2014/main" id="{107639AE-DB51-47F2-A3B5-CCE9F1BA347C}"/>
            </a:ext>
          </a:extLst>
        </xdr:cNvPr>
        <xdr:cNvSpPr/>
      </xdr:nvSpPr>
      <xdr:spPr>
        <a:xfrm>
          <a:off x="5109656" y="15987535"/>
          <a:ext cx="712431" cy="89887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SYG01-77/21/2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CM2-12A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313603</xdr:colOff>
      <xdr:row>105</xdr:row>
      <xdr:rowOff>50813</xdr:rowOff>
    </xdr:from>
    <xdr:to>
      <xdr:col>13</xdr:col>
      <xdr:colOff>33131</xdr:colOff>
      <xdr:row>105</xdr:row>
      <xdr:rowOff>60739</xdr:rowOff>
    </xdr:to>
    <xdr:cxnSp macro="">
      <xdr:nvCxnSpPr>
        <xdr:cNvPr id="812" name="Straight Arrow Connector 811">
          <a:extLst>
            <a:ext uri="{FF2B5EF4-FFF2-40B4-BE49-F238E27FC236}">
              <a16:creationId xmlns:a16="http://schemas.microsoft.com/office/drawing/2014/main" id="{71AD955B-C9C5-4DBB-A3E0-5BF44321E5DB}"/>
            </a:ext>
          </a:extLst>
        </xdr:cNvPr>
        <xdr:cNvCxnSpPr>
          <a:cxnSpLocks/>
          <a:stCxn id="471" idx="6"/>
        </xdr:cNvCxnSpPr>
      </xdr:nvCxnSpPr>
      <xdr:spPr>
        <a:xfrm>
          <a:off x="4609516" y="16406204"/>
          <a:ext cx="117093" cy="99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328088</xdr:colOff>
      <xdr:row>105</xdr:row>
      <xdr:rowOff>123685</xdr:rowOff>
    </xdr:from>
    <xdr:to>
      <xdr:col>11</xdr:col>
      <xdr:colOff>208718</xdr:colOff>
      <xdr:row>106</xdr:row>
      <xdr:rowOff>142459</xdr:rowOff>
    </xdr:to>
    <xdr:sp macro="" textlink="">
      <xdr:nvSpPr>
        <xdr:cNvPr id="844" name="Rectangle 843">
          <a:extLst>
            <a:ext uri="{FF2B5EF4-FFF2-40B4-BE49-F238E27FC236}">
              <a16:creationId xmlns:a16="http://schemas.microsoft.com/office/drawing/2014/main" id="{19E14FE7-B8BC-4D69-B723-A19EF386EB0E}"/>
            </a:ext>
          </a:extLst>
        </xdr:cNvPr>
        <xdr:cNvSpPr/>
      </xdr:nvSpPr>
      <xdr:spPr>
        <a:xfrm>
          <a:off x="3828871" y="16479076"/>
          <a:ext cx="278195" cy="17338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50</a:t>
          </a:r>
        </a:p>
      </xdr:txBody>
    </xdr:sp>
    <xdr:clientData/>
  </xdr:twoCellAnchor>
  <xdr:oneCellAnchor>
    <xdr:from>
      <xdr:col>4</xdr:col>
      <xdr:colOff>374513</xdr:colOff>
      <xdr:row>9</xdr:row>
      <xdr:rowOff>12699</xdr:rowOff>
    </xdr:from>
    <xdr:ext cx="1635063" cy="264560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8E3E6948-C24F-49C0-AFE6-FF8C8F08817A}"/>
            </a:ext>
          </a:extLst>
        </xdr:cNvPr>
        <xdr:cNvSpPr txBox="1"/>
      </xdr:nvSpPr>
      <xdr:spPr>
        <a:xfrm rot="20903670">
          <a:off x="1498463" y="1396999"/>
          <a:ext cx="1635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JEMBATAN WONOKERTO</a:t>
          </a:r>
        </a:p>
      </xdr:txBody>
    </xdr:sp>
    <xdr:clientData/>
  </xdr:oneCellAnchor>
  <xdr:twoCellAnchor>
    <xdr:from>
      <xdr:col>11</xdr:col>
      <xdr:colOff>71437</xdr:colOff>
      <xdr:row>30</xdr:row>
      <xdr:rowOff>77391</xdr:rowOff>
    </xdr:from>
    <xdr:to>
      <xdr:col>11</xdr:col>
      <xdr:colOff>178853</xdr:colOff>
      <xdr:row>31</xdr:row>
      <xdr:rowOff>18563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59BED14-E19E-4C5A-9692-258D525AB218}"/>
            </a:ext>
          </a:extLst>
        </xdr:cNvPr>
        <xdr:cNvGrpSpPr/>
      </xdr:nvGrpSpPr>
      <xdr:grpSpPr>
        <a:xfrm>
          <a:off x="3815176" y="4591413"/>
          <a:ext cx="107416" cy="902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AB0702CD-946F-3D1A-3DF5-9DFFD25324F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0401CA3-F579-A8C6-420E-045209CE7744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8EC696FD-D25A-50DA-9CFA-84DCFFBBBB0D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130969</xdr:colOff>
      <xdr:row>33</xdr:row>
      <xdr:rowOff>59532</xdr:rowOff>
    </xdr:from>
    <xdr:to>
      <xdr:col>13</xdr:col>
      <xdr:colOff>238385</xdr:colOff>
      <xdr:row>34</xdr:row>
      <xdr:rowOff>703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A025A297-833D-4F0A-8A5F-DD71493A21F0}"/>
            </a:ext>
          </a:extLst>
        </xdr:cNvPr>
        <xdr:cNvGrpSpPr/>
      </xdr:nvGrpSpPr>
      <xdr:grpSpPr>
        <a:xfrm>
          <a:off x="4636708" y="5020815"/>
          <a:ext cx="107416" cy="902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CD0A1AD5-C3F1-7EE3-8F20-A69D109D54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353CE3EE-9071-2056-2076-42F8057C4D90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819D477-CCD5-E87F-06BC-1F9FDAE6B94B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202406</xdr:colOff>
      <xdr:row>36</xdr:row>
      <xdr:rowOff>35719</xdr:rowOff>
    </xdr:from>
    <xdr:to>
      <xdr:col>15</xdr:col>
      <xdr:colOff>309822</xdr:colOff>
      <xdr:row>36</xdr:row>
      <xdr:rowOff>131672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D448111-ED0D-4DB4-B226-41830C6FA50F}"/>
            </a:ext>
          </a:extLst>
        </xdr:cNvPr>
        <xdr:cNvGrpSpPr/>
      </xdr:nvGrpSpPr>
      <xdr:grpSpPr>
        <a:xfrm>
          <a:off x="5470145" y="5444262"/>
          <a:ext cx="107416" cy="959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9D1F377A-061D-2430-A9C7-CCCD566030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4A5C0353-52F8-F299-693F-AA3811DAD906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E3E5A79-1946-42AA-3BCA-7364D55FCC0D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119063</xdr:colOff>
      <xdr:row>38</xdr:row>
      <xdr:rowOff>53578</xdr:rowOff>
    </xdr:from>
    <xdr:to>
      <xdr:col>17</xdr:col>
      <xdr:colOff>226479</xdr:colOff>
      <xdr:row>38</xdr:row>
      <xdr:rowOff>149531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84A15695-977E-48BA-A396-BFE8B695A063}"/>
            </a:ext>
          </a:extLst>
        </xdr:cNvPr>
        <xdr:cNvGrpSpPr/>
      </xdr:nvGrpSpPr>
      <xdr:grpSpPr>
        <a:xfrm>
          <a:off x="6148802" y="5793426"/>
          <a:ext cx="107416" cy="959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7A2120F-87A7-3F00-E3EA-1AB114B17A3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66102262-D9FF-6A72-F198-7FAF8C6A8FA8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BE873466-D7F6-34B9-2E33-C8746EC03616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210748</xdr:colOff>
      <xdr:row>38</xdr:row>
      <xdr:rowOff>135479</xdr:rowOff>
    </xdr:from>
    <xdr:to>
      <xdr:col>18</xdr:col>
      <xdr:colOff>311108</xdr:colOff>
      <xdr:row>40</xdr:row>
      <xdr:rowOff>63600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B90CC72C-3306-421E-8D52-3BE0ABFAE7CA}"/>
            </a:ext>
          </a:extLst>
        </xdr:cNvPr>
        <xdr:cNvCxnSpPr>
          <a:stCxn id="28" idx="5"/>
          <a:endCxn id="233" idx="1"/>
        </xdr:cNvCxnSpPr>
      </xdr:nvCxnSpPr>
      <xdr:spPr>
        <a:xfrm>
          <a:off x="6234489" y="5935876"/>
          <a:ext cx="481360" cy="230293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210748</xdr:colOff>
      <xdr:row>38</xdr:row>
      <xdr:rowOff>5953</xdr:rowOff>
    </xdr:from>
    <xdr:to>
      <xdr:col>17</xdr:col>
      <xdr:colOff>381000</xdr:colOff>
      <xdr:row>38</xdr:row>
      <xdr:rowOff>67630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A304F34-CABC-4AF9-86D4-EBC3D606383F}"/>
            </a:ext>
          </a:extLst>
        </xdr:cNvPr>
        <xdr:cNvCxnSpPr>
          <a:cxnSpLocks/>
          <a:stCxn id="28" idx="7"/>
        </xdr:cNvCxnSpPr>
      </xdr:nvCxnSpPr>
      <xdr:spPr>
        <a:xfrm flipV="1">
          <a:off x="6229357" y="5905500"/>
          <a:ext cx="170252" cy="616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363141</xdr:colOff>
      <xdr:row>36</xdr:row>
      <xdr:rowOff>77392</xdr:rowOff>
    </xdr:from>
    <xdr:to>
      <xdr:col>14</xdr:col>
      <xdr:colOff>120367</xdr:colOff>
      <xdr:row>37</xdr:row>
      <xdr:rowOff>81379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73A540F1-5C07-4C81-8EF3-43437CC2FDB7}"/>
            </a:ext>
          </a:extLst>
        </xdr:cNvPr>
        <xdr:cNvGrpSpPr/>
      </xdr:nvGrpSpPr>
      <xdr:grpSpPr>
        <a:xfrm rot="2028823">
          <a:off x="4868880" y="5485935"/>
          <a:ext cx="138226" cy="169640"/>
          <a:chOff x="704537" y="3681605"/>
          <a:chExt cx="141199" cy="169566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49ED356E-DFF3-1FED-EB4C-094DDD18F749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794B8CD0-A6E4-3CF5-1455-3B278E1C6BBB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244337</xdr:colOff>
      <xdr:row>11</xdr:row>
      <xdr:rowOff>54095</xdr:rowOff>
    </xdr:from>
    <xdr:to>
      <xdr:col>7</xdr:col>
      <xdr:colOff>74141</xdr:colOff>
      <xdr:row>16</xdr:row>
      <xdr:rowOff>54096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866C5D9D-9C1C-4B05-9A75-991AB5A6A843}"/>
            </a:ext>
          </a:extLst>
        </xdr:cNvPr>
        <xdr:cNvSpPr/>
      </xdr:nvSpPr>
      <xdr:spPr>
        <a:xfrm>
          <a:off x="1702076" y="1727182"/>
          <a:ext cx="591804" cy="76200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77A/1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CC8</a:t>
          </a:r>
        </a:p>
        <a:p>
          <a:pPr algn="l"/>
          <a:r>
            <a:rPr lang="en-US" sz="600">
              <a:solidFill>
                <a:srgbClr val="FF0000"/>
              </a:solidFill>
            </a:rPr>
            <a:t>3</a:t>
          </a:r>
          <a:r>
            <a:rPr lang="en-US" sz="600" baseline="0">
              <a:solidFill>
                <a:srgbClr val="FF0000"/>
              </a:solidFill>
            </a:rPr>
            <a:t> CM5-9</a:t>
          </a:r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6</xdr:col>
      <xdr:colOff>355116</xdr:colOff>
      <xdr:row>15</xdr:row>
      <xdr:rowOff>36634</xdr:rowOff>
    </xdr:from>
    <xdr:to>
      <xdr:col>8</xdr:col>
      <xdr:colOff>184920</xdr:colOff>
      <xdr:row>20</xdr:row>
      <xdr:rowOff>98354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8B773638-7631-4C12-81DA-5CF7F4CC4930}"/>
            </a:ext>
          </a:extLst>
        </xdr:cNvPr>
        <xdr:cNvSpPr/>
      </xdr:nvSpPr>
      <xdr:spPr>
        <a:xfrm>
          <a:off x="2186847" y="2366596"/>
          <a:ext cx="591804" cy="83104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77A/2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3</a:t>
          </a:r>
          <a:r>
            <a:rPr lang="en-US" sz="600" baseline="0">
              <a:solidFill>
                <a:srgbClr val="FF0000"/>
              </a:solidFill>
            </a:rPr>
            <a:t> CM5-6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120615</xdr:colOff>
      <xdr:row>24</xdr:row>
      <xdr:rowOff>123722</xdr:rowOff>
    </xdr:from>
    <xdr:to>
      <xdr:col>7</xdr:col>
      <xdr:colOff>331419</xdr:colOff>
      <xdr:row>29</xdr:row>
      <xdr:rowOff>105862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8F4FEABB-7F81-43B8-BCDE-3E0DEF287879}"/>
            </a:ext>
          </a:extLst>
        </xdr:cNvPr>
        <xdr:cNvSpPr/>
      </xdr:nvSpPr>
      <xdr:spPr>
        <a:xfrm>
          <a:off x="1959354" y="3751505"/>
          <a:ext cx="591804" cy="72757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77A/3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FDG</a:t>
          </a:r>
        </a:p>
      </xdr:txBody>
    </xdr:sp>
    <xdr:clientData/>
  </xdr:twoCellAnchor>
  <xdr:twoCellAnchor>
    <xdr:from>
      <xdr:col>9</xdr:col>
      <xdr:colOff>204994</xdr:colOff>
      <xdr:row>23</xdr:row>
      <xdr:rowOff>58496</xdr:rowOff>
    </xdr:from>
    <xdr:to>
      <xdr:col>11</xdr:col>
      <xdr:colOff>34798</xdr:colOff>
      <xdr:row>27</xdr:row>
      <xdr:rowOff>100168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993602E-181A-496C-BC9D-6C6C98CD4936}"/>
            </a:ext>
          </a:extLst>
        </xdr:cNvPr>
        <xdr:cNvSpPr/>
      </xdr:nvSpPr>
      <xdr:spPr>
        <a:xfrm>
          <a:off x="3186733" y="3537192"/>
          <a:ext cx="591804" cy="638019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77A/4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169017</xdr:colOff>
      <xdr:row>25</xdr:row>
      <xdr:rowOff>127862</xdr:rowOff>
    </xdr:from>
    <xdr:to>
      <xdr:col>12</xdr:col>
      <xdr:colOff>379821</xdr:colOff>
      <xdr:row>30</xdr:row>
      <xdr:rowOff>32353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196C1B5-49CA-4CBE-B4E8-6E6A79145D84}"/>
            </a:ext>
          </a:extLst>
        </xdr:cNvPr>
        <xdr:cNvSpPr/>
      </xdr:nvSpPr>
      <xdr:spPr>
        <a:xfrm>
          <a:off x="3912756" y="3904732"/>
          <a:ext cx="591804" cy="64164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77A/5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13</xdr:col>
      <xdr:colOff>166947</xdr:colOff>
      <xdr:row>28</xdr:row>
      <xdr:rowOff>111296</xdr:rowOff>
    </xdr:from>
    <xdr:to>
      <xdr:col>14</xdr:col>
      <xdr:colOff>377751</xdr:colOff>
      <xdr:row>33</xdr:row>
      <xdr:rowOff>15788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8A3BAD0-3A9C-4CE8-9046-60B9D52CB8A0}"/>
            </a:ext>
          </a:extLst>
        </xdr:cNvPr>
        <xdr:cNvSpPr/>
      </xdr:nvSpPr>
      <xdr:spPr>
        <a:xfrm>
          <a:off x="4672686" y="4335426"/>
          <a:ext cx="591804" cy="64164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77A/6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236054</xdr:colOff>
      <xdr:row>31</xdr:row>
      <xdr:rowOff>89555</xdr:rowOff>
    </xdr:from>
    <xdr:to>
      <xdr:col>17</xdr:col>
      <xdr:colOff>65858</xdr:colOff>
      <xdr:row>35</xdr:row>
      <xdr:rowOff>125532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4B5828EE-6922-4624-9290-BF69622D604C}"/>
            </a:ext>
          </a:extLst>
        </xdr:cNvPr>
        <xdr:cNvSpPr/>
      </xdr:nvSpPr>
      <xdr:spPr>
        <a:xfrm>
          <a:off x="5503793" y="4752664"/>
          <a:ext cx="591804" cy="63232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77A/7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446483</xdr:colOff>
      <xdr:row>17</xdr:row>
      <xdr:rowOff>17858</xdr:rowOff>
    </xdr:from>
    <xdr:to>
      <xdr:col>3</xdr:col>
      <xdr:colOff>255985</xdr:colOff>
      <xdr:row>20</xdr:row>
      <xdr:rowOff>125015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41FE79C2-0CC2-4F3D-B109-6824EEF7BAFB}"/>
            </a:ext>
          </a:extLst>
        </xdr:cNvPr>
        <xdr:cNvGrpSpPr/>
      </xdr:nvGrpSpPr>
      <xdr:grpSpPr>
        <a:xfrm>
          <a:off x="645266" y="2602032"/>
          <a:ext cx="306458" cy="554418"/>
          <a:chOff x="704537" y="3681605"/>
          <a:chExt cx="141199" cy="169566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5E981CD6-D309-6323-AB13-2EE0A9EADC47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B4D78E08-037E-1E9A-7958-C01511EF3E27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267447</xdr:colOff>
      <xdr:row>28</xdr:row>
      <xdr:rowOff>47346</xdr:rowOff>
    </xdr:from>
    <xdr:to>
      <xdr:col>11</xdr:col>
      <xdr:colOff>71437</xdr:colOff>
      <xdr:row>30</xdr:row>
      <xdr:rowOff>125368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9CA3999D-375A-4AEC-867D-D4850239A229}"/>
            </a:ext>
          </a:extLst>
        </xdr:cNvPr>
        <xdr:cNvCxnSpPr>
          <a:stCxn id="5" idx="2"/>
          <a:endCxn id="186" idx="5"/>
        </xdr:cNvCxnSpPr>
      </xdr:nvCxnSpPr>
      <xdr:spPr>
        <a:xfrm flipH="1" flipV="1">
          <a:off x="3238056" y="4399080"/>
          <a:ext cx="565990" cy="37567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51713</xdr:colOff>
      <xdr:row>34</xdr:row>
      <xdr:rowOff>50231</xdr:rowOff>
    </xdr:from>
    <xdr:to>
      <xdr:col>20</xdr:col>
      <xdr:colOff>262517</xdr:colOff>
      <xdr:row>40</xdr:row>
      <xdr:rowOff>60905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EC0A604B-C0BC-43F3-94D9-F02301B75770}"/>
            </a:ext>
          </a:extLst>
        </xdr:cNvPr>
        <xdr:cNvSpPr/>
      </xdr:nvSpPr>
      <xdr:spPr>
        <a:xfrm>
          <a:off x="6837454" y="5220007"/>
          <a:ext cx="591804" cy="94346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77A/9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285750</xdr:colOff>
      <xdr:row>23</xdr:row>
      <xdr:rowOff>23813</xdr:rowOff>
    </xdr:from>
    <xdr:to>
      <xdr:col>5</xdr:col>
      <xdr:colOff>202407</xdr:colOff>
      <xdr:row>26</xdr:row>
      <xdr:rowOff>77391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B8B698F-97FC-4B9A-B93A-A33E923DE038}"/>
            </a:ext>
          </a:extLst>
        </xdr:cNvPr>
        <xdr:cNvGrpSpPr/>
      </xdr:nvGrpSpPr>
      <xdr:grpSpPr>
        <a:xfrm>
          <a:off x="1362489" y="3502509"/>
          <a:ext cx="297657" cy="500839"/>
          <a:chOff x="704537" y="3681605"/>
          <a:chExt cx="141199" cy="169566"/>
        </a:xfrm>
      </xdr:grpSpPr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62E18D4F-73DA-014B-52C5-C44F411802E4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36540DB2-0494-CA66-69DF-54A17D2C9637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291704</xdr:colOff>
      <xdr:row>30</xdr:row>
      <xdr:rowOff>142875</xdr:rowOff>
    </xdr:from>
    <xdr:to>
      <xdr:col>8</xdr:col>
      <xdr:colOff>273844</xdr:colOff>
      <xdr:row>34</xdr:row>
      <xdr:rowOff>77390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4C241A6E-8040-4FE8-B400-2B6CE4C2B983}"/>
            </a:ext>
          </a:extLst>
        </xdr:cNvPr>
        <xdr:cNvGrpSpPr/>
      </xdr:nvGrpSpPr>
      <xdr:grpSpPr>
        <a:xfrm>
          <a:off x="2511443" y="4656897"/>
          <a:ext cx="363140" cy="530863"/>
          <a:chOff x="704537" y="3681605"/>
          <a:chExt cx="141199" cy="16956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0F5856B8-E886-D8E4-5A0A-BF74B47C4C1E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1E20970-DDD3-B1BD-22FC-26C8D2706010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184547</xdr:colOff>
      <xdr:row>34</xdr:row>
      <xdr:rowOff>89297</xdr:rowOff>
    </xdr:from>
    <xdr:to>
      <xdr:col>11</xdr:col>
      <xdr:colOff>178594</xdr:colOff>
      <xdr:row>37</xdr:row>
      <xdr:rowOff>142874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57812AE6-95E6-4825-A86C-A7D79A78A5C4}"/>
            </a:ext>
          </a:extLst>
        </xdr:cNvPr>
        <xdr:cNvGrpSpPr/>
      </xdr:nvGrpSpPr>
      <xdr:grpSpPr>
        <a:xfrm>
          <a:off x="3547286" y="5199667"/>
          <a:ext cx="375047" cy="517403"/>
          <a:chOff x="704537" y="3681605"/>
          <a:chExt cx="141199" cy="169566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193EB782-E1D0-D41A-F226-E7FAA9E61294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8B7C9406-DE91-BA8B-F74C-88551CAC9484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89297</xdr:colOff>
      <xdr:row>37</xdr:row>
      <xdr:rowOff>154781</xdr:rowOff>
    </xdr:from>
    <xdr:to>
      <xdr:col>14</xdr:col>
      <xdr:colOff>65485</xdr:colOff>
      <xdr:row>41</xdr:row>
      <xdr:rowOff>29765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9F00CE2B-A223-41FD-9A4D-121E11649EBF}"/>
            </a:ext>
          </a:extLst>
        </xdr:cNvPr>
        <xdr:cNvGrpSpPr/>
      </xdr:nvGrpSpPr>
      <xdr:grpSpPr>
        <a:xfrm>
          <a:off x="4595036" y="5728977"/>
          <a:ext cx="357188" cy="487897"/>
          <a:chOff x="704537" y="3681605"/>
          <a:chExt cx="141199" cy="169566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63C3959F-AA8A-7486-5815-56BFA88C053F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F44C9B7-7EC8-F276-D0C2-49CC6A031AE9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339328</xdr:colOff>
      <xdr:row>40</xdr:row>
      <xdr:rowOff>53578</xdr:rowOff>
    </xdr:from>
    <xdr:to>
      <xdr:col>16</xdr:col>
      <xdr:colOff>146721</xdr:colOff>
      <xdr:row>43</xdr:row>
      <xdr:rowOff>3756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9F839228-DB5C-4137-8846-8BABA5B144BE}"/>
            </a:ext>
          </a:extLst>
        </xdr:cNvPr>
        <xdr:cNvSpPr/>
      </xdr:nvSpPr>
      <xdr:spPr>
        <a:xfrm>
          <a:off x="5214937" y="6262687"/>
          <a:ext cx="569393" cy="41452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SYG01-77/5</a:t>
          </a:r>
        </a:p>
        <a:p>
          <a:pPr algn="l"/>
          <a:r>
            <a:rPr lang="en-US" sz="6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</xdr:txBody>
    </xdr:sp>
    <xdr:clientData/>
  </xdr:twoCellAnchor>
  <xdr:twoCellAnchor>
    <xdr:from>
      <xdr:col>15</xdr:col>
      <xdr:colOff>59531</xdr:colOff>
      <xdr:row>40</xdr:row>
      <xdr:rowOff>41672</xdr:rowOff>
    </xdr:from>
    <xdr:to>
      <xdr:col>16</xdr:col>
      <xdr:colOff>35719</xdr:colOff>
      <xdr:row>43</xdr:row>
      <xdr:rowOff>77390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164485CE-846F-49EA-97DA-38AAEEAB3015}"/>
            </a:ext>
          </a:extLst>
        </xdr:cNvPr>
        <xdr:cNvGrpSpPr/>
      </xdr:nvGrpSpPr>
      <xdr:grpSpPr>
        <a:xfrm>
          <a:off x="5327270" y="6079694"/>
          <a:ext cx="357188" cy="482979"/>
          <a:chOff x="704537" y="3681605"/>
          <a:chExt cx="141199" cy="169566"/>
        </a:xfrm>
      </xdr:grpSpPr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E04D6D03-7CB9-6DA0-721D-6510FB2D3523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C1E4E71-FA27-E1B2-1BDC-370934EDA10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71214</xdr:colOff>
      <xdr:row>39</xdr:row>
      <xdr:rowOff>85527</xdr:rowOff>
    </xdr:from>
    <xdr:to>
      <xdr:col>20</xdr:col>
      <xdr:colOff>250609</xdr:colOff>
      <xdr:row>42</xdr:row>
      <xdr:rowOff>147689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DA2B2577-BEF2-4062-AD5F-31A0083EABDF}"/>
            </a:ext>
          </a:extLst>
        </xdr:cNvPr>
        <xdr:cNvCxnSpPr>
          <a:stCxn id="206" idx="5"/>
          <a:endCxn id="316" idx="6"/>
        </xdr:cNvCxnSpPr>
      </xdr:nvCxnSpPr>
      <xdr:spPr>
        <a:xfrm>
          <a:off x="5713955" y="6037010"/>
          <a:ext cx="1703395" cy="515420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249621</xdr:colOff>
      <xdr:row>50</xdr:row>
      <xdr:rowOff>6570</xdr:rowOff>
    </xdr:from>
    <xdr:to>
      <xdr:col>18</xdr:col>
      <xdr:colOff>357037</xdr:colOff>
      <xdr:row>50</xdr:row>
      <xdr:rowOff>102523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505DBB40-CFF1-4C74-AF74-AF3F94DFD634}"/>
            </a:ext>
          </a:extLst>
        </xdr:cNvPr>
        <xdr:cNvGrpSpPr/>
      </xdr:nvGrpSpPr>
      <xdr:grpSpPr>
        <a:xfrm>
          <a:off x="6660360" y="7552027"/>
          <a:ext cx="107416" cy="959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A49F3845-0B55-5A4D-B374-E295D0C3651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29487EE7-B3B2-0A7E-D664-886732147845}"/>
              </a:ext>
            </a:extLst>
          </xdr:cNvPr>
          <xdr:cNvCxnSpPr>
            <a:stCxn id="25" idx="1"/>
            <a:endCxn id="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CD6A608-D87C-D59F-6A35-B2975CAC5AEC}"/>
              </a:ext>
            </a:extLst>
          </xdr:cNvPr>
          <xdr:cNvCxnSpPr>
            <a:stCxn id="25" idx="3"/>
            <a:endCxn id="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210553</xdr:colOff>
      <xdr:row>91</xdr:row>
      <xdr:rowOff>125330</xdr:rowOff>
    </xdr:from>
    <xdr:to>
      <xdr:col>11</xdr:col>
      <xdr:colOff>317969</xdr:colOff>
      <xdr:row>92</xdr:row>
      <xdr:rowOff>69860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6545978B-3C03-4F42-B99B-97E20681775B}"/>
            </a:ext>
          </a:extLst>
        </xdr:cNvPr>
        <xdr:cNvGrpSpPr/>
      </xdr:nvGrpSpPr>
      <xdr:grpSpPr>
        <a:xfrm>
          <a:off x="3954292" y="13915873"/>
          <a:ext cx="107416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5D2C63E4-C3FC-E78E-6402-B9DE769AAE0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E8DD343C-F507-AB97-0081-CF123DB76968}"/>
              </a:ext>
            </a:extLst>
          </xdr:cNvPr>
          <xdr:cNvCxnSpPr>
            <a:stCxn id="55" idx="1"/>
            <a:endCxn id="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EE710D4E-939E-D6AC-0863-9B0C3E79B1A6}"/>
              </a:ext>
            </a:extLst>
          </xdr:cNvPr>
          <xdr:cNvCxnSpPr>
            <a:stCxn id="55" idx="3"/>
            <a:endCxn id="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320842</xdr:colOff>
      <xdr:row>92</xdr:row>
      <xdr:rowOff>20052</xdr:rowOff>
    </xdr:from>
    <xdr:to>
      <xdr:col>12</xdr:col>
      <xdr:colOff>40105</xdr:colOff>
      <xdr:row>92</xdr:row>
      <xdr:rowOff>135355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4A3FCE24-8375-44A7-9E3A-47FAE9E692A8}"/>
            </a:ext>
          </a:extLst>
        </xdr:cNvPr>
        <xdr:cNvSpPr/>
      </xdr:nvSpPr>
      <xdr:spPr>
        <a:xfrm>
          <a:off x="4055645" y="14026815"/>
          <a:ext cx="100263" cy="11530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130342</xdr:colOff>
      <xdr:row>89</xdr:row>
      <xdr:rowOff>25065</xdr:rowOff>
    </xdr:from>
    <xdr:to>
      <xdr:col>12</xdr:col>
      <xdr:colOff>237758</xdr:colOff>
      <xdr:row>89</xdr:row>
      <xdr:rowOff>119990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1B93CBD0-49EA-48BB-BEF2-7885E9A65C93}"/>
            </a:ext>
          </a:extLst>
        </xdr:cNvPr>
        <xdr:cNvGrpSpPr/>
      </xdr:nvGrpSpPr>
      <xdr:grpSpPr>
        <a:xfrm>
          <a:off x="4255081" y="13517435"/>
          <a:ext cx="107416" cy="949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3705962B-E745-8BBA-FE1C-B1729D7248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9B50373D-AAFC-DB40-92C7-F6847907FBF0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7862F7B-A11F-DD2C-A521-322B9D1095C2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20052</xdr:colOff>
      <xdr:row>86</xdr:row>
      <xdr:rowOff>95250</xdr:rowOff>
    </xdr:from>
    <xdr:to>
      <xdr:col>13</xdr:col>
      <xdr:colOff>127468</xdr:colOff>
      <xdr:row>87</xdr:row>
      <xdr:rowOff>39781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B7479E5C-C877-4254-A9D7-7A82AD0CBEF5}"/>
            </a:ext>
          </a:extLst>
        </xdr:cNvPr>
        <xdr:cNvGrpSpPr/>
      </xdr:nvGrpSpPr>
      <xdr:grpSpPr>
        <a:xfrm>
          <a:off x="4525791" y="13140359"/>
          <a:ext cx="107416" cy="936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6F454721-841B-7FEE-48BB-83F2DBAE27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7AF859FA-35EB-AE02-3FE2-CB6101EC3703}"/>
              </a:ext>
            </a:extLst>
          </xdr:cNvPr>
          <xdr:cNvCxnSpPr>
            <a:stCxn id="94" idx="1"/>
            <a:endCxn id="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F6ED20C3-EE19-1A09-010C-C2E4DEC21596}"/>
              </a:ext>
            </a:extLst>
          </xdr:cNvPr>
          <xdr:cNvCxnSpPr>
            <a:stCxn id="94" idx="3"/>
            <a:endCxn id="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282742</xdr:colOff>
      <xdr:row>84</xdr:row>
      <xdr:rowOff>32085</xdr:rowOff>
    </xdr:from>
    <xdr:to>
      <xdr:col>14</xdr:col>
      <xdr:colOff>9158</xdr:colOff>
      <xdr:row>84</xdr:row>
      <xdr:rowOff>127010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FD7EAEE2-B467-4E07-8242-C8FF3CF52E6F}"/>
            </a:ext>
          </a:extLst>
        </xdr:cNvPr>
        <xdr:cNvGrpSpPr/>
      </xdr:nvGrpSpPr>
      <xdr:grpSpPr>
        <a:xfrm>
          <a:off x="4788481" y="12779020"/>
          <a:ext cx="107416" cy="949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4" name="Oval 173">
            <a:extLst>
              <a:ext uri="{FF2B5EF4-FFF2-40B4-BE49-F238E27FC236}">
                <a16:creationId xmlns:a16="http://schemas.microsoft.com/office/drawing/2014/main" id="{37971552-D457-E4BD-565A-B1DAB4AB70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BCE7B03F-3C47-3F1F-B6A6-D0B684BB8875}"/>
              </a:ext>
            </a:extLst>
          </xdr:cNvPr>
          <xdr:cNvCxnSpPr>
            <a:stCxn id="174" idx="1"/>
            <a:endCxn id="1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BBA82081-40A2-87AA-59C6-5CCA2F05FA1B}"/>
              </a:ext>
            </a:extLst>
          </xdr:cNvPr>
          <xdr:cNvCxnSpPr>
            <a:stCxn id="174" idx="3"/>
            <a:endCxn id="1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60158</xdr:colOff>
      <xdr:row>82</xdr:row>
      <xdr:rowOff>50131</xdr:rowOff>
    </xdr:from>
    <xdr:to>
      <xdr:col>14</xdr:col>
      <xdr:colOff>167574</xdr:colOff>
      <xdr:row>82</xdr:row>
      <xdr:rowOff>145056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80D4F6AA-D098-479F-9AE0-E69139E35A41}"/>
            </a:ext>
          </a:extLst>
        </xdr:cNvPr>
        <xdr:cNvGrpSpPr/>
      </xdr:nvGrpSpPr>
      <xdr:grpSpPr>
        <a:xfrm>
          <a:off x="4946897" y="12498892"/>
          <a:ext cx="107416" cy="949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DEC0148F-0ABA-D476-2190-31C6B07A39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1E81FF7-0B9F-A1A8-87FE-542AFB424289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9BD5AA06-3DE1-877D-ED50-CD0426400135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207545</xdr:colOff>
      <xdr:row>79</xdr:row>
      <xdr:rowOff>47123</xdr:rowOff>
    </xdr:from>
    <xdr:to>
      <xdr:col>14</xdr:col>
      <xdr:colOff>314961</xdr:colOff>
      <xdr:row>79</xdr:row>
      <xdr:rowOff>142048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B76C2C87-559B-436F-9317-0687BFC97197}"/>
            </a:ext>
          </a:extLst>
        </xdr:cNvPr>
        <xdr:cNvGrpSpPr/>
      </xdr:nvGrpSpPr>
      <xdr:grpSpPr>
        <a:xfrm>
          <a:off x="5094284" y="12048623"/>
          <a:ext cx="107416" cy="949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0" name="Oval 209">
            <a:extLst>
              <a:ext uri="{FF2B5EF4-FFF2-40B4-BE49-F238E27FC236}">
                <a16:creationId xmlns:a16="http://schemas.microsoft.com/office/drawing/2014/main" id="{4598E61D-E78B-33F0-806A-F13DC2EEB7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4703B983-D8BF-F54C-C2DF-51A8DD9C5E6D}"/>
              </a:ext>
            </a:extLst>
          </xdr:cNvPr>
          <xdr:cNvCxnSpPr>
            <a:stCxn id="210" idx="1"/>
            <a:endCxn id="2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EDD2B8CD-A66A-C25D-C6CF-287A4BAC6651}"/>
              </a:ext>
            </a:extLst>
          </xdr:cNvPr>
          <xdr:cNvCxnSpPr>
            <a:stCxn id="210" idx="3"/>
            <a:endCxn id="2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68692</xdr:colOff>
      <xdr:row>70</xdr:row>
      <xdr:rowOff>124513</xdr:rowOff>
    </xdr:from>
    <xdr:to>
      <xdr:col>15</xdr:col>
      <xdr:colOff>313365</xdr:colOff>
      <xdr:row>73</xdr:row>
      <xdr:rowOff>128378</xdr:rowOff>
    </xdr:to>
    <xdr:cxnSp macro="">
      <xdr:nvCxnSpPr>
        <xdr:cNvPr id="325" name="Straight Connector 324">
          <a:extLst>
            <a:ext uri="{FF2B5EF4-FFF2-40B4-BE49-F238E27FC236}">
              <a16:creationId xmlns:a16="http://schemas.microsoft.com/office/drawing/2014/main" id="{C14E4436-5E15-48B5-B598-6B0D102B845F}"/>
            </a:ext>
          </a:extLst>
        </xdr:cNvPr>
        <xdr:cNvCxnSpPr>
          <a:endCxn id="427" idx="1"/>
        </xdr:cNvCxnSpPr>
      </xdr:nvCxnSpPr>
      <xdr:spPr>
        <a:xfrm flipV="1">
          <a:off x="5327495" y="10822592"/>
          <a:ext cx="244673" cy="455049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50131</xdr:colOff>
      <xdr:row>71</xdr:row>
      <xdr:rowOff>75197</xdr:rowOff>
    </xdr:from>
    <xdr:to>
      <xdr:col>16</xdr:col>
      <xdr:colOff>157547</xdr:colOff>
      <xdr:row>72</xdr:row>
      <xdr:rowOff>19728</xdr:rowOff>
    </xdr:to>
    <xdr:grpSp>
      <xdr:nvGrpSpPr>
        <xdr:cNvPr id="340" name="Group 339">
          <a:extLst>
            <a:ext uri="{FF2B5EF4-FFF2-40B4-BE49-F238E27FC236}">
              <a16:creationId xmlns:a16="http://schemas.microsoft.com/office/drawing/2014/main" id="{6027A6A2-36E1-4840-9588-9ED149E849CB}"/>
            </a:ext>
          </a:extLst>
        </xdr:cNvPr>
        <xdr:cNvGrpSpPr/>
      </xdr:nvGrpSpPr>
      <xdr:grpSpPr>
        <a:xfrm>
          <a:off x="5698870" y="10884001"/>
          <a:ext cx="107416" cy="936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1" name="Oval 340">
            <a:extLst>
              <a:ext uri="{FF2B5EF4-FFF2-40B4-BE49-F238E27FC236}">
                <a16:creationId xmlns:a16="http://schemas.microsoft.com/office/drawing/2014/main" id="{541D7099-5637-FE8F-D55C-F2B34CB68D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2" name="Straight Connector 341">
            <a:extLst>
              <a:ext uri="{FF2B5EF4-FFF2-40B4-BE49-F238E27FC236}">
                <a16:creationId xmlns:a16="http://schemas.microsoft.com/office/drawing/2014/main" id="{8325B2B7-C58A-3F9F-3E36-BEE3C6906B4E}"/>
              </a:ext>
            </a:extLst>
          </xdr:cNvPr>
          <xdr:cNvCxnSpPr>
            <a:stCxn id="341" idx="1"/>
            <a:endCxn id="3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EA3526C-427E-1F93-679F-C3497567FED6}"/>
              </a:ext>
            </a:extLst>
          </xdr:cNvPr>
          <xdr:cNvCxnSpPr>
            <a:stCxn id="341" idx="3"/>
            <a:endCxn id="3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167950</xdr:colOff>
      <xdr:row>72</xdr:row>
      <xdr:rowOff>5827</xdr:rowOff>
    </xdr:from>
    <xdr:to>
      <xdr:col>16</xdr:col>
      <xdr:colOff>65862</xdr:colOff>
      <xdr:row>74</xdr:row>
      <xdr:rowOff>13745</xdr:rowOff>
    </xdr:to>
    <xdr:cxnSp macro="">
      <xdr:nvCxnSpPr>
        <xdr:cNvPr id="352" name="Straight Connector 351">
          <a:extLst>
            <a:ext uri="{FF2B5EF4-FFF2-40B4-BE49-F238E27FC236}">
              <a16:creationId xmlns:a16="http://schemas.microsoft.com/office/drawing/2014/main" id="{4928D556-4B35-4E17-A477-2F2EDA2EC587}"/>
            </a:ext>
          </a:extLst>
        </xdr:cNvPr>
        <xdr:cNvCxnSpPr>
          <a:stCxn id="341" idx="3"/>
          <a:endCxn id="360" idx="6"/>
        </xdr:cNvCxnSpPr>
      </xdr:nvCxnSpPr>
      <xdr:spPr>
        <a:xfrm flipH="1">
          <a:off x="5426753" y="11004695"/>
          <a:ext cx="278912" cy="30870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285749</xdr:colOff>
      <xdr:row>68</xdr:row>
      <xdr:rowOff>125329</xdr:rowOff>
    </xdr:from>
    <xdr:to>
      <xdr:col>17</xdr:col>
      <xdr:colOff>12165</xdr:colOff>
      <xdr:row>69</xdr:row>
      <xdr:rowOff>69859</xdr:rowOff>
    </xdr:to>
    <xdr:grpSp>
      <xdr:nvGrpSpPr>
        <xdr:cNvPr id="355" name="Group 354">
          <a:extLst>
            <a:ext uri="{FF2B5EF4-FFF2-40B4-BE49-F238E27FC236}">
              <a16:creationId xmlns:a16="http://schemas.microsoft.com/office/drawing/2014/main" id="{3E0B02AA-A6A5-424E-83E8-C46733834FCD}"/>
            </a:ext>
          </a:extLst>
        </xdr:cNvPr>
        <xdr:cNvGrpSpPr/>
      </xdr:nvGrpSpPr>
      <xdr:grpSpPr>
        <a:xfrm>
          <a:off x="5934488" y="10486872"/>
          <a:ext cx="107416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6" name="Oval 355">
            <a:extLst>
              <a:ext uri="{FF2B5EF4-FFF2-40B4-BE49-F238E27FC236}">
                <a16:creationId xmlns:a16="http://schemas.microsoft.com/office/drawing/2014/main" id="{35E6BFFE-D005-3CD3-096B-0FA0C74E6F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7" name="Straight Connector 356">
            <a:extLst>
              <a:ext uri="{FF2B5EF4-FFF2-40B4-BE49-F238E27FC236}">
                <a16:creationId xmlns:a16="http://schemas.microsoft.com/office/drawing/2014/main" id="{E76627D0-9A66-101E-C7A4-E72AD432C545}"/>
              </a:ext>
            </a:extLst>
          </xdr:cNvPr>
          <xdr:cNvCxnSpPr>
            <a:stCxn id="356" idx="1"/>
            <a:endCxn id="3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BC3582B4-EAFB-30C3-9DDA-21E447002738}"/>
              </a:ext>
            </a:extLst>
          </xdr:cNvPr>
          <xdr:cNvCxnSpPr>
            <a:stCxn id="356" idx="3"/>
            <a:endCxn id="3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345659</xdr:colOff>
      <xdr:row>68</xdr:row>
      <xdr:rowOff>49313</xdr:rowOff>
    </xdr:from>
    <xdr:to>
      <xdr:col>16</xdr:col>
      <xdr:colOff>157243</xdr:colOff>
      <xdr:row>70</xdr:row>
      <xdr:rowOff>111286</xdr:rowOff>
    </xdr:to>
    <xdr:cxnSp macro="">
      <xdr:nvCxnSpPr>
        <xdr:cNvPr id="380" name="Straight Connector 379">
          <a:extLst>
            <a:ext uri="{FF2B5EF4-FFF2-40B4-BE49-F238E27FC236}">
              <a16:creationId xmlns:a16="http://schemas.microsoft.com/office/drawing/2014/main" id="{F75E5F64-A36E-4CF4-9CE1-DC273296C950}"/>
            </a:ext>
          </a:extLst>
        </xdr:cNvPr>
        <xdr:cNvCxnSpPr>
          <a:stCxn id="427" idx="0"/>
          <a:endCxn id="423" idx="2"/>
        </xdr:cNvCxnSpPr>
      </xdr:nvCxnSpPr>
      <xdr:spPr>
        <a:xfrm flipV="1">
          <a:off x="5608902" y="10586684"/>
          <a:ext cx="192584" cy="366773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141816</xdr:colOff>
      <xdr:row>69</xdr:row>
      <xdr:rowOff>55958</xdr:rowOff>
    </xdr:from>
    <xdr:to>
      <xdr:col>16</xdr:col>
      <xdr:colOff>301480</xdr:colOff>
      <xdr:row>71</xdr:row>
      <xdr:rowOff>89098</xdr:rowOff>
    </xdr:to>
    <xdr:cxnSp macro="">
      <xdr:nvCxnSpPr>
        <xdr:cNvPr id="386" name="Straight Connector 385">
          <a:extLst>
            <a:ext uri="{FF2B5EF4-FFF2-40B4-BE49-F238E27FC236}">
              <a16:creationId xmlns:a16="http://schemas.microsoft.com/office/drawing/2014/main" id="{04F081B4-B26E-41B5-84A0-B28D8DB8DE0C}"/>
            </a:ext>
          </a:extLst>
        </xdr:cNvPr>
        <xdr:cNvCxnSpPr>
          <a:stCxn id="356" idx="3"/>
          <a:endCxn id="341" idx="7"/>
        </xdr:cNvCxnSpPr>
      </xdr:nvCxnSpPr>
      <xdr:spPr>
        <a:xfrm flipH="1">
          <a:off x="5781619" y="10603642"/>
          <a:ext cx="159664" cy="33393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74194</xdr:colOff>
      <xdr:row>66</xdr:row>
      <xdr:rowOff>59729</xdr:rowOff>
    </xdr:from>
    <xdr:to>
      <xdr:col>17</xdr:col>
      <xdr:colOff>181610</xdr:colOff>
      <xdr:row>67</xdr:row>
      <xdr:rowOff>4259</xdr:rowOff>
    </xdr:to>
    <xdr:grpSp>
      <xdr:nvGrpSpPr>
        <xdr:cNvPr id="394" name="Group 393">
          <a:extLst>
            <a:ext uri="{FF2B5EF4-FFF2-40B4-BE49-F238E27FC236}">
              <a16:creationId xmlns:a16="http://schemas.microsoft.com/office/drawing/2014/main" id="{D26A8A4D-8D64-462E-B689-ED9B02185929}"/>
            </a:ext>
          </a:extLst>
        </xdr:cNvPr>
        <xdr:cNvGrpSpPr/>
      </xdr:nvGrpSpPr>
      <xdr:grpSpPr>
        <a:xfrm>
          <a:off x="6103933" y="10123099"/>
          <a:ext cx="107416" cy="936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5" name="Oval 394">
            <a:extLst>
              <a:ext uri="{FF2B5EF4-FFF2-40B4-BE49-F238E27FC236}">
                <a16:creationId xmlns:a16="http://schemas.microsoft.com/office/drawing/2014/main" id="{042AC297-BA45-9247-0F6E-5E6D9D7140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4F363008-AA4A-5523-994E-636A53502B6F}"/>
              </a:ext>
            </a:extLst>
          </xdr:cNvPr>
          <xdr:cNvCxnSpPr>
            <a:stCxn id="395" idx="1"/>
            <a:endCxn id="3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53A7BEBE-73F5-E7DE-8864-9A8736F3AB56}"/>
              </a:ext>
            </a:extLst>
          </xdr:cNvPr>
          <xdr:cNvCxnSpPr>
            <a:stCxn id="395" idx="3"/>
            <a:endCxn id="3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110290</xdr:colOff>
      <xdr:row>61</xdr:row>
      <xdr:rowOff>10457</xdr:rowOff>
    </xdr:from>
    <xdr:to>
      <xdr:col>18</xdr:col>
      <xdr:colOff>217706</xdr:colOff>
      <xdr:row>61</xdr:row>
      <xdr:rowOff>105718</xdr:rowOff>
    </xdr:to>
    <xdr:grpSp>
      <xdr:nvGrpSpPr>
        <xdr:cNvPr id="440" name="Group 439">
          <a:extLst>
            <a:ext uri="{FF2B5EF4-FFF2-40B4-BE49-F238E27FC236}">
              <a16:creationId xmlns:a16="http://schemas.microsoft.com/office/drawing/2014/main" id="{EEEE355D-CA56-4D13-8622-E7C9C1857913}"/>
            </a:ext>
          </a:extLst>
        </xdr:cNvPr>
        <xdr:cNvGrpSpPr/>
      </xdr:nvGrpSpPr>
      <xdr:grpSpPr>
        <a:xfrm>
          <a:off x="6521029" y="9328392"/>
          <a:ext cx="107416" cy="9526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1" name="Oval 440">
            <a:extLst>
              <a:ext uri="{FF2B5EF4-FFF2-40B4-BE49-F238E27FC236}">
                <a16:creationId xmlns:a16="http://schemas.microsoft.com/office/drawing/2014/main" id="{87ECFE78-FB8C-D6DE-CCB0-F3FFC26297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2" name="Straight Connector 441">
            <a:extLst>
              <a:ext uri="{FF2B5EF4-FFF2-40B4-BE49-F238E27FC236}">
                <a16:creationId xmlns:a16="http://schemas.microsoft.com/office/drawing/2014/main" id="{75D24A65-471E-F446-70C2-2C8D68DDD302}"/>
              </a:ext>
            </a:extLst>
          </xdr:cNvPr>
          <xdr:cNvCxnSpPr>
            <a:stCxn id="441" idx="1"/>
            <a:endCxn id="4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0227E1BD-65F8-677D-52D2-E49F0391491B}"/>
              </a:ext>
            </a:extLst>
          </xdr:cNvPr>
          <xdr:cNvCxnSpPr>
            <a:stCxn id="441" idx="3"/>
            <a:endCxn id="4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144517</xdr:colOff>
      <xdr:row>33</xdr:row>
      <xdr:rowOff>137948</xdr:rowOff>
    </xdr:from>
    <xdr:to>
      <xdr:col>18</xdr:col>
      <xdr:colOff>355321</xdr:colOff>
      <xdr:row>37</xdr:row>
      <xdr:rowOff>160788</xdr:rowOff>
    </xdr:to>
    <xdr:sp macro="" textlink="">
      <xdr:nvSpPr>
        <xdr:cNvPr id="483" name="Rectangle 482">
          <a:extLst>
            <a:ext uri="{FF2B5EF4-FFF2-40B4-BE49-F238E27FC236}">
              <a16:creationId xmlns:a16="http://schemas.microsoft.com/office/drawing/2014/main" id="{149897FB-F066-49B4-9227-2F7996F72179}"/>
            </a:ext>
          </a:extLst>
        </xdr:cNvPr>
        <xdr:cNvSpPr/>
      </xdr:nvSpPr>
      <xdr:spPr>
        <a:xfrm>
          <a:off x="6168258" y="5156638"/>
          <a:ext cx="591804" cy="64032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</a:t>
          </a:r>
        </a:p>
        <a:p>
          <a:pPr algn="ctr"/>
          <a:r>
            <a:rPr lang="en-US" sz="600" b="1" u="sng">
              <a:solidFill>
                <a:srgbClr val="FF0000"/>
              </a:solidFill>
            </a:rPr>
            <a:t>77A/8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17</xdr:col>
      <xdr:colOff>57628</xdr:colOff>
      <xdr:row>44</xdr:row>
      <xdr:rowOff>81410</xdr:rowOff>
    </xdr:from>
    <xdr:to>
      <xdr:col>18</xdr:col>
      <xdr:colOff>259566</xdr:colOff>
      <xdr:row>48</xdr:row>
      <xdr:rowOff>70239</xdr:rowOff>
    </xdr:to>
    <xdr:sp macro="" textlink="">
      <xdr:nvSpPr>
        <xdr:cNvPr id="485" name="Rectangle 484">
          <a:extLst>
            <a:ext uri="{FF2B5EF4-FFF2-40B4-BE49-F238E27FC236}">
              <a16:creationId xmlns:a16="http://schemas.microsoft.com/office/drawing/2014/main" id="{19F51017-3FD8-4BA2-B05F-D10BDCE91CA5}"/>
            </a:ext>
          </a:extLst>
        </xdr:cNvPr>
        <xdr:cNvSpPr/>
      </xdr:nvSpPr>
      <xdr:spPr>
        <a:xfrm rot="358956">
          <a:off x="6082871" y="6830553"/>
          <a:ext cx="582938" cy="60931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SYG01-77/10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6062</xdr:colOff>
      <xdr:row>40</xdr:row>
      <xdr:rowOff>128052</xdr:rowOff>
    </xdr:from>
    <xdr:to>
      <xdr:col>20</xdr:col>
      <xdr:colOff>162243</xdr:colOff>
      <xdr:row>42</xdr:row>
      <xdr:rowOff>147689</xdr:rowOff>
    </xdr:to>
    <xdr:cxnSp macro="">
      <xdr:nvCxnSpPr>
        <xdr:cNvPr id="486" name="Straight Connector 485">
          <a:extLst>
            <a:ext uri="{FF2B5EF4-FFF2-40B4-BE49-F238E27FC236}">
              <a16:creationId xmlns:a16="http://schemas.microsoft.com/office/drawing/2014/main" id="{5ADDB2F7-B9C2-4E7F-BFEE-548200E4AC18}"/>
            </a:ext>
          </a:extLst>
        </xdr:cNvPr>
        <xdr:cNvCxnSpPr>
          <a:stCxn id="316" idx="2"/>
          <a:endCxn id="233" idx="5"/>
        </xdr:cNvCxnSpPr>
      </xdr:nvCxnSpPr>
      <xdr:spPr>
        <a:xfrm flipH="1" flipV="1">
          <a:off x="6791803" y="6230621"/>
          <a:ext cx="537181" cy="321809"/>
        </a:xfrm>
        <a:prstGeom prst="line">
          <a:avLst/>
        </a:prstGeom>
        <a:ln w="63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104488</xdr:colOff>
      <xdr:row>41</xdr:row>
      <xdr:rowOff>120909</xdr:rowOff>
    </xdr:from>
    <xdr:to>
      <xdr:col>19</xdr:col>
      <xdr:colOff>242714</xdr:colOff>
      <xdr:row>42</xdr:row>
      <xdr:rowOff>130678</xdr:rowOff>
    </xdr:to>
    <xdr:grpSp>
      <xdr:nvGrpSpPr>
        <xdr:cNvPr id="489" name="Group 488">
          <a:extLst>
            <a:ext uri="{FF2B5EF4-FFF2-40B4-BE49-F238E27FC236}">
              <a16:creationId xmlns:a16="http://schemas.microsoft.com/office/drawing/2014/main" id="{B1DF9646-E221-4C4D-A9FE-34694CB5D584}"/>
            </a:ext>
          </a:extLst>
        </xdr:cNvPr>
        <xdr:cNvGrpSpPr/>
      </xdr:nvGrpSpPr>
      <xdr:grpSpPr>
        <a:xfrm rot="2028823">
          <a:off x="6896227" y="6308018"/>
          <a:ext cx="138226" cy="158856"/>
          <a:chOff x="704537" y="3681605"/>
          <a:chExt cx="141199" cy="169566"/>
        </a:xfrm>
      </xdr:grpSpPr>
      <xdr:cxnSp macro="">
        <xdr:nvCxnSpPr>
          <xdr:cNvPr id="490" name="Straight Connector 489">
            <a:extLst>
              <a:ext uri="{FF2B5EF4-FFF2-40B4-BE49-F238E27FC236}">
                <a16:creationId xmlns:a16="http://schemas.microsoft.com/office/drawing/2014/main" id="{3FF5FF5F-64AD-A485-ABB9-D140417C183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1" name="Straight Connector 490">
            <a:extLst>
              <a:ext uri="{FF2B5EF4-FFF2-40B4-BE49-F238E27FC236}">
                <a16:creationId xmlns:a16="http://schemas.microsoft.com/office/drawing/2014/main" id="{A058EDDD-E6DE-8B6E-0EF9-DD590218B541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45984</xdr:colOff>
      <xdr:row>50</xdr:row>
      <xdr:rowOff>131380</xdr:rowOff>
    </xdr:from>
    <xdr:to>
      <xdr:col>20</xdr:col>
      <xdr:colOff>247922</xdr:colOff>
      <xdr:row>54</xdr:row>
      <xdr:rowOff>21675</xdr:rowOff>
    </xdr:to>
    <xdr:sp macro="" textlink="">
      <xdr:nvSpPr>
        <xdr:cNvPr id="495" name="Rectangle 494">
          <a:extLst>
            <a:ext uri="{FF2B5EF4-FFF2-40B4-BE49-F238E27FC236}">
              <a16:creationId xmlns:a16="http://schemas.microsoft.com/office/drawing/2014/main" id="{DA8D529C-C670-44E9-8543-C229CF008072}"/>
            </a:ext>
          </a:extLst>
        </xdr:cNvPr>
        <xdr:cNvSpPr/>
      </xdr:nvSpPr>
      <xdr:spPr>
        <a:xfrm rot="318129">
          <a:off x="6833227" y="7805809"/>
          <a:ext cx="582938" cy="60875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SYG01-77/11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endParaRPr lang="en-US" sz="600">
            <a:solidFill>
              <a:srgbClr val="FF0000"/>
            </a:solidFill>
          </a:endParaRPr>
        </a:p>
        <a:p>
          <a:pPr algn="l"/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243053</xdr:colOff>
      <xdr:row>50</xdr:row>
      <xdr:rowOff>131379</xdr:rowOff>
    </xdr:from>
    <xdr:to>
      <xdr:col>19</xdr:col>
      <xdr:colOff>279</xdr:colOff>
      <xdr:row>51</xdr:row>
      <xdr:rowOff>42612</xdr:rowOff>
    </xdr:to>
    <xdr:grpSp>
      <xdr:nvGrpSpPr>
        <xdr:cNvPr id="496" name="Group 495">
          <a:extLst>
            <a:ext uri="{FF2B5EF4-FFF2-40B4-BE49-F238E27FC236}">
              <a16:creationId xmlns:a16="http://schemas.microsoft.com/office/drawing/2014/main" id="{97E08506-9B5A-40B8-91BE-55559AA80D48}"/>
            </a:ext>
          </a:extLst>
        </xdr:cNvPr>
        <xdr:cNvGrpSpPr/>
      </xdr:nvGrpSpPr>
      <xdr:grpSpPr>
        <a:xfrm rot="2028823">
          <a:off x="6653792" y="7676836"/>
          <a:ext cx="138226" cy="159711"/>
          <a:chOff x="704537" y="3681605"/>
          <a:chExt cx="141199" cy="169566"/>
        </a:xfrm>
      </xdr:grpSpPr>
      <xdr:cxnSp macro="">
        <xdr:nvCxnSpPr>
          <xdr:cNvPr id="497" name="Straight Connector 496">
            <a:extLst>
              <a:ext uri="{FF2B5EF4-FFF2-40B4-BE49-F238E27FC236}">
                <a16:creationId xmlns:a16="http://schemas.microsoft.com/office/drawing/2014/main" id="{4E21AFAE-F5EE-8B4F-8263-4CB31A1D9948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8" name="Straight Connector 497">
            <a:extLst>
              <a:ext uri="{FF2B5EF4-FFF2-40B4-BE49-F238E27FC236}">
                <a16:creationId xmlns:a16="http://schemas.microsoft.com/office/drawing/2014/main" id="{DDC2A1FD-9ED0-C575-6921-A627C0912BAB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6569</xdr:colOff>
      <xdr:row>40</xdr:row>
      <xdr:rowOff>112334</xdr:rowOff>
    </xdr:from>
    <xdr:to>
      <xdr:col>19</xdr:col>
      <xdr:colOff>203638</xdr:colOff>
      <xdr:row>41</xdr:row>
      <xdr:rowOff>19707</xdr:rowOff>
    </xdr:to>
    <xdr:cxnSp macro="">
      <xdr:nvCxnSpPr>
        <xdr:cNvPr id="499" name="Straight Arrow Connector 498">
          <a:extLst>
            <a:ext uri="{FF2B5EF4-FFF2-40B4-BE49-F238E27FC236}">
              <a16:creationId xmlns:a16="http://schemas.microsoft.com/office/drawing/2014/main" id="{DEE016FD-3702-4D16-B9C1-33AC165AD15C}"/>
            </a:ext>
          </a:extLst>
        </xdr:cNvPr>
        <xdr:cNvCxnSpPr>
          <a:cxnSpLocks/>
        </xdr:cNvCxnSpPr>
      </xdr:nvCxnSpPr>
      <xdr:spPr>
        <a:xfrm>
          <a:off x="6792310" y="6214903"/>
          <a:ext cx="197069" cy="584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272142</xdr:colOff>
      <xdr:row>59</xdr:row>
      <xdr:rowOff>70758</xdr:rowOff>
    </xdr:from>
    <xdr:to>
      <xdr:col>21</xdr:col>
      <xdr:colOff>28953</xdr:colOff>
      <xdr:row>62</xdr:row>
      <xdr:rowOff>63913</xdr:rowOff>
    </xdr:to>
    <xdr:sp macro="" textlink="">
      <xdr:nvSpPr>
        <xdr:cNvPr id="510" name="Rectangle 509">
          <a:extLst>
            <a:ext uri="{FF2B5EF4-FFF2-40B4-BE49-F238E27FC236}">
              <a16:creationId xmlns:a16="http://schemas.microsoft.com/office/drawing/2014/main" id="{09F1865F-5580-45F9-8DAD-47EB422C0788}"/>
            </a:ext>
          </a:extLst>
        </xdr:cNvPr>
        <xdr:cNvSpPr/>
      </xdr:nvSpPr>
      <xdr:spPr>
        <a:xfrm rot="560327">
          <a:off x="6678385" y="9236529"/>
          <a:ext cx="899811" cy="45035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600">
              <a:solidFill>
                <a:schemeClr val="tx1"/>
              </a:solidFill>
            </a:rPr>
            <a:t>MAKAM</a:t>
          </a:r>
          <a:endParaRPr lang="en-US" sz="600" strike="sng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59871</xdr:colOff>
      <xdr:row>64</xdr:row>
      <xdr:rowOff>27214</xdr:rowOff>
    </xdr:from>
    <xdr:to>
      <xdr:col>18</xdr:col>
      <xdr:colOff>167287</xdr:colOff>
      <xdr:row>64</xdr:row>
      <xdr:rowOff>121354</xdr:rowOff>
    </xdr:to>
    <xdr:grpSp>
      <xdr:nvGrpSpPr>
        <xdr:cNvPr id="537" name="Group 536">
          <a:extLst>
            <a:ext uri="{FF2B5EF4-FFF2-40B4-BE49-F238E27FC236}">
              <a16:creationId xmlns:a16="http://schemas.microsoft.com/office/drawing/2014/main" id="{3A2EAC6D-8E27-489A-BC27-8A6B7D858ED0}"/>
            </a:ext>
          </a:extLst>
        </xdr:cNvPr>
        <xdr:cNvGrpSpPr/>
      </xdr:nvGrpSpPr>
      <xdr:grpSpPr>
        <a:xfrm>
          <a:off x="6470610" y="9792410"/>
          <a:ext cx="107416" cy="941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38" name="Oval 537">
            <a:extLst>
              <a:ext uri="{FF2B5EF4-FFF2-40B4-BE49-F238E27FC236}">
                <a16:creationId xmlns:a16="http://schemas.microsoft.com/office/drawing/2014/main" id="{CFF191F9-06C0-68B7-CB6D-0B9E4AF8A7A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9" name="Straight Connector 538">
            <a:extLst>
              <a:ext uri="{FF2B5EF4-FFF2-40B4-BE49-F238E27FC236}">
                <a16:creationId xmlns:a16="http://schemas.microsoft.com/office/drawing/2014/main" id="{E755D0BE-FAF4-73C5-3FFB-9199BEDB7098}"/>
              </a:ext>
            </a:extLst>
          </xdr:cNvPr>
          <xdr:cNvCxnSpPr>
            <a:stCxn id="538" idx="1"/>
            <a:endCxn id="5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1" name="Straight Connector 540">
            <a:extLst>
              <a:ext uri="{FF2B5EF4-FFF2-40B4-BE49-F238E27FC236}">
                <a16:creationId xmlns:a16="http://schemas.microsoft.com/office/drawing/2014/main" id="{0214A2FF-0A07-B621-E154-67FED1174136}"/>
              </a:ext>
            </a:extLst>
          </xdr:cNvPr>
          <xdr:cNvCxnSpPr>
            <a:stCxn id="538" idx="3"/>
            <a:endCxn id="5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50656</xdr:colOff>
      <xdr:row>65</xdr:row>
      <xdr:rowOff>86478</xdr:rowOff>
    </xdr:from>
    <xdr:to>
      <xdr:col>18</xdr:col>
      <xdr:colOff>32451</xdr:colOff>
      <xdr:row>66</xdr:row>
      <xdr:rowOff>14851</xdr:rowOff>
    </xdr:to>
    <xdr:cxnSp macro="">
      <xdr:nvCxnSpPr>
        <xdr:cNvPr id="557" name="Straight Connector 556">
          <a:extLst>
            <a:ext uri="{FF2B5EF4-FFF2-40B4-BE49-F238E27FC236}">
              <a16:creationId xmlns:a16="http://schemas.microsoft.com/office/drawing/2014/main" id="{78BE6D4A-7D92-4AD7-A3C6-75A9960783BC}"/>
            </a:ext>
          </a:extLst>
        </xdr:cNvPr>
        <xdr:cNvCxnSpPr>
          <a:stCxn id="328" idx="1"/>
          <a:endCxn id="419" idx="6"/>
        </xdr:cNvCxnSpPr>
      </xdr:nvCxnSpPr>
      <xdr:spPr>
        <a:xfrm flipH="1">
          <a:off x="6075899" y="10166649"/>
          <a:ext cx="362795" cy="80773"/>
        </a:xfrm>
        <a:prstGeom prst="line">
          <a:avLst/>
        </a:prstGeom>
        <a:ln w="63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353786</xdr:colOff>
      <xdr:row>66</xdr:row>
      <xdr:rowOff>142464</xdr:rowOff>
    </xdr:from>
    <xdr:to>
      <xdr:col>17</xdr:col>
      <xdr:colOff>89925</xdr:colOff>
      <xdr:row>68</xdr:row>
      <xdr:rowOff>145971</xdr:rowOff>
    </xdr:to>
    <xdr:cxnSp macro="">
      <xdr:nvCxnSpPr>
        <xdr:cNvPr id="562" name="Straight Connector 561">
          <a:extLst>
            <a:ext uri="{FF2B5EF4-FFF2-40B4-BE49-F238E27FC236}">
              <a16:creationId xmlns:a16="http://schemas.microsoft.com/office/drawing/2014/main" id="{F1C9EC48-0F7E-419A-8C9D-1597D72B44C7}"/>
            </a:ext>
          </a:extLst>
        </xdr:cNvPr>
        <xdr:cNvCxnSpPr>
          <a:stCxn id="395" idx="3"/>
        </xdr:cNvCxnSpPr>
      </xdr:nvCxnSpPr>
      <xdr:spPr>
        <a:xfrm flipH="1">
          <a:off x="5998029" y="10375035"/>
          <a:ext cx="117139" cy="30830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5443</xdr:colOff>
      <xdr:row>66</xdr:row>
      <xdr:rowOff>32657</xdr:rowOff>
    </xdr:from>
    <xdr:to>
      <xdr:col>18</xdr:col>
      <xdr:colOff>105706</xdr:colOff>
      <xdr:row>66</xdr:row>
      <xdr:rowOff>147960</xdr:rowOff>
    </xdr:to>
    <xdr:sp macro="" textlink="">
      <xdr:nvSpPr>
        <xdr:cNvPr id="564" name="Isosceles Triangle 563">
          <a:extLst>
            <a:ext uri="{FF2B5EF4-FFF2-40B4-BE49-F238E27FC236}">
              <a16:creationId xmlns:a16="http://schemas.microsoft.com/office/drawing/2014/main" id="{A4F4CF3E-65FF-404E-B157-977D83049291}"/>
            </a:ext>
          </a:extLst>
        </xdr:cNvPr>
        <xdr:cNvSpPr/>
      </xdr:nvSpPr>
      <xdr:spPr>
        <a:xfrm>
          <a:off x="6411686" y="10265228"/>
          <a:ext cx="100263" cy="11530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310243</xdr:colOff>
      <xdr:row>63</xdr:row>
      <xdr:rowOff>108857</xdr:rowOff>
    </xdr:from>
    <xdr:to>
      <xdr:col>18</xdr:col>
      <xdr:colOff>29506</xdr:colOff>
      <xdr:row>64</xdr:row>
      <xdr:rowOff>71760</xdr:rowOff>
    </xdr:to>
    <xdr:sp macro="" textlink="">
      <xdr:nvSpPr>
        <xdr:cNvPr id="565" name="Isosceles Triangle 564">
          <a:extLst>
            <a:ext uri="{FF2B5EF4-FFF2-40B4-BE49-F238E27FC236}">
              <a16:creationId xmlns:a16="http://schemas.microsoft.com/office/drawing/2014/main" id="{046BE2CC-2A04-449D-8E8F-B2B94AAEF8CD}"/>
            </a:ext>
          </a:extLst>
        </xdr:cNvPr>
        <xdr:cNvSpPr/>
      </xdr:nvSpPr>
      <xdr:spPr>
        <a:xfrm>
          <a:off x="6335486" y="9884228"/>
          <a:ext cx="100263" cy="11530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134269</xdr:colOff>
      <xdr:row>56</xdr:row>
      <xdr:rowOff>83321</xdr:rowOff>
    </xdr:from>
    <xdr:to>
      <xdr:col>20</xdr:col>
      <xdr:colOff>247171</xdr:colOff>
      <xdr:row>59</xdr:row>
      <xdr:rowOff>112435</xdr:rowOff>
    </xdr:to>
    <xdr:sp macro="" textlink="">
      <xdr:nvSpPr>
        <xdr:cNvPr id="567" name="Rectangle 566">
          <a:extLst>
            <a:ext uri="{FF2B5EF4-FFF2-40B4-BE49-F238E27FC236}">
              <a16:creationId xmlns:a16="http://schemas.microsoft.com/office/drawing/2014/main" id="{C12E02C9-F7F2-45CC-8058-FA5517ED6487}"/>
            </a:ext>
          </a:extLst>
        </xdr:cNvPr>
        <xdr:cNvSpPr/>
      </xdr:nvSpPr>
      <xdr:spPr>
        <a:xfrm rot="318129">
          <a:off x="6919000" y="8846321"/>
          <a:ext cx="493902" cy="49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358716</xdr:colOff>
      <xdr:row>56</xdr:row>
      <xdr:rowOff>103842</xdr:rowOff>
    </xdr:from>
    <xdr:to>
      <xdr:col>16</xdr:col>
      <xdr:colOff>92691</xdr:colOff>
      <xdr:row>59</xdr:row>
      <xdr:rowOff>134587</xdr:rowOff>
    </xdr:to>
    <xdr:sp macro="" textlink="">
      <xdr:nvSpPr>
        <xdr:cNvPr id="568" name="Rectangle 567">
          <a:extLst>
            <a:ext uri="{FF2B5EF4-FFF2-40B4-BE49-F238E27FC236}">
              <a16:creationId xmlns:a16="http://schemas.microsoft.com/office/drawing/2014/main" id="{3520D35C-0CD4-4FB8-9045-F476D4442D86}"/>
            </a:ext>
          </a:extLst>
        </xdr:cNvPr>
        <xdr:cNvSpPr/>
      </xdr:nvSpPr>
      <xdr:spPr>
        <a:xfrm>
          <a:off x="5238447" y="8866842"/>
          <a:ext cx="495975" cy="49234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SYG01-77/13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305859</xdr:colOff>
      <xdr:row>60</xdr:row>
      <xdr:rowOff>122344</xdr:rowOff>
    </xdr:from>
    <xdr:to>
      <xdr:col>16</xdr:col>
      <xdr:colOff>31703</xdr:colOff>
      <xdr:row>65</xdr:row>
      <xdr:rowOff>16288</xdr:rowOff>
    </xdr:to>
    <xdr:sp macro="" textlink="">
      <xdr:nvSpPr>
        <xdr:cNvPr id="569" name="Rectangle 568">
          <a:extLst>
            <a:ext uri="{FF2B5EF4-FFF2-40B4-BE49-F238E27FC236}">
              <a16:creationId xmlns:a16="http://schemas.microsoft.com/office/drawing/2014/main" id="{9D7D21A4-3509-48D6-B4A1-6B576E8A5B29}"/>
            </a:ext>
          </a:extLst>
        </xdr:cNvPr>
        <xdr:cNvSpPr/>
      </xdr:nvSpPr>
      <xdr:spPr>
        <a:xfrm>
          <a:off x="5185590" y="9500806"/>
          <a:ext cx="487844" cy="66327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SYG01-77/14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CC8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500">
              <a:solidFill>
                <a:srgbClr val="FF0000"/>
              </a:solidFill>
            </a:rPr>
            <a:t>2 CM2-11M</a:t>
          </a: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128602</xdr:colOff>
      <xdr:row>65</xdr:row>
      <xdr:rowOff>74245</xdr:rowOff>
    </xdr:from>
    <xdr:to>
      <xdr:col>15</xdr:col>
      <xdr:colOff>208432</xdr:colOff>
      <xdr:row>69</xdr:row>
      <xdr:rowOff>14215</xdr:rowOff>
    </xdr:to>
    <xdr:sp macro="" textlink="">
      <xdr:nvSpPr>
        <xdr:cNvPr id="571" name="Rectangle 570">
          <a:extLst>
            <a:ext uri="{FF2B5EF4-FFF2-40B4-BE49-F238E27FC236}">
              <a16:creationId xmlns:a16="http://schemas.microsoft.com/office/drawing/2014/main" id="{7F1DA8BF-15F6-4AC8-A1AA-82DAF1F1D18B}"/>
            </a:ext>
          </a:extLst>
        </xdr:cNvPr>
        <xdr:cNvSpPr/>
      </xdr:nvSpPr>
      <xdr:spPr>
        <a:xfrm>
          <a:off x="5008333" y="10222033"/>
          <a:ext cx="460830" cy="55543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SYG01-77/15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169985</xdr:colOff>
      <xdr:row>69</xdr:row>
      <xdr:rowOff>47102</xdr:rowOff>
    </xdr:from>
    <xdr:to>
      <xdr:col>19</xdr:col>
      <xdr:colOff>249815</xdr:colOff>
      <xdr:row>72</xdr:row>
      <xdr:rowOff>139473</xdr:rowOff>
    </xdr:to>
    <xdr:sp macro="" textlink="">
      <xdr:nvSpPr>
        <xdr:cNvPr id="572" name="Rectangle 571">
          <a:extLst>
            <a:ext uri="{FF2B5EF4-FFF2-40B4-BE49-F238E27FC236}">
              <a16:creationId xmlns:a16="http://schemas.microsoft.com/office/drawing/2014/main" id="{1058FC41-0590-4722-AB89-509C76E52EAC}"/>
            </a:ext>
          </a:extLst>
        </xdr:cNvPr>
        <xdr:cNvSpPr/>
      </xdr:nvSpPr>
      <xdr:spPr>
        <a:xfrm>
          <a:off x="6573716" y="10810352"/>
          <a:ext cx="460830" cy="55396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SYG01-77/16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46969</xdr:colOff>
      <xdr:row>73</xdr:row>
      <xdr:rowOff>90046</xdr:rowOff>
    </xdr:from>
    <xdr:to>
      <xdr:col>18</xdr:col>
      <xdr:colOff>153864</xdr:colOff>
      <xdr:row>77</xdr:row>
      <xdr:rowOff>124558</xdr:rowOff>
    </xdr:to>
    <xdr:sp macro="" textlink="">
      <xdr:nvSpPr>
        <xdr:cNvPr id="574" name="Rectangle 573">
          <a:extLst>
            <a:ext uri="{FF2B5EF4-FFF2-40B4-BE49-F238E27FC236}">
              <a16:creationId xmlns:a16="http://schemas.microsoft.com/office/drawing/2014/main" id="{A1E75B42-FE98-483B-AD22-358D0AB74FCC}"/>
            </a:ext>
          </a:extLst>
        </xdr:cNvPr>
        <xdr:cNvSpPr/>
      </xdr:nvSpPr>
      <xdr:spPr>
        <a:xfrm>
          <a:off x="6069700" y="11468758"/>
          <a:ext cx="487895" cy="64997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SYG01-77/17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3 CM5-6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CM2-11M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367861</xdr:colOff>
      <xdr:row>74</xdr:row>
      <xdr:rowOff>65690</xdr:rowOff>
    </xdr:from>
    <xdr:to>
      <xdr:col>14</xdr:col>
      <xdr:colOff>175254</xdr:colOff>
      <xdr:row>78</xdr:row>
      <xdr:rowOff>146685</xdr:rowOff>
    </xdr:to>
    <xdr:sp macro="" textlink="">
      <xdr:nvSpPr>
        <xdr:cNvPr id="575" name="Rectangle 574">
          <a:extLst>
            <a:ext uri="{FF2B5EF4-FFF2-40B4-BE49-F238E27FC236}">
              <a16:creationId xmlns:a16="http://schemas.microsoft.com/office/drawing/2014/main" id="{DE470834-29D3-42AD-A010-ED0F8B07FD3B}"/>
            </a:ext>
          </a:extLst>
        </xdr:cNvPr>
        <xdr:cNvSpPr/>
      </xdr:nvSpPr>
      <xdr:spPr>
        <a:xfrm>
          <a:off x="4486602" y="11443138"/>
          <a:ext cx="569393" cy="6853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>
              <a:solidFill>
                <a:schemeClr val="tx1"/>
              </a:solidFill>
            </a:rPr>
            <a:t>SYG01-77/19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C11-100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</xdr:txBody>
    </xdr:sp>
    <xdr:clientData/>
  </xdr:twoCellAnchor>
  <xdr:twoCellAnchor>
    <xdr:from>
      <xdr:col>16</xdr:col>
      <xdr:colOff>254421</xdr:colOff>
      <xdr:row>80</xdr:row>
      <xdr:rowOff>118242</xdr:rowOff>
    </xdr:from>
    <xdr:to>
      <xdr:col>17</xdr:col>
      <xdr:colOff>334251</xdr:colOff>
      <xdr:row>84</xdr:row>
      <xdr:rowOff>58211</xdr:rowOff>
    </xdr:to>
    <xdr:sp macro="" textlink="">
      <xdr:nvSpPr>
        <xdr:cNvPr id="576" name="Rectangle 575">
          <a:extLst>
            <a:ext uri="{FF2B5EF4-FFF2-40B4-BE49-F238E27FC236}">
              <a16:creationId xmlns:a16="http://schemas.microsoft.com/office/drawing/2014/main" id="{EAF3CFDC-B5E1-4C1F-A4AA-93381FF5DFE1}"/>
            </a:ext>
          </a:extLst>
        </xdr:cNvPr>
        <xdr:cNvSpPr/>
      </xdr:nvSpPr>
      <xdr:spPr>
        <a:xfrm>
          <a:off x="5896152" y="12574011"/>
          <a:ext cx="460830" cy="55543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32845</xdr:colOff>
      <xdr:row>79</xdr:row>
      <xdr:rowOff>13139</xdr:rowOff>
    </xdr:from>
    <xdr:to>
      <xdr:col>14</xdr:col>
      <xdr:colOff>154505</xdr:colOff>
      <xdr:row>80</xdr:row>
      <xdr:rowOff>22905</xdr:rowOff>
    </xdr:to>
    <xdr:grpSp>
      <xdr:nvGrpSpPr>
        <xdr:cNvPr id="577" name="Group 576">
          <a:extLst>
            <a:ext uri="{FF2B5EF4-FFF2-40B4-BE49-F238E27FC236}">
              <a16:creationId xmlns:a16="http://schemas.microsoft.com/office/drawing/2014/main" id="{8F874F77-0A7E-445E-8603-18DB6EF4012B}"/>
            </a:ext>
          </a:extLst>
        </xdr:cNvPr>
        <xdr:cNvGrpSpPr/>
      </xdr:nvGrpSpPr>
      <xdr:grpSpPr>
        <a:xfrm rot="2028823">
          <a:off x="4919584" y="12014639"/>
          <a:ext cx="121660" cy="158853"/>
          <a:chOff x="704537" y="3681605"/>
          <a:chExt cx="141199" cy="169566"/>
        </a:xfrm>
      </xdr:grpSpPr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CC166A84-BCF9-B885-5636-D739CFCECB62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78">
            <a:extLst>
              <a:ext uri="{FF2B5EF4-FFF2-40B4-BE49-F238E27FC236}">
                <a16:creationId xmlns:a16="http://schemas.microsoft.com/office/drawing/2014/main" id="{2325D706-94E7-4B35-1404-1AFF21AFFBA6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244366</xdr:colOff>
      <xdr:row>80</xdr:row>
      <xdr:rowOff>145831</xdr:rowOff>
    </xdr:from>
    <xdr:to>
      <xdr:col>13</xdr:col>
      <xdr:colOff>366026</xdr:colOff>
      <xdr:row>82</xdr:row>
      <xdr:rowOff>4512</xdr:rowOff>
    </xdr:to>
    <xdr:grpSp>
      <xdr:nvGrpSpPr>
        <xdr:cNvPr id="580" name="Group 579">
          <a:extLst>
            <a:ext uri="{FF2B5EF4-FFF2-40B4-BE49-F238E27FC236}">
              <a16:creationId xmlns:a16="http://schemas.microsoft.com/office/drawing/2014/main" id="{0AB57755-360F-4222-B483-569D8A04F579}"/>
            </a:ext>
          </a:extLst>
        </xdr:cNvPr>
        <xdr:cNvGrpSpPr/>
      </xdr:nvGrpSpPr>
      <xdr:grpSpPr>
        <a:xfrm rot="2028823">
          <a:off x="4750105" y="12296418"/>
          <a:ext cx="121660" cy="156855"/>
          <a:chOff x="704537" y="3681605"/>
          <a:chExt cx="141199" cy="169566"/>
        </a:xfrm>
      </xdr:grpSpPr>
      <xdr:cxnSp macro="">
        <xdr:nvCxnSpPr>
          <xdr:cNvPr id="581" name="Straight Connector 580">
            <a:extLst>
              <a:ext uri="{FF2B5EF4-FFF2-40B4-BE49-F238E27FC236}">
                <a16:creationId xmlns:a16="http://schemas.microsoft.com/office/drawing/2014/main" id="{A9606FE0-B313-70F7-6B3F-AAD338B4FAF2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5B9F1A77-74EE-0D4B-3BC6-BC144521C03A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144518</xdr:colOff>
      <xdr:row>82</xdr:row>
      <xdr:rowOff>59121</xdr:rowOff>
    </xdr:from>
    <xdr:to>
      <xdr:col>13</xdr:col>
      <xdr:colOff>266178</xdr:colOff>
      <xdr:row>83</xdr:row>
      <xdr:rowOff>68888</xdr:rowOff>
    </xdr:to>
    <xdr:grpSp>
      <xdr:nvGrpSpPr>
        <xdr:cNvPr id="583" name="Group 582">
          <a:extLst>
            <a:ext uri="{FF2B5EF4-FFF2-40B4-BE49-F238E27FC236}">
              <a16:creationId xmlns:a16="http://schemas.microsoft.com/office/drawing/2014/main" id="{D2677F13-DC83-49F8-BC03-4CE9857A3A15}"/>
            </a:ext>
          </a:extLst>
        </xdr:cNvPr>
        <xdr:cNvGrpSpPr/>
      </xdr:nvGrpSpPr>
      <xdr:grpSpPr>
        <a:xfrm rot="2028823">
          <a:off x="4650257" y="12507882"/>
          <a:ext cx="121660" cy="158854"/>
          <a:chOff x="704537" y="3681605"/>
          <a:chExt cx="141199" cy="169566"/>
        </a:xfrm>
      </xdr:grpSpPr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3048D34D-03DF-ADCC-D938-20EDF52F8B3A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01DC113F-0D67-E5FA-A269-C2B7030C36BF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296918</xdr:colOff>
      <xdr:row>83</xdr:row>
      <xdr:rowOff>60435</xdr:rowOff>
    </xdr:from>
    <xdr:to>
      <xdr:col>14</xdr:col>
      <xdr:colOff>37578</xdr:colOff>
      <xdr:row>84</xdr:row>
      <xdr:rowOff>70202</xdr:rowOff>
    </xdr:to>
    <xdr:grpSp>
      <xdr:nvGrpSpPr>
        <xdr:cNvPr id="589" name="Group 588">
          <a:extLst>
            <a:ext uri="{FF2B5EF4-FFF2-40B4-BE49-F238E27FC236}">
              <a16:creationId xmlns:a16="http://schemas.microsoft.com/office/drawing/2014/main" id="{445F300D-8900-4616-AC3A-F83E885354FC}"/>
            </a:ext>
          </a:extLst>
        </xdr:cNvPr>
        <xdr:cNvGrpSpPr/>
      </xdr:nvGrpSpPr>
      <xdr:grpSpPr>
        <a:xfrm rot="2028823">
          <a:off x="4802657" y="12658283"/>
          <a:ext cx="121660" cy="158854"/>
          <a:chOff x="704537" y="3681605"/>
          <a:chExt cx="141199" cy="169566"/>
        </a:xfrm>
      </xdr:grpSpPr>
      <xdr:cxnSp macro="">
        <xdr:nvCxnSpPr>
          <xdr:cNvPr id="590" name="Straight Connector 589">
            <a:extLst>
              <a:ext uri="{FF2B5EF4-FFF2-40B4-BE49-F238E27FC236}">
                <a16:creationId xmlns:a16="http://schemas.microsoft.com/office/drawing/2014/main" id="{A0AE4788-EFBC-C82C-97A2-8D8E411CCF9C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1" name="Straight Connector 590">
            <a:extLst>
              <a:ext uri="{FF2B5EF4-FFF2-40B4-BE49-F238E27FC236}">
                <a16:creationId xmlns:a16="http://schemas.microsoft.com/office/drawing/2014/main" id="{0631EC32-1FFC-8A8E-3A05-EC260D13B06C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289035</xdr:colOff>
      <xdr:row>84</xdr:row>
      <xdr:rowOff>78828</xdr:rowOff>
    </xdr:from>
    <xdr:to>
      <xdr:col>13</xdr:col>
      <xdr:colOff>29695</xdr:colOff>
      <xdr:row>85</xdr:row>
      <xdr:rowOff>88594</xdr:rowOff>
    </xdr:to>
    <xdr:grpSp>
      <xdr:nvGrpSpPr>
        <xdr:cNvPr id="592" name="Group 591">
          <a:extLst>
            <a:ext uri="{FF2B5EF4-FFF2-40B4-BE49-F238E27FC236}">
              <a16:creationId xmlns:a16="http://schemas.microsoft.com/office/drawing/2014/main" id="{AE01F9BC-7F88-493C-962F-51C7129AE9BE}"/>
            </a:ext>
          </a:extLst>
        </xdr:cNvPr>
        <xdr:cNvGrpSpPr/>
      </xdr:nvGrpSpPr>
      <xdr:grpSpPr>
        <a:xfrm rot="2028823">
          <a:off x="4413774" y="12825763"/>
          <a:ext cx="121660" cy="158853"/>
          <a:chOff x="704537" y="3681605"/>
          <a:chExt cx="141199" cy="169566"/>
        </a:xfrm>
      </xdr:grpSpPr>
      <xdr:cxnSp macro="">
        <xdr:nvCxnSpPr>
          <xdr:cNvPr id="593" name="Straight Connector 592">
            <a:extLst>
              <a:ext uri="{FF2B5EF4-FFF2-40B4-BE49-F238E27FC236}">
                <a16:creationId xmlns:a16="http://schemas.microsoft.com/office/drawing/2014/main" id="{49ABA3AF-6E30-8650-2E93-D883F55596A7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5" name="Straight Connector 674">
            <a:extLst>
              <a:ext uri="{FF2B5EF4-FFF2-40B4-BE49-F238E27FC236}">
                <a16:creationId xmlns:a16="http://schemas.microsoft.com/office/drawing/2014/main" id="{636ED1E4-C8D6-9DB2-B38C-5E774DEE3F35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139264</xdr:colOff>
      <xdr:row>85</xdr:row>
      <xdr:rowOff>119554</xdr:rowOff>
    </xdr:from>
    <xdr:to>
      <xdr:col>12</xdr:col>
      <xdr:colOff>260924</xdr:colOff>
      <xdr:row>86</xdr:row>
      <xdr:rowOff>129321</xdr:rowOff>
    </xdr:to>
    <xdr:grpSp>
      <xdr:nvGrpSpPr>
        <xdr:cNvPr id="676" name="Group 675">
          <a:extLst>
            <a:ext uri="{FF2B5EF4-FFF2-40B4-BE49-F238E27FC236}">
              <a16:creationId xmlns:a16="http://schemas.microsoft.com/office/drawing/2014/main" id="{7306B024-ABA4-4469-A7D2-84F0A57F6F04}"/>
            </a:ext>
          </a:extLst>
        </xdr:cNvPr>
        <xdr:cNvGrpSpPr/>
      </xdr:nvGrpSpPr>
      <xdr:grpSpPr>
        <a:xfrm rot="2028823">
          <a:off x="4264003" y="13015576"/>
          <a:ext cx="121660" cy="158854"/>
          <a:chOff x="704537" y="3681605"/>
          <a:chExt cx="141199" cy="169566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5904774E-D8FB-4C46-B781-36F9536C91DD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3" name="Straight Connector 692">
            <a:extLst>
              <a:ext uri="{FF2B5EF4-FFF2-40B4-BE49-F238E27FC236}">
                <a16:creationId xmlns:a16="http://schemas.microsoft.com/office/drawing/2014/main" id="{E8C566AE-139C-0640-6035-3F02FAC09F73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308741</xdr:colOff>
      <xdr:row>88</xdr:row>
      <xdr:rowOff>59121</xdr:rowOff>
    </xdr:from>
    <xdr:to>
      <xdr:col>12</xdr:col>
      <xdr:colOff>49401</xdr:colOff>
      <xdr:row>89</xdr:row>
      <xdr:rowOff>68888</xdr:rowOff>
    </xdr:to>
    <xdr:grpSp>
      <xdr:nvGrpSpPr>
        <xdr:cNvPr id="695" name="Group 694">
          <a:extLst>
            <a:ext uri="{FF2B5EF4-FFF2-40B4-BE49-F238E27FC236}">
              <a16:creationId xmlns:a16="http://schemas.microsoft.com/office/drawing/2014/main" id="{660489A3-8EA6-451D-80A8-CDDEA944A615}"/>
            </a:ext>
          </a:extLst>
        </xdr:cNvPr>
        <xdr:cNvGrpSpPr/>
      </xdr:nvGrpSpPr>
      <xdr:grpSpPr>
        <a:xfrm rot="2028823">
          <a:off x="4052480" y="13402404"/>
          <a:ext cx="121660" cy="158854"/>
          <a:chOff x="704537" y="3681605"/>
          <a:chExt cx="141199" cy="169566"/>
        </a:xfrm>
      </xdr:grpSpPr>
      <xdr:cxnSp macro="">
        <xdr:nvCxnSpPr>
          <xdr:cNvPr id="696" name="Straight Connector 695">
            <a:extLst>
              <a:ext uri="{FF2B5EF4-FFF2-40B4-BE49-F238E27FC236}">
                <a16:creationId xmlns:a16="http://schemas.microsoft.com/office/drawing/2014/main" id="{C416CB9E-9FE1-EDC6-E6D6-A40B1CCC3C85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7" name="Straight Connector 696">
            <a:extLst>
              <a:ext uri="{FF2B5EF4-FFF2-40B4-BE49-F238E27FC236}">
                <a16:creationId xmlns:a16="http://schemas.microsoft.com/office/drawing/2014/main" id="{4C9B403A-E847-BD82-4E19-2B9DBAEE60A1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7883</xdr:colOff>
      <xdr:row>87</xdr:row>
      <xdr:rowOff>21021</xdr:rowOff>
    </xdr:from>
    <xdr:to>
      <xdr:col>12</xdr:col>
      <xdr:colOff>129543</xdr:colOff>
      <xdr:row>88</xdr:row>
      <xdr:rowOff>30788</xdr:rowOff>
    </xdr:to>
    <xdr:grpSp>
      <xdr:nvGrpSpPr>
        <xdr:cNvPr id="698" name="Group 697">
          <a:extLst>
            <a:ext uri="{FF2B5EF4-FFF2-40B4-BE49-F238E27FC236}">
              <a16:creationId xmlns:a16="http://schemas.microsoft.com/office/drawing/2014/main" id="{032D2CCF-1F66-4AA9-ABB5-AF82A8D984E2}"/>
            </a:ext>
          </a:extLst>
        </xdr:cNvPr>
        <xdr:cNvGrpSpPr/>
      </xdr:nvGrpSpPr>
      <xdr:grpSpPr>
        <a:xfrm rot="2028823">
          <a:off x="4132622" y="13215217"/>
          <a:ext cx="121660" cy="158854"/>
          <a:chOff x="704537" y="3681605"/>
          <a:chExt cx="141199" cy="169566"/>
        </a:xfrm>
      </xdr:grpSpPr>
      <xdr:cxnSp macro="">
        <xdr:nvCxnSpPr>
          <xdr:cNvPr id="699" name="Straight Connector 698">
            <a:extLst>
              <a:ext uri="{FF2B5EF4-FFF2-40B4-BE49-F238E27FC236}">
                <a16:creationId xmlns:a16="http://schemas.microsoft.com/office/drawing/2014/main" id="{0F20E2E7-111F-62DC-33E0-B8FF32EAB179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0" name="Straight Connector 699">
            <a:extLst>
              <a:ext uri="{FF2B5EF4-FFF2-40B4-BE49-F238E27FC236}">
                <a16:creationId xmlns:a16="http://schemas.microsoft.com/office/drawing/2014/main" id="{E5574FE2-AD70-5E19-8C4E-F9CB38626A72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321880</xdr:colOff>
      <xdr:row>90</xdr:row>
      <xdr:rowOff>118242</xdr:rowOff>
    </xdr:from>
    <xdr:to>
      <xdr:col>11</xdr:col>
      <xdr:colOff>62540</xdr:colOff>
      <xdr:row>91</xdr:row>
      <xdr:rowOff>128009</xdr:rowOff>
    </xdr:to>
    <xdr:grpSp>
      <xdr:nvGrpSpPr>
        <xdr:cNvPr id="702" name="Group 701">
          <a:extLst>
            <a:ext uri="{FF2B5EF4-FFF2-40B4-BE49-F238E27FC236}">
              <a16:creationId xmlns:a16="http://schemas.microsoft.com/office/drawing/2014/main" id="{1F74556F-EEF2-4126-821E-2D777F442955}"/>
            </a:ext>
          </a:extLst>
        </xdr:cNvPr>
        <xdr:cNvGrpSpPr/>
      </xdr:nvGrpSpPr>
      <xdr:grpSpPr>
        <a:xfrm rot="2028823">
          <a:off x="3684619" y="13759699"/>
          <a:ext cx="121660" cy="158853"/>
          <a:chOff x="704537" y="3681605"/>
          <a:chExt cx="141199" cy="169566"/>
        </a:xfrm>
      </xdr:grpSpPr>
      <xdr:cxnSp macro="">
        <xdr:nvCxnSpPr>
          <xdr:cNvPr id="703" name="Straight Connector 702">
            <a:extLst>
              <a:ext uri="{FF2B5EF4-FFF2-40B4-BE49-F238E27FC236}">
                <a16:creationId xmlns:a16="http://schemas.microsoft.com/office/drawing/2014/main" id="{F9999776-75EE-8521-C44D-F6AC885751FF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911F67B0-60E0-FBC9-656E-3509BF05C0EE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99849</xdr:colOff>
      <xdr:row>90</xdr:row>
      <xdr:rowOff>139261</xdr:rowOff>
    </xdr:from>
    <xdr:to>
      <xdr:col>11</xdr:col>
      <xdr:colOff>221509</xdr:colOff>
      <xdr:row>91</xdr:row>
      <xdr:rowOff>149028</xdr:rowOff>
    </xdr:to>
    <xdr:grpSp>
      <xdr:nvGrpSpPr>
        <xdr:cNvPr id="706" name="Group 705">
          <a:extLst>
            <a:ext uri="{FF2B5EF4-FFF2-40B4-BE49-F238E27FC236}">
              <a16:creationId xmlns:a16="http://schemas.microsoft.com/office/drawing/2014/main" id="{FCE86132-111C-4689-92A7-70331DB8F261}"/>
            </a:ext>
          </a:extLst>
        </xdr:cNvPr>
        <xdr:cNvGrpSpPr/>
      </xdr:nvGrpSpPr>
      <xdr:grpSpPr>
        <a:xfrm rot="2028823">
          <a:off x="3843588" y="13780718"/>
          <a:ext cx="121660" cy="158853"/>
          <a:chOff x="704537" y="3681605"/>
          <a:chExt cx="141199" cy="169566"/>
        </a:xfrm>
      </xdr:grpSpPr>
      <xdr:cxnSp macro="">
        <xdr:nvCxnSpPr>
          <xdr:cNvPr id="708" name="Straight Connector 707">
            <a:extLst>
              <a:ext uri="{FF2B5EF4-FFF2-40B4-BE49-F238E27FC236}">
                <a16:creationId xmlns:a16="http://schemas.microsoft.com/office/drawing/2014/main" id="{BAB6C9E9-D289-5E02-8074-FDBDA0A5B5DD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57658751-9F2F-EB84-8F54-23A720F6DE9F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358261</xdr:colOff>
      <xdr:row>85</xdr:row>
      <xdr:rowOff>113188</xdr:rowOff>
    </xdr:from>
    <xdr:to>
      <xdr:col>17</xdr:col>
      <xdr:colOff>57091</xdr:colOff>
      <xdr:row>89</xdr:row>
      <xdr:rowOff>53158</xdr:rowOff>
    </xdr:to>
    <xdr:sp macro="" textlink="">
      <xdr:nvSpPr>
        <xdr:cNvPr id="711" name="Rectangle 710">
          <a:extLst>
            <a:ext uri="{FF2B5EF4-FFF2-40B4-BE49-F238E27FC236}">
              <a16:creationId xmlns:a16="http://schemas.microsoft.com/office/drawing/2014/main" id="{E950F6D4-3508-49FD-9D7B-9AB4D78ABB5F}"/>
            </a:ext>
          </a:extLst>
        </xdr:cNvPr>
        <xdr:cNvSpPr/>
      </xdr:nvSpPr>
      <xdr:spPr>
        <a:xfrm>
          <a:off x="5618992" y="13338284"/>
          <a:ext cx="460830" cy="55543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CC2-A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247396</xdr:colOff>
      <xdr:row>89</xdr:row>
      <xdr:rowOff>3841</xdr:rowOff>
    </xdr:from>
    <xdr:to>
      <xdr:col>15</xdr:col>
      <xdr:colOff>327226</xdr:colOff>
      <xdr:row>92</xdr:row>
      <xdr:rowOff>97676</xdr:rowOff>
    </xdr:to>
    <xdr:sp macro="" textlink="">
      <xdr:nvSpPr>
        <xdr:cNvPr id="713" name="Rectangle 712">
          <a:extLst>
            <a:ext uri="{FF2B5EF4-FFF2-40B4-BE49-F238E27FC236}">
              <a16:creationId xmlns:a16="http://schemas.microsoft.com/office/drawing/2014/main" id="{8F0C9A7A-05DE-4728-961A-7A0FCEF40AF1}"/>
            </a:ext>
          </a:extLst>
        </xdr:cNvPr>
        <xdr:cNvSpPr/>
      </xdr:nvSpPr>
      <xdr:spPr>
        <a:xfrm>
          <a:off x="5127127" y="13844399"/>
          <a:ext cx="460830" cy="55543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358109</xdr:colOff>
      <xdr:row>90</xdr:row>
      <xdr:rowOff>120870</xdr:rowOff>
    </xdr:from>
    <xdr:to>
      <xdr:col>14</xdr:col>
      <xdr:colOff>56939</xdr:colOff>
      <xdr:row>94</xdr:row>
      <xdr:rowOff>60839</xdr:rowOff>
    </xdr:to>
    <xdr:sp macro="" textlink="">
      <xdr:nvSpPr>
        <xdr:cNvPr id="714" name="Rectangle 713">
          <a:extLst>
            <a:ext uri="{FF2B5EF4-FFF2-40B4-BE49-F238E27FC236}">
              <a16:creationId xmlns:a16="http://schemas.microsoft.com/office/drawing/2014/main" id="{014274A7-B4A5-4B2D-B159-62AB5F7015E5}"/>
            </a:ext>
          </a:extLst>
        </xdr:cNvPr>
        <xdr:cNvSpPr/>
      </xdr:nvSpPr>
      <xdr:spPr>
        <a:xfrm>
          <a:off x="4475840" y="14115293"/>
          <a:ext cx="460830" cy="55543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SYG01-77/23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244718</xdr:colOff>
      <xdr:row>81</xdr:row>
      <xdr:rowOff>148711</xdr:rowOff>
    </xdr:from>
    <xdr:to>
      <xdr:col>11</xdr:col>
      <xdr:colOff>324548</xdr:colOff>
      <xdr:row>85</xdr:row>
      <xdr:rowOff>88683</xdr:rowOff>
    </xdr:to>
    <xdr:sp macro="" textlink="">
      <xdr:nvSpPr>
        <xdr:cNvPr id="716" name="Rectangle 715">
          <a:extLst>
            <a:ext uri="{FF2B5EF4-FFF2-40B4-BE49-F238E27FC236}">
              <a16:creationId xmlns:a16="http://schemas.microsoft.com/office/drawing/2014/main" id="{6B159871-661D-484A-A99D-589ED8A89BA2}"/>
            </a:ext>
          </a:extLst>
        </xdr:cNvPr>
        <xdr:cNvSpPr/>
      </xdr:nvSpPr>
      <xdr:spPr>
        <a:xfrm>
          <a:off x="3600449" y="12758346"/>
          <a:ext cx="460830" cy="55543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SYG01-77/24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86913</xdr:colOff>
      <xdr:row>85</xdr:row>
      <xdr:rowOff>139463</xdr:rowOff>
    </xdr:from>
    <xdr:to>
      <xdr:col>10</xdr:col>
      <xdr:colOff>193757</xdr:colOff>
      <xdr:row>90</xdr:row>
      <xdr:rowOff>33406</xdr:rowOff>
    </xdr:to>
    <xdr:sp macro="" textlink="">
      <xdr:nvSpPr>
        <xdr:cNvPr id="717" name="Rectangle 716">
          <a:extLst>
            <a:ext uri="{FF2B5EF4-FFF2-40B4-BE49-F238E27FC236}">
              <a16:creationId xmlns:a16="http://schemas.microsoft.com/office/drawing/2014/main" id="{25FAA80B-FC56-4C29-998E-19134A6A9A3B}"/>
            </a:ext>
          </a:extLst>
        </xdr:cNvPr>
        <xdr:cNvSpPr/>
      </xdr:nvSpPr>
      <xdr:spPr>
        <a:xfrm>
          <a:off x="3061644" y="13364559"/>
          <a:ext cx="487844" cy="66327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SYG01-77/24</a:t>
          </a:r>
        </a:p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500">
              <a:solidFill>
                <a:srgbClr val="FF0000"/>
              </a:solidFill>
            </a:rPr>
            <a:t>2 CM2-11M</a:t>
          </a: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95250</xdr:colOff>
      <xdr:row>102</xdr:row>
      <xdr:rowOff>32031</xdr:rowOff>
    </xdr:from>
    <xdr:to>
      <xdr:col>9</xdr:col>
      <xdr:colOff>176666</xdr:colOff>
      <xdr:row>103</xdr:row>
      <xdr:rowOff>29308</xdr:rowOff>
    </xdr:to>
    <xdr:cxnSp macro="">
      <xdr:nvCxnSpPr>
        <xdr:cNvPr id="718" name="Straight Arrow Connector 717">
          <a:extLst>
            <a:ext uri="{FF2B5EF4-FFF2-40B4-BE49-F238E27FC236}">
              <a16:creationId xmlns:a16="http://schemas.microsoft.com/office/drawing/2014/main" id="{3CC056D1-113D-4D2A-AEEE-418295879FFE}"/>
            </a:ext>
          </a:extLst>
        </xdr:cNvPr>
        <xdr:cNvCxnSpPr>
          <a:cxnSpLocks/>
        </xdr:cNvCxnSpPr>
      </xdr:nvCxnSpPr>
      <xdr:spPr>
        <a:xfrm flipH="1">
          <a:off x="3069981" y="15872839"/>
          <a:ext cx="81416" cy="151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362424</xdr:colOff>
      <xdr:row>66</xdr:row>
      <xdr:rowOff>39821</xdr:rowOff>
    </xdr:from>
    <xdr:to>
      <xdr:col>18</xdr:col>
      <xdr:colOff>146486</xdr:colOff>
      <xdr:row>67</xdr:row>
      <xdr:rowOff>69541</xdr:rowOff>
    </xdr:to>
    <xdr:grpSp>
      <xdr:nvGrpSpPr>
        <xdr:cNvPr id="734" name="Group 733">
          <a:extLst>
            <a:ext uri="{FF2B5EF4-FFF2-40B4-BE49-F238E27FC236}">
              <a16:creationId xmlns:a16="http://schemas.microsoft.com/office/drawing/2014/main" id="{C7E1091B-2C80-43A5-9542-3C1589E60569}"/>
            </a:ext>
          </a:extLst>
        </xdr:cNvPr>
        <xdr:cNvGrpSpPr/>
      </xdr:nvGrpSpPr>
      <xdr:grpSpPr>
        <a:xfrm rot="2028823">
          <a:off x="6392163" y="10103191"/>
          <a:ext cx="165062" cy="178807"/>
          <a:chOff x="704537" y="3681605"/>
          <a:chExt cx="141199" cy="169566"/>
        </a:xfrm>
      </xdr:grpSpPr>
      <xdr:cxnSp macro="">
        <xdr:nvCxnSpPr>
          <xdr:cNvPr id="735" name="Straight Connector 734">
            <a:extLst>
              <a:ext uri="{FF2B5EF4-FFF2-40B4-BE49-F238E27FC236}">
                <a16:creationId xmlns:a16="http://schemas.microsoft.com/office/drawing/2014/main" id="{17BDD6E1-1945-490F-D993-C7567505054B}"/>
              </a:ext>
            </a:extLst>
          </xdr:cNvPr>
          <xdr:cNvCxnSpPr/>
        </xdr:nvCxnSpPr>
        <xdr:spPr>
          <a:xfrm>
            <a:off x="704537" y="3693296"/>
            <a:ext cx="141199" cy="157875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6" name="Straight Connector 735">
            <a:extLst>
              <a:ext uri="{FF2B5EF4-FFF2-40B4-BE49-F238E27FC236}">
                <a16:creationId xmlns:a16="http://schemas.microsoft.com/office/drawing/2014/main" id="{FDE06887-4CA1-668F-E205-F4AAB60332E9}"/>
              </a:ext>
            </a:extLst>
          </xdr:cNvPr>
          <xdr:cNvCxnSpPr/>
        </xdr:nvCxnSpPr>
        <xdr:spPr>
          <a:xfrm flipV="1">
            <a:off x="727808" y="3681605"/>
            <a:ext cx="99786" cy="15142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322384</xdr:colOff>
      <xdr:row>80</xdr:row>
      <xdr:rowOff>21981</xdr:rowOff>
    </xdr:from>
    <xdr:to>
      <xdr:col>16</xdr:col>
      <xdr:colOff>183173</xdr:colOff>
      <xdr:row>81</xdr:row>
      <xdr:rowOff>146538</xdr:rowOff>
    </xdr:to>
    <xdr:cxnSp macro="">
      <xdr:nvCxnSpPr>
        <xdr:cNvPr id="737" name="Straight Arrow Connector 736">
          <a:extLst>
            <a:ext uri="{FF2B5EF4-FFF2-40B4-BE49-F238E27FC236}">
              <a16:creationId xmlns:a16="http://schemas.microsoft.com/office/drawing/2014/main" id="{06F243E1-DE0C-4A41-B9FB-632C042FDCEF}"/>
            </a:ext>
          </a:extLst>
        </xdr:cNvPr>
        <xdr:cNvCxnSpPr>
          <a:cxnSpLocks/>
        </xdr:cNvCxnSpPr>
      </xdr:nvCxnSpPr>
      <xdr:spPr>
        <a:xfrm>
          <a:off x="5202115" y="12477750"/>
          <a:ext cx="622789" cy="278423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82</xdr:row>
      <xdr:rowOff>131885</xdr:rowOff>
    </xdr:from>
    <xdr:to>
      <xdr:col>15</xdr:col>
      <xdr:colOff>300404</xdr:colOff>
      <xdr:row>85</xdr:row>
      <xdr:rowOff>117231</xdr:rowOff>
    </xdr:to>
    <xdr:cxnSp macro="">
      <xdr:nvCxnSpPr>
        <xdr:cNvPr id="747" name="Straight Arrow Connector 746">
          <a:extLst>
            <a:ext uri="{FF2B5EF4-FFF2-40B4-BE49-F238E27FC236}">
              <a16:creationId xmlns:a16="http://schemas.microsoft.com/office/drawing/2014/main" id="{33033B58-1CC2-41BB-B469-2F12E884CC8B}"/>
            </a:ext>
          </a:extLst>
        </xdr:cNvPr>
        <xdr:cNvCxnSpPr>
          <a:cxnSpLocks/>
        </xdr:cNvCxnSpPr>
      </xdr:nvCxnSpPr>
      <xdr:spPr>
        <a:xfrm>
          <a:off x="5070231" y="12895385"/>
          <a:ext cx="490904" cy="446942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379535</xdr:colOff>
      <xdr:row>84</xdr:row>
      <xdr:rowOff>152400</xdr:rowOff>
    </xdr:from>
    <xdr:to>
      <xdr:col>14</xdr:col>
      <xdr:colOff>293077</xdr:colOff>
      <xdr:row>88</xdr:row>
      <xdr:rowOff>117231</xdr:rowOff>
    </xdr:to>
    <xdr:cxnSp macro="">
      <xdr:nvCxnSpPr>
        <xdr:cNvPr id="761" name="Straight Arrow Connector 760">
          <a:extLst>
            <a:ext uri="{FF2B5EF4-FFF2-40B4-BE49-F238E27FC236}">
              <a16:creationId xmlns:a16="http://schemas.microsoft.com/office/drawing/2014/main" id="{9D5AB19B-4FC5-4E75-873E-ECB8EEA35B62}"/>
            </a:ext>
          </a:extLst>
        </xdr:cNvPr>
        <xdr:cNvCxnSpPr>
          <a:cxnSpLocks/>
        </xdr:cNvCxnSpPr>
      </xdr:nvCxnSpPr>
      <xdr:spPr>
        <a:xfrm>
          <a:off x="4878266" y="13223631"/>
          <a:ext cx="294542" cy="580292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70339</xdr:colOff>
      <xdr:row>87</xdr:row>
      <xdr:rowOff>55684</xdr:rowOff>
    </xdr:from>
    <xdr:to>
      <xdr:col>13</xdr:col>
      <xdr:colOff>73269</xdr:colOff>
      <xdr:row>90</xdr:row>
      <xdr:rowOff>73269</xdr:rowOff>
    </xdr:to>
    <xdr:cxnSp macro="">
      <xdr:nvCxnSpPr>
        <xdr:cNvPr id="764" name="Straight Arrow Connector 763">
          <a:extLst>
            <a:ext uri="{FF2B5EF4-FFF2-40B4-BE49-F238E27FC236}">
              <a16:creationId xmlns:a16="http://schemas.microsoft.com/office/drawing/2014/main" id="{5EB05B8E-E10C-4826-B20D-7FF21CA00847}"/>
            </a:ext>
          </a:extLst>
        </xdr:cNvPr>
        <xdr:cNvCxnSpPr>
          <a:cxnSpLocks/>
        </xdr:cNvCxnSpPr>
      </xdr:nvCxnSpPr>
      <xdr:spPr>
        <a:xfrm>
          <a:off x="4569070" y="13588511"/>
          <a:ext cx="2930" cy="479181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249115</xdr:colOff>
      <xdr:row>86</xdr:row>
      <xdr:rowOff>7327</xdr:rowOff>
    </xdr:from>
    <xdr:to>
      <xdr:col>12</xdr:col>
      <xdr:colOff>117230</xdr:colOff>
      <xdr:row>89</xdr:row>
      <xdr:rowOff>0</xdr:rowOff>
    </xdr:to>
    <xdr:cxnSp macro="">
      <xdr:nvCxnSpPr>
        <xdr:cNvPr id="766" name="Straight Arrow Connector 765">
          <a:extLst>
            <a:ext uri="{FF2B5EF4-FFF2-40B4-BE49-F238E27FC236}">
              <a16:creationId xmlns:a16="http://schemas.microsoft.com/office/drawing/2014/main" id="{C9585023-D520-4E67-84FB-3C3DFDB6BC97}"/>
            </a:ext>
          </a:extLst>
        </xdr:cNvPr>
        <xdr:cNvCxnSpPr>
          <a:cxnSpLocks/>
        </xdr:cNvCxnSpPr>
      </xdr:nvCxnSpPr>
      <xdr:spPr>
        <a:xfrm flipH="1" flipV="1">
          <a:off x="3985846" y="13386289"/>
          <a:ext cx="249115" cy="454269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379534</xdr:colOff>
      <xdr:row>88</xdr:row>
      <xdr:rowOff>93786</xdr:rowOff>
    </xdr:from>
    <xdr:to>
      <xdr:col>11</xdr:col>
      <xdr:colOff>247649</xdr:colOff>
      <xdr:row>91</xdr:row>
      <xdr:rowOff>86459</xdr:rowOff>
    </xdr:to>
    <xdr:cxnSp macro="">
      <xdr:nvCxnSpPr>
        <xdr:cNvPr id="771" name="Straight Arrow Connector 770">
          <a:extLst>
            <a:ext uri="{FF2B5EF4-FFF2-40B4-BE49-F238E27FC236}">
              <a16:creationId xmlns:a16="http://schemas.microsoft.com/office/drawing/2014/main" id="{8B2BDEEB-F194-4B2D-AA16-FD44992B226E}"/>
            </a:ext>
          </a:extLst>
        </xdr:cNvPr>
        <xdr:cNvCxnSpPr>
          <a:cxnSpLocks/>
        </xdr:cNvCxnSpPr>
      </xdr:nvCxnSpPr>
      <xdr:spPr>
        <a:xfrm flipH="1" flipV="1">
          <a:off x="3735265" y="13780478"/>
          <a:ext cx="249115" cy="454269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153865</xdr:colOff>
      <xdr:row>59</xdr:row>
      <xdr:rowOff>36634</xdr:rowOff>
    </xdr:from>
    <xdr:to>
      <xdr:col>18</xdr:col>
      <xdr:colOff>58616</xdr:colOff>
      <xdr:row>61</xdr:row>
      <xdr:rowOff>7327</xdr:rowOff>
    </xdr:to>
    <xdr:cxnSp macro="">
      <xdr:nvCxnSpPr>
        <xdr:cNvPr id="774" name="Straight Arrow Connector 773">
          <a:extLst>
            <a:ext uri="{FF2B5EF4-FFF2-40B4-BE49-F238E27FC236}">
              <a16:creationId xmlns:a16="http://schemas.microsoft.com/office/drawing/2014/main" id="{1F7B609C-3AE7-4656-9E15-8FDBE6CA15F4}"/>
            </a:ext>
          </a:extLst>
        </xdr:cNvPr>
        <xdr:cNvCxnSpPr>
          <a:cxnSpLocks/>
        </xdr:cNvCxnSpPr>
      </xdr:nvCxnSpPr>
      <xdr:spPr>
        <a:xfrm flipH="1" flipV="1">
          <a:off x="5795596" y="9261230"/>
          <a:ext cx="666751" cy="278424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108439</xdr:colOff>
      <xdr:row>62</xdr:row>
      <xdr:rowOff>86457</xdr:rowOff>
    </xdr:from>
    <xdr:to>
      <xdr:col>18</xdr:col>
      <xdr:colOff>13190</xdr:colOff>
      <xdr:row>64</xdr:row>
      <xdr:rowOff>57150</xdr:rowOff>
    </xdr:to>
    <xdr:cxnSp macro="">
      <xdr:nvCxnSpPr>
        <xdr:cNvPr id="781" name="Straight Arrow Connector 780">
          <a:extLst>
            <a:ext uri="{FF2B5EF4-FFF2-40B4-BE49-F238E27FC236}">
              <a16:creationId xmlns:a16="http://schemas.microsoft.com/office/drawing/2014/main" id="{882A0D08-0556-4D26-B476-1D0B571C5656}"/>
            </a:ext>
          </a:extLst>
        </xdr:cNvPr>
        <xdr:cNvCxnSpPr>
          <a:cxnSpLocks/>
        </xdr:cNvCxnSpPr>
      </xdr:nvCxnSpPr>
      <xdr:spPr>
        <a:xfrm flipH="1" flipV="1">
          <a:off x="5750170" y="9772649"/>
          <a:ext cx="666751" cy="278424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263769</xdr:colOff>
      <xdr:row>66</xdr:row>
      <xdr:rowOff>80596</xdr:rowOff>
    </xdr:from>
    <xdr:to>
      <xdr:col>17</xdr:col>
      <xdr:colOff>33706</xdr:colOff>
      <xdr:row>66</xdr:row>
      <xdr:rowOff>106973</xdr:rowOff>
    </xdr:to>
    <xdr:cxnSp macro="">
      <xdr:nvCxnSpPr>
        <xdr:cNvPr id="782" name="Straight Arrow Connector 781">
          <a:extLst>
            <a:ext uri="{FF2B5EF4-FFF2-40B4-BE49-F238E27FC236}">
              <a16:creationId xmlns:a16="http://schemas.microsoft.com/office/drawing/2014/main" id="{6AB613CB-FB55-49E8-AFC6-8DE125E3CD39}"/>
            </a:ext>
          </a:extLst>
        </xdr:cNvPr>
        <xdr:cNvCxnSpPr>
          <a:cxnSpLocks/>
        </xdr:cNvCxnSpPr>
      </xdr:nvCxnSpPr>
      <xdr:spPr>
        <a:xfrm flipH="1" flipV="1">
          <a:off x="5524500" y="10382250"/>
          <a:ext cx="531937" cy="26377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72</xdr:row>
      <xdr:rowOff>65942</xdr:rowOff>
    </xdr:from>
    <xdr:to>
      <xdr:col>16</xdr:col>
      <xdr:colOff>344365</xdr:colOff>
      <xdr:row>74</xdr:row>
      <xdr:rowOff>58615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38D7B6D-A7ED-40F7-8C2C-02205CC0679F}"/>
            </a:ext>
          </a:extLst>
        </xdr:cNvPr>
        <xdr:cNvCxnSpPr>
          <a:cxnSpLocks/>
        </xdr:cNvCxnSpPr>
      </xdr:nvCxnSpPr>
      <xdr:spPr>
        <a:xfrm>
          <a:off x="5736981" y="11290788"/>
          <a:ext cx="249115" cy="300404"/>
        </a:xfrm>
        <a:prstGeom prst="straightConnector1">
          <a:avLst/>
        </a:prstGeom>
        <a:ln w="635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8</xdr:row>
      <xdr:rowOff>152399</xdr:rowOff>
    </xdr:from>
    <xdr:to>
      <xdr:col>20</xdr:col>
      <xdr:colOff>482600</xdr:colOff>
      <xdr:row>53</xdr:row>
      <xdr:rowOff>75671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D09CB5-DDDF-4A97-B59F-93CE7D51F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1600199"/>
          <a:ext cx="11226800" cy="79242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9" t="s">
        <v>1134</v>
      </c>
      <c r="C4" s="549"/>
      <c r="D4" s="549"/>
      <c r="E4" s="549"/>
      <c r="F4" s="549"/>
      <c r="G4" s="549"/>
      <c r="H4" s="54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50" t="s">
        <v>0</v>
      </c>
      <c r="C7" s="550" t="s">
        <v>1</v>
      </c>
      <c r="D7" s="551" t="s">
        <v>42</v>
      </c>
      <c r="E7" s="551" t="s">
        <v>43</v>
      </c>
      <c r="F7" s="551" t="s">
        <v>1135</v>
      </c>
      <c r="G7" s="552" t="s">
        <v>41</v>
      </c>
      <c r="H7" s="548" t="s">
        <v>1042</v>
      </c>
      <c r="I7" s="548" t="s">
        <v>1137</v>
      </c>
      <c r="J7" s="548" t="s">
        <v>1026</v>
      </c>
      <c r="K7" s="542" t="s">
        <v>1024</v>
      </c>
      <c r="L7" s="543"/>
    </row>
    <row r="8" spans="1:12" ht="15" customHeight="1">
      <c r="B8" s="550"/>
      <c r="C8" s="550"/>
      <c r="D8" s="551"/>
      <c r="E8" s="551"/>
      <c r="F8" s="551"/>
      <c r="G8" s="552"/>
      <c r="H8" s="548"/>
      <c r="I8" s="548"/>
      <c r="J8" s="548"/>
      <c r="K8" s="544"/>
      <c r="L8" s="545"/>
    </row>
    <row r="9" spans="1:12" ht="15" customHeight="1">
      <c r="B9" s="550"/>
      <c r="C9" s="550"/>
      <c r="D9" s="551"/>
      <c r="E9" s="551"/>
      <c r="F9" s="551"/>
      <c r="G9" s="552"/>
      <c r="H9" s="548"/>
      <c r="I9" s="548"/>
      <c r="J9" s="548"/>
      <c r="K9" s="546"/>
      <c r="L9" s="54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6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91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32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5240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240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6</v>
      </c>
      <c r="G20" s="41">
        <f ca="1">IF(ISERROR(OFFSET('HARGA SATUAN'!$I$6,MATCH(C20,'HARGA SATUAN'!$C$7:$C$1492,0),0)),"",OFFSET('HARGA SATUAN'!$I$6,MATCH(C20,'HARGA SATUAN'!$C$7:$C$1492,0),0))</f>
        <v>36900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53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4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35</v>
      </c>
      <c r="G22" s="41">
        <f ca="1">IF(ISERROR(OFFSET('HARGA SATUAN'!$I$6,MATCH(C22,'HARGA SATUAN'!$C$7:$C$1492,0),0)),"",OFFSET('HARGA SATUAN'!$I$6,MATCH(C22,'HARGA SATUAN'!$C$7:$C$1492,0),0))</f>
        <v>421400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SUMIFS(RAB!$F$14:$F$459,RAB!$C$14:$C$459,C714)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SUMIFS(RAB!$F$14:$F$459,RAB!$C$14:$C$459,C715)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SUMIFS(RAB!$F$14:$F$459,RAB!$C$14:$C$459,C716)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SUMIFS(RAB!$F$14:$F$459,RAB!$C$14:$C$459,C717)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SUMIFS(RAB!$F$14:$F$459,RAB!$C$14:$C$459,C718)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SUMIFS(RAB!$F$14:$F$459,RAB!$C$14:$C$459,C719)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SUMIFS(RAB!$F$14:$F$459,RAB!$C$14:$C$459,C720)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SUMIFS(RAB!$F$14:$F$459,RAB!$C$14:$C$459,C721)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SUMIFS(RAB!$F$14:$F$459,RAB!$C$14:$C$459,C722)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SUMIFS(RAB!$F$14:$F$459,RAB!$C$14:$C$459,C723)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SUMIFS(RAB!$F$14:$F$459,RAB!$C$14:$C$459,C724)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SUMIFS(RAB!$F$14:$F$459,RAB!$C$14:$C$459,C725)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SUMIFS(RAB!$F$14:$F$459,RAB!$C$14:$C$459,C726)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SUMIFS(RAB!$F$14:$F$459,RAB!$C$14:$C$459,C727)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SUMIFS(RAB!$F$14:$F$459,RAB!$C$14:$C$459,C728)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SUMIFS(RAB!$F$14:$F$459,RAB!$C$14:$C$459,C729)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SUMIFS(RAB!$F$14:$F$459,RAB!$C$14:$C$459,C730)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SUMIFS(RAB!$F$14:$F$459,RAB!$C$14:$C$459,C731)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SUMIFS(RAB!$F$14:$F$459,RAB!$C$14:$C$459,C732)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SUMIFS(RAB!$F$14:$F$459,RAB!$C$14:$C$459,C733)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SUMIFS(RAB!$F$14:$F$459,RAB!$C$14:$C$459,C734)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SUMIFS(RAB!$F$14:$F$459,RAB!$C$14:$C$459,C735)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SUMIFS(RAB!$F$14:$F$459,RAB!$C$14:$C$459,C736)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SUMIFS(RAB!$F$14:$F$459,RAB!$C$14:$C$459,C737)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SUMIFS(RAB!$F$14:$F$459,RAB!$C$14:$C$459,C738)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SUMIFS(RAB!$F$14:$F$459,RAB!$C$14:$C$459,C739)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SUMIFS(RAB!$F$14:$F$459,RAB!$C$14:$C$459,C740)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SUMIFS(RAB!$F$14:$F$459,RAB!$C$14:$C$459,C741)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SUMIFS(RAB!$F$14:$F$459,RAB!$C$14:$C$459,C742)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SUMIFS(RAB!$F$14:$F$459,RAB!$C$14:$C$459,C743)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SUMIFS(RAB!$F$14:$F$459,RAB!$C$14:$C$459,C744)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SUMIFS(RAB!$F$14:$F$459,RAB!$C$14:$C$459,C745)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SUMIFS(RAB!$F$14:$F$459,RAB!$C$14:$C$459,C746)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SUMIFS(RAB!$F$14:$F$459,RAB!$C$14:$C$459,C747)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SUMIFS(RAB!$F$14:$F$459,RAB!$C$14:$C$459,C748)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SUMIFS(RAB!$F$14:$F$459,RAB!$C$14:$C$459,C749)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SUMIFS(RAB!$F$14:$F$459,RAB!$C$14:$C$459,C750)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SUMIFS(RAB!$F$14:$F$459,RAB!$C$14:$C$459,C751)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SUMIFS(RAB!$F$14:$F$459,RAB!$C$14:$C$459,C752)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SUMIFS(RAB!$F$14:$F$459,RAB!$C$14:$C$459,C753)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SUMIFS(RAB!$F$14:$F$459,RAB!$C$14:$C$459,C754)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SUMIFS(RAB!$F$14:$F$459,RAB!$C$14:$C$459,C755)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SUMIFS(RAB!$F$14:$F$459,RAB!$C$14:$C$459,C756)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SUMIFS(RAB!$F$14:$F$459,RAB!$C$14:$C$459,C757)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SUMIFS(RAB!$F$14:$F$459,RAB!$C$14:$C$459,C758)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SUMIFS(RAB!$F$14:$F$459,RAB!$C$14:$C$459,C759)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SUMIFS(RAB!$F$14:$F$459,RAB!$C$14:$C$459,C760)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SUMIFS(RAB!$F$14:$F$459,RAB!$C$14:$C$459,C761)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SUMIFS(RAB!$F$14:$F$459,RAB!$C$14:$C$459,C762)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SUMIFS(RAB!$F$14:$F$459,RAB!$C$14:$C$459,C763)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SUMIFS(RAB!$F$14:$F$459,RAB!$C$14:$C$459,C764)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SUMIFS(RAB!$F$14:$F$459,RAB!$C$14:$C$459,C765)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SUMIFS(RAB!$F$14:$F$459,RAB!$C$14:$C$459,C766)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SUMIFS(RAB!$F$14:$F$459,RAB!$C$14:$C$459,C767)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SUMIFS(RAB!$F$14:$F$459,RAB!$C$14:$C$459,C768)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SUMIFS(RAB!$F$14:$F$459,RAB!$C$14:$C$459,C769)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SUMIFS(RAB!$F$14:$F$459,RAB!$C$14:$C$459,C770)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SUMIFS(RAB!$F$14:$F$459,RAB!$C$14:$C$459,C771)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SUMIFS(RAB!$F$14:$F$459,RAB!$C$14:$C$459,C772)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SUMIFS(RAB!$F$14:$F$459,RAB!$C$14:$C$459,C773)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SUMIFS(RAB!$F$14:$F$459,RAB!$C$14:$C$459,C774)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SUMIFS(RAB!$F$14:$F$459,RAB!$C$14:$C$459,C775)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SUMIFS(RAB!$F$14:$F$459,RAB!$C$14:$C$459,C776)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SUMIFS(RAB!$F$14:$F$459,RAB!$C$14:$C$459,C777)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SUMIFS(RAB!$F$14:$F$459,RAB!$C$14:$C$459,C778)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SUMIFS(RAB!$F$14:$F$459,RAB!$C$14:$C$459,C779)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SUMIFS(RAB!$F$14:$F$459,RAB!$C$14:$C$459,C780)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SUMIFS(RAB!$F$14:$F$459,RAB!$C$14:$C$459,C781)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SUMIFS(RAB!$F$14:$F$459,RAB!$C$14:$C$459,C782)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SUMIFS(RAB!$F$14:$F$459,RAB!$C$14:$C$459,C783)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SUMIFS(RAB!$F$14:$F$459,RAB!$C$14:$C$459,C784)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SUMIFS(RAB!$F$14:$F$459,RAB!$C$14:$C$459,C785)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SUMIFS(RAB!$F$14:$F$459,RAB!$C$14:$C$459,C786)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SUMIFS(RAB!$F$14:$F$459,RAB!$C$14:$C$459,C787)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SUMIFS(RAB!$F$14:$F$459,RAB!$C$14:$C$459,C788)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SUMIFS(RAB!$F$14:$F$459,RAB!$C$14:$C$459,C789)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SUMIFS(RAB!$F$14:$F$459,RAB!$C$14:$C$459,C790)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SUMIFS(RAB!$F$14:$F$459,RAB!$C$14:$C$459,C791)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SUMIFS(RAB!$F$14:$F$459,RAB!$C$14:$C$459,C792)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SUMIFS(RAB!$F$14:$F$459,RAB!$C$14:$C$459,C793)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SUMIFS(RAB!$F$14:$F$459,RAB!$C$14:$C$459,C794)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SUMIFS(RAB!$F$14:$F$459,RAB!$C$14:$C$459,C795)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SUMIFS(RAB!$F$14:$F$459,RAB!$C$14:$C$459,C796)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SUMIFS(RAB!$F$14:$F$459,RAB!$C$14:$C$459,C797)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SUMIFS(RAB!$F$14:$F$459,RAB!$C$14:$C$459,C798)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SUMIFS(RAB!$F$14:$F$459,RAB!$C$14:$C$459,C799)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SUMIFS(RAB!$F$14:$F$459,RAB!$C$14:$C$459,C800)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SUMIFS(RAB!$F$14:$F$459,RAB!$C$14:$C$459,C801)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SUMIFS(RAB!$F$14:$F$459,RAB!$C$14:$C$459,C802)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SUMIFS(RAB!$F$14:$F$459,RAB!$C$14:$C$459,C803)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SUMIFS(RAB!$F$14:$F$459,RAB!$C$14:$C$459,C804)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SUMIFS(RAB!$F$14:$F$459,RAB!$C$14:$C$459,C805)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SUMIFS(RAB!$F$14:$F$459,RAB!$C$14:$C$459,C806)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SUMIFS(RAB!$F$14:$F$459,RAB!$C$14:$C$459,C807)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SUMIFS(RAB!$F$14:$F$459,RAB!$C$14:$C$459,C808)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SUMIFS(RAB!$F$14:$F$459,RAB!$C$14:$C$459,C809)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SUMIFS(RAB!$F$14:$F$459,RAB!$C$14:$C$459,C810)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SUMIFS(RAB!$F$14:$F$459,RAB!$C$14:$C$459,C811)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SUMIFS(RAB!$F$14:$F$459,RAB!$C$14:$C$459,C812)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SUMIFS(RAB!$F$14:$F$459,RAB!$C$14:$C$459,C813)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SUMIFS(RAB!$F$14:$F$459,RAB!$C$14:$C$459,C814)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SUMIFS(RAB!$F$14:$F$459,RAB!$C$14:$C$459,C815)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SUMIFS(RAB!$F$14:$F$459,RAB!$C$14:$C$459,C816)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SUMIFS(RAB!$F$14:$F$459,RAB!$C$14:$C$459,C817)</f>
        <v>6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SUMIFS(RAB!$F$14:$F$459,RAB!$C$14:$C$459,C818)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SUMIFS(RAB!$F$14:$F$459,RAB!$C$14:$C$459,C819)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SUMIFS(RAB!$F$14:$F$459,RAB!$C$14:$C$459,C820)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SUMIFS(RAB!$F$14:$F$459,RAB!$C$14:$C$459,C821)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SUMIFS(RAB!$F$14:$F$459,RAB!$C$14:$C$459,C822)</f>
        <v>9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SUMIFS(RAB!$F$14:$F$459,RAB!$C$14:$C$459,C823)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SUMIFS(RAB!$F$14:$F$459,RAB!$C$14:$C$459,C824)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SUMIFS(RAB!$F$14:$F$459,RAB!$C$14:$C$459,C825)</f>
        <v>91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SUMIFS(RAB!$F$14:$F$459,RAB!$C$14:$C$459,C826)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SUMIFS(RAB!$F$14:$F$459,RAB!$C$14:$C$459,C827)</f>
        <v>32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SUMIFS(RAB!$F$14:$F$459,RAB!$C$14:$C$459,C828)</f>
        <v>5240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SUMIFS(RAB!$F$14:$F$459,RAB!$C$14:$C$459,C829)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SUMIFS(RAB!$F$14:$F$459,RAB!$C$14:$C$459,C830)</f>
        <v>6</v>
      </c>
      <c r="E830" s="26">
        <f t="shared" ca="1" si="34"/>
        <v>1</v>
      </c>
      <c r="F830" s="26">
        <f ca="1">IF(D830=0,0,SUM($E$713:E830))</f>
        <v>9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SUMIFS(RAB!$F$14:$F$459,RAB!$C$14:$C$459,C831)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SUMIFS(RAB!$F$14:$F$459,RAB!$C$14:$C$459,C832)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SUMIFS(RAB!$F$14:$F$459,RAB!$C$14:$C$459,C833)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SUMIFS(RAB!$F$14:$F$459,RAB!$C$14:$C$459,C834)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SUMIFS(RAB!$F$14:$F$459,RAB!$C$14:$C$459,C835)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SUMIFS(RAB!$F$14:$F$459,RAB!$C$14:$C$459,C836)</f>
        <v>53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SUMIFS(RAB!$F$14:$F$459,RAB!$C$14:$C$459,C837)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SUMIFS(RAB!$F$14:$F$459,RAB!$C$14:$C$459,C838)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SUMIFS(RAB!$F$14:$F$459,RAB!$C$14:$C$459,C839)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SUMIFS(RAB!$F$14:$F$459,RAB!$C$14:$C$459,C840)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SUMIFS(RAB!$F$14:$F$459,RAB!$C$14:$C$459,C841)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SUMIFS(RAB!$F$14:$F$459,RAB!$C$14:$C$459,C842)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SUMIFS(RAB!$F$14:$F$459,RAB!$C$14:$C$459,C843)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SUMIFS(RAB!$F$14:$F$459,RAB!$C$14:$C$459,C844)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SUMIFS(RAB!$F$14:$F$459,RAB!$C$14:$C$459,C845)</f>
        <v>35</v>
      </c>
      <c r="E845" s="26">
        <f t="shared" ca="1" si="35"/>
        <v>1</v>
      </c>
      <c r="F845" s="26">
        <f ca="1">IF(D845=0,0,SUM($E$713:E845))</f>
        <v>11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SUMIFS(RAB!$F$14:$F$459,RAB!$C$14:$C$459,C846)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SUMIFS(RAB!$F$14:$F$459,RAB!$C$14:$C$459,C847)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SUMIFS(RAB!$F$14:$F$459,RAB!$C$14:$C$459,C848)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SUMIFS(RAB!$F$14:$F$459,RAB!$C$14:$C$459,C849)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SUMIFS(RAB!$F$14:$F$459,RAB!$C$14:$C$459,C850)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SUMIFS(RAB!$F$14:$F$459,RAB!$C$14:$C$459,C851)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SUMIFS(RAB!$F$14:$F$459,RAB!$C$14:$C$459,C852)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SUMIFS(RAB!$F$14:$F$459,RAB!$C$14:$C$459,C853)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SUMIFS(RAB!$F$14:$F$459,RAB!$C$14:$C$459,C854)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SUMIFS(RAB!$F$14:$F$459,RAB!$C$14:$C$459,C855)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SUMIFS(RAB!$F$14:$F$459,RAB!$C$14:$C$459,C856)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SUMIFS(RAB!$F$14:$F$459,RAB!$C$14:$C$459,C857)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SUMIFS(RAB!$F$14:$F$459,RAB!$C$14:$C$459,C858)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SUMIFS(RAB!$F$14:$F$459,RAB!$C$14:$C$459,C859)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SUMIFS(RAB!$F$14:$F$459,RAB!$C$14:$C$459,C860)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SUMIFS(RAB!$F$14:$F$459,RAB!$C$14:$C$459,C861)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SUMIFS(RAB!$F$14:$F$459,RAB!$C$14:$C$459,C862)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SUMIFS(RAB!$F$14:$F$459,RAB!$C$14:$C$459,C863)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SUMIFS(RAB!$F$14:$F$459,RAB!$C$14:$C$459,C864)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SUMIFS(RAB!$F$14:$F$459,RAB!$C$14:$C$459,C865)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SUMIFS(RAB!$F$14:$F$459,RAB!$C$14:$C$459,C866)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SUMIFS(RAB!$F$14:$F$459,RAB!$C$14:$C$459,C867)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SUMIFS(RAB!$F$14:$F$459,RAB!$C$14:$C$459,C868)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SUMIFS(RAB!$F$14:$F$459,RAB!$C$14:$C$459,C869)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SUMIFS(RAB!$F$14:$F$459,RAB!$C$14:$C$459,C870)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SUMIFS(RAB!$F$14:$F$459,RAB!$C$14:$C$459,C871)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SUMIFS(RAB!$F$14:$F$459,RAB!$C$14:$C$459,C872)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SUMIFS(RAB!$F$14:$F$459,RAB!$C$14:$C$459,C873)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SUMIFS(RAB!$F$14:$F$459,RAB!$C$14:$C$459,C874)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SUMIFS(RAB!$F$14:$F$459,RAB!$C$14:$C$459,C875)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SUMIFS(RAB!$F$14:$F$459,RAB!$C$14:$C$459,C876)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SUMIFS(RAB!$F$14:$F$459,RAB!$C$14:$C$459,C877)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SUMIFS(RAB!$F$14:$F$459,RAB!$C$14:$C$459,C878)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SUMIFS(RAB!$F$14:$F$459,RAB!$C$14:$C$459,C879)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SUMIFS(RAB!$F$14:$F$459,RAB!$C$14:$C$459,C880)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SUMIFS(RAB!$F$14:$F$459,RAB!$C$14:$C$459,C881)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SUMIFS(RAB!$F$14:$F$459,RAB!$C$14:$C$459,C882)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SUMIFS(RAB!$F$14:$F$459,RAB!$C$14:$C$459,C883)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SUMIFS(RAB!$F$14:$F$459,RAB!$C$14:$C$459,C884)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SUMIFS(RAB!$F$14:$F$459,RAB!$C$14:$C$459,C885)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SUMIFS(RAB!$F$14:$F$459,RAB!$C$14:$C$459,C886)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SUMIFS(RAB!$F$14:$F$459,RAB!$C$14:$C$459,C887)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SUMIFS(RAB!$F$14:$F$459,RAB!$C$14:$C$459,C888)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SUMIFS(RAB!$F$14:$F$459,RAB!$C$14:$C$459,C889)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SUMIFS(RAB!$F$14:$F$459,RAB!$C$14:$C$459,C890)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SUMIFS(RAB!$F$14:$F$459,RAB!$C$14:$C$459,C891)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SUMIFS(RAB!$F$14:$F$459,RAB!$C$14:$C$459,C892)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SUMIFS(RAB!$F$14:$F$459,RAB!$C$14:$C$459,C893)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SUMIFS(RAB!$F$14:$F$459,RAB!$C$14:$C$459,C894)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SUMIFS(RAB!$F$14:$F$459,RAB!$C$14:$C$459,C895)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SUMIFS(RAB!$F$14:$F$459,RAB!$C$14:$C$459,C896)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SUMIFS(RAB!$F$14:$F$459,RAB!$C$14:$C$459,C897)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SUMIFS(RAB!$F$14:$F$459,RAB!$C$14:$C$459,C898)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SUMIFS(RAB!$F$14:$F$459,RAB!$C$14:$C$459,C899)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SUMIFS(RAB!$F$14:$F$459,RAB!$C$14:$C$459,C900)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SUMIFS(RAB!$F$14:$F$459,RAB!$C$14:$C$459,C901)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SUMIFS(RAB!$F$14:$F$459,RAB!$C$14:$C$459,C902)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SUMIFS(RAB!$F$14:$F$459,RAB!$C$14:$C$459,C903)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SUMIFS(RAB!$F$14:$F$459,RAB!$C$14:$C$459,C904)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SUMIFS(RAB!$F$14:$F$459,RAB!$C$14:$C$459,C905)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SUMIFS(RAB!$F$14:$F$459,RAB!$C$14:$C$459,C906)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SUMIFS(RAB!$F$14:$F$459,RAB!$C$14:$C$459,C907)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SUMIFS(RAB!$F$14:$F$459,RAB!$C$14:$C$459,C908)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SUMIFS(RAB!$F$14:$F$459,RAB!$C$14:$C$459,C909)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SUMIFS(RAB!$F$14:$F$459,RAB!$C$14:$C$459,C910)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SUMIFS(RAB!$F$14:$F$459,RAB!$C$14:$C$459,C911)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SUMIFS(RAB!$F$14:$F$459,RAB!$C$14:$C$459,C912)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SUMIFS(RAB!$F$14:$F$459,RAB!$C$14:$C$459,C913)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SUMIFS(RAB!$F$14:$F$459,RAB!$C$14:$C$459,C914)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SUMIFS(RAB!$F$14:$F$459,RAB!$C$14:$C$459,C915)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SUMIFS(RAB!$F$14:$F$459,RAB!$C$14:$C$459,C916)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SUMIFS(RAB!$F$14:$F$459,RAB!$C$14:$C$459,C917)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SUMIFS(RAB!$F$14:$F$459,RAB!$C$14:$C$459,C918)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SUMIFS(RAB!$F$14:$F$459,RAB!$C$14:$C$459,C919)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SUMIFS(RAB!$F$14:$F$459,RAB!$C$14:$C$459,C920)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SUMIFS(RAB!$F$14:$F$459,RAB!$C$14:$C$459,C921)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SUMIFS(RAB!$F$14:$F$459,RAB!$C$14:$C$459,C922)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SUMIFS(RAB!$F$14:$F$459,RAB!$C$14:$C$459,C923)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SUMIFS(RAB!$F$14:$F$459,RAB!$C$14:$C$459,C924)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SUMIFS(RAB!$F$14:$F$459,RAB!$C$14:$C$459,C925)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SUMIFS(RAB!$F$14:$F$459,RAB!$C$14:$C$459,C926)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SUMIFS(RAB!$F$14:$F$459,RAB!$C$14:$C$459,C927)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SUMIFS(RAB!$F$14:$F$459,RAB!$C$14:$C$459,C928)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SUMIFS(RAB!$F$14:$F$459,RAB!$C$14:$C$459,C929)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SUMIFS(RAB!$F$14:$F$459,RAB!$C$14:$C$459,C930)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SUMIFS(RAB!$F$14:$F$459,RAB!$C$14:$C$459,C931)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SUMIFS(RAB!$F$14:$F$459,RAB!$C$14:$C$459,C932)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SUMIFS(RAB!$F$14:$F$459,RAB!$C$14:$C$459,C933)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SUMIFS(RAB!$F$14:$F$459,RAB!$C$14:$C$459,C934)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SUMIFS(RAB!$F$14:$F$459,RAB!$C$14:$C$459,C935)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SUMIFS(RAB!$F$14:$F$459,RAB!$C$14:$C$459,C936)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SUMIFS(RAB!$F$14:$F$459,RAB!$C$14:$C$459,C937)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SUMIFS(RAB!$F$14:$F$459,RAB!$C$14:$C$459,C938)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SUMIFS(RAB!$F$14:$F$459,RAB!$C$14:$C$459,C939)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SUMIFS(RAB!$F$14:$F$459,RAB!$C$14:$C$459,C940)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SUMIFS(RAB!$F$14:$F$459,RAB!$C$14:$C$459,C941)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SUMIFS(RAB!$F$14:$F$459,RAB!$C$14:$C$459,C942)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SUMIFS(RAB!$F$14:$F$459,RAB!$C$14:$C$459,C943)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SUMIFS(RAB!$F$14:$F$459,RAB!$C$14:$C$459,C944)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SUMIFS(RAB!$F$14:$F$459,RAB!$C$14:$C$459,C945)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SUMIFS(RAB!$F$14:$F$459,RAB!$C$14:$C$459,C946)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SUMIFS(RAB!$F$14:$F$459,RAB!$C$14:$C$459,C947)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SUMIFS(RAB!$F$14:$F$459,RAB!$C$14:$C$459,C948)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SUMIFS(RAB!$F$14:$F$459,RAB!$C$14:$C$459,C949)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SUMIFS(RAB!$F$14:$F$459,RAB!$C$14:$C$459,C950)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SUMIFS(RAB!$F$14:$F$459,RAB!$C$14:$C$459,C951)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SUMIFS(RAB!$F$14:$F$459,RAB!$C$14:$C$459,C952)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SUMIFS(RAB!$F$14:$F$459,RAB!$C$14:$C$459,C953)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SUMIFS(RAB!$F$14:$F$459,RAB!$C$14:$C$459,C954)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SUMIFS(RAB!$F$14:$F$459,RAB!$C$14:$C$459,C955)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SUMIFS(RAB!$F$14:$F$459,RAB!$C$14:$C$459,C956)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SUMIFS(RAB!$F$14:$F$459,RAB!$C$14:$C$459,C957)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SUMIFS(RAB!$F$14:$F$459,RAB!$C$14:$C$459,C958)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SUMIFS(RAB!$F$14:$F$459,RAB!$C$14:$C$459,C959)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SUMIFS(RAB!$F$14:$F$459,RAB!$C$14:$C$459,C960)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SUMIFS(RAB!$F$14:$F$459,RAB!$C$14:$C$459,C961)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SUMIFS(RAB!$F$14:$F$459,RAB!$C$14:$C$459,C962)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SUMIFS(RAB!$F$14:$F$459,RAB!$C$14:$C$459,C963)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SUMIFS(RAB!$F$14:$F$459,RAB!$C$14:$C$459,C964)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SUMIFS(RAB!$F$14:$F$459,RAB!$C$14:$C$459,C965)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SUMIFS(RAB!$F$14:$F$459,RAB!$C$14:$C$459,C966)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SUMIFS(RAB!$F$14:$F$459,RAB!$C$14:$C$459,C967)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SUMIFS(RAB!$F$14:$F$459,RAB!$C$14:$C$459,C968)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SUMIFS(RAB!$F$14:$F$459,RAB!$C$14:$C$459,C969)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SUMIFS(RAB!$F$14:$F$459,RAB!$C$14:$C$459,C970)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SUMIFS(RAB!$F$14:$F$459,RAB!$C$14:$C$459,C971)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SUMIFS(RAB!$F$14:$F$459,RAB!$C$14:$C$459,C972)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SUMIFS(RAB!$F$14:$F$459,RAB!$C$14:$C$459,C973)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SUMIFS(RAB!$F$14:$F$459,RAB!$C$14:$C$459,C974)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SUMIFS(RAB!$F$14:$F$459,RAB!$C$14:$C$459,C975)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SUMIFS(RAB!$F$14:$F$459,RAB!$C$14:$C$459,C976)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SUMIFS(RAB!$F$14:$F$459,RAB!$C$14:$C$459,C977)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SUMIFS(RAB!$F$14:$F$459,RAB!$C$14:$C$459,C978)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SUMIFS(RAB!$F$14:$F$459,RAB!$C$14:$C$459,C979)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SUMIFS(RAB!$F$14:$F$459,RAB!$C$14:$C$459,C980)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SUMIFS(RAB!$F$14:$F$459,RAB!$C$14:$C$459,C981)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SUMIFS(RAB!$F$14:$F$459,RAB!$C$14:$C$459,C982)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SUMIFS(RAB!$F$14:$F$459,RAB!$C$14:$C$459,C983)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SUMIFS(RAB!$F$14:$F$459,RAB!$C$14:$C$459,C984)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SUMIFS(RAB!$F$14:$F$459,RAB!$C$14:$C$459,C985)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SUMIFS(RAB!$F$14:$F$459,RAB!$C$14:$C$459,C986)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SUMIFS(RAB!$F$14:$F$459,RAB!$C$14:$C$459,C987)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SUMIFS(RAB!$F$14:$F$459,RAB!$C$14:$C$459,C988)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SUMIFS(RAB!$F$14:$F$459,RAB!$C$14:$C$459,C989)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SUMIFS(RAB!$F$14:$F$459,RAB!$C$14:$C$459,C990)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SUMIFS(RAB!$F$14:$F$459,RAB!$C$14:$C$459,C991)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SUMIFS(RAB!$F$14:$F$459,RAB!$C$14:$C$459,C992)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SUMIFS(RAB!$F$14:$F$459,RAB!$C$14:$C$459,C993)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SUMIFS(RAB!$F$14:$F$459,RAB!$C$14:$C$459,C994)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SUMIFS(RAB!$F$14:$F$459,RAB!$C$14:$C$459,C995)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SUMIFS(RAB!$F$14:$F$459,RAB!$C$14:$C$459,C996)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SUMIFS(RAB!$F$14:$F$459,RAB!$C$14:$C$459,C997)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SUMIFS(RAB!$F$14:$F$459,RAB!$C$14:$C$459,C998)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SUMIFS(RAB!$F$14:$F$459,RAB!$C$14:$C$459,C999)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SUMIFS(RAB!$F$14:$F$459,RAB!$C$14:$C$459,C1000)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SUMIFS(RAB!$F$14:$F$459,RAB!$C$14:$C$459,C1001)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SUMIFS(RAB!$F$14:$F$459,RAB!$C$14:$C$459,C1002)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SUMIFS(RAB!$F$14:$F$459,RAB!$C$14:$C$459,C1003)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SUMIFS(RAB!$F$14:$F$459,RAB!$C$14:$C$459,C1004)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SUMIFS(RAB!$F$14:$F$459,RAB!$C$14:$C$459,C1005)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SUMIFS(RAB!$F$14:$F$459,RAB!$C$14:$C$459,C1006)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SUMIFS(RAB!$F$14:$F$459,RAB!$C$14:$C$459,C1007)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SUMIFS(RAB!$F$14:$F$459,RAB!$C$14:$C$459,C1008)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SUMIFS(RAB!$F$14:$F$459,RAB!$C$14:$C$459,C1009)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SUMIFS(RAB!$F$14:$F$459,RAB!$C$14:$C$459,C1010)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SUMIFS(RAB!$F$14:$F$459,RAB!$C$14:$C$459,C1011)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SUMIFS(RAB!$F$14:$F$459,RAB!$C$14:$C$459,C1012)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SUMIFS(RAB!$F$14:$F$459,RAB!$C$14:$C$459,C1013)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SUMIFS(RAB!$F$14:$F$459,RAB!$C$14:$C$459,C1014)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SUMIFS(RAB!$F$14:$F$459,RAB!$C$14:$C$459,C1015)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SUMIFS(RAB!$F$14:$F$459,RAB!$C$14:$C$459,C1016)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SUMIFS(RAB!$F$14:$F$459,RAB!$C$14:$C$459,C1017)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SUMIFS(RAB!$F$14:$F$459,RAB!$C$14:$C$459,C1018)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SUMIFS(RAB!$F$14:$F$459,RAB!$C$14:$C$459,C1019)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SUMIFS(RAB!$F$14:$F$459,RAB!$C$14:$C$459,C1020)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SUMIFS(RAB!$F$14:$F$459,RAB!$C$14:$C$459,C1021)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SUMIFS(RAB!$F$14:$F$459,RAB!$C$14:$C$459,C1022)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SUMIFS(RAB!$F$14:$F$459,RAB!$C$14:$C$459,C1023)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SUMIFS(RAB!$F$14:$F$459,RAB!$C$14:$C$459,C1024)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SUMIFS(RAB!$F$14:$F$459,RAB!$C$14:$C$459,C1025)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SUMIFS(RAB!$F$14:$F$459,RAB!$C$14:$C$459,C1026)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SUMIFS(RAB!$F$14:$F$459,RAB!$C$14:$C$459,C1027)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SUMIFS(RAB!$F$14:$F$459,RAB!$C$14:$C$459,C1028)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SUMIFS(RAB!$F$14:$F$459,RAB!$C$14:$C$459,C1029)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SUMIFS(RAB!$F$14:$F$459,RAB!$C$14:$C$459,C1030)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SUMIFS(RAB!$F$14:$F$459,RAB!$C$14:$C$459,C1031)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SUMIFS(RAB!$F$14:$F$459,RAB!$C$14:$C$459,C1032)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SUMIFS(RAB!$F$14:$F$459,RAB!$C$14:$C$459,C1033)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SUMIFS(RAB!$F$14:$F$459,RAB!$C$14:$C$459,C1034)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SUMIFS(RAB!$F$14:$F$459,RAB!$C$14:$C$459,C1035)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SUMIFS(RAB!$F$14:$F$459,RAB!$C$14:$C$459,C1036)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SUMIFS(RAB!$F$14:$F$459,RAB!$C$14:$C$459,C1037)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SUMIFS(RAB!$F$14:$F$459,RAB!$C$14:$C$459,C1038)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SUMIFS(RAB!$F$14:$F$459,RAB!$C$14:$C$459,C1039)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SUMIFS(RAB!$F$14:$F$459,RAB!$C$14:$C$459,C1040)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SUMIFS(RAB!$F$14:$F$459,RAB!$C$14:$C$459,C1041)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SUMIFS(RAB!$F$14:$F$459,RAB!$C$14:$C$459,C1042)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SUMIFS(RAB!$F$14:$F$459,RAB!$C$14:$C$459,C1043)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SUMIFS(RAB!$F$14:$F$459,RAB!$C$14:$C$459,C1044)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SUMIFS(RAB!$F$14:$F$459,RAB!$C$14:$C$459,C1045)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SUMIFS(RAB!$F$14:$F$459,RAB!$C$14:$C$459,C1046)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SUMIFS(RAB!$F$14:$F$459,RAB!$C$14:$C$459,C1047)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SUMIFS(RAB!$F$14:$F$459,RAB!$C$14:$C$459,C1048)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SUMIFS(RAB!$F$14:$F$459,RAB!$C$14:$C$459,C1049)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SUMIFS(RAB!$F$14:$F$459,RAB!$C$14:$C$459,C1050)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SUMIFS(RAB!$F$14:$F$459,RAB!$C$14:$C$459,C1051)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SUMIFS(RAB!$F$14:$F$459,RAB!$C$14:$C$459,C1052)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SUMIFS(RAB!$F$14:$F$459,RAB!$C$14:$C$459,C1053)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SUMIFS(RAB!$F$14:$F$459,RAB!$C$14:$C$459,C1054)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SUMIFS(RAB!$F$14:$F$459,RAB!$C$14:$C$459,C1055)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SUMIFS(RAB!$F$14:$F$459,RAB!$C$14:$C$459,C1056)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SUMIFS(RAB!$F$14:$F$459,RAB!$C$14:$C$459,C1057)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SUMIFS(RAB!$F$14:$F$459,RAB!$C$14:$C$459,C1058)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SUMIFS(RAB!$F$14:$F$459,RAB!$C$14:$C$459,C1059)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SUMIFS(RAB!$F$14:$F$459,RAB!$C$14:$C$459,C1060)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SUMIFS(RAB!$F$14:$F$459,RAB!$C$14:$C$459,C1061)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SUMIFS(RAB!$F$14:$F$459,RAB!$C$14:$C$459,C1062)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SUMIFS(RAB!$F$14:$F$459,RAB!$C$14:$C$459,C1063)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SUMIFS(RAB!$F$14:$F$459,RAB!$C$14:$C$459,C1064)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SUMIFS(RAB!$F$14:$F$459,RAB!$C$14:$C$459,C1065)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SUMIFS(RAB!$F$14:$F$459,RAB!$C$14:$C$459,C1066)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SUMIFS(RAB!$F$14:$F$459,RAB!$C$14:$C$459,C1067)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SUMIFS(RAB!$F$14:$F$459,RAB!$C$14:$C$459,C1068)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SUMIFS(RAB!$F$14:$F$459,RAB!$C$14:$C$459,C1069)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SUMIFS(RAB!$F$14:$F$459,RAB!$C$14:$C$459,C1070)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SUMIFS(RAB!$F$14:$F$459,RAB!$C$14:$C$459,C1071)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SUMIFS(RAB!$F$14:$F$459,RAB!$C$14:$C$459,C1072)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SUMIFS(RAB!$F$14:$F$459,RAB!$C$14:$C$459,C1073)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SUMIFS(RAB!$F$14:$F$459,RAB!$C$14:$C$459,C1074)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SUMIFS(RAB!$F$14:$F$459,RAB!$C$14:$C$459,C1075)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SUMIFS(RAB!$F$14:$F$459,RAB!$C$14:$C$459,C1076)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SUMIFS(RAB!$F$14:$F$459,RAB!$C$14:$C$459,C1077)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SUMIFS(RAB!$F$14:$F$459,RAB!$C$14:$C$459,C1078)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SUMIFS(RAB!$F$14:$F$459,RAB!$C$14:$C$459,C1079)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SUMIFS(RAB!$F$14:$F$459,RAB!$C$14:$C$459,C1080)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SUMIFS(RAB!$F$14:$F$459,RAB!$C$14:$C$459,C1081)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SUMIFS(RAB!$F$14:$F$459,RAB!$C$14:$C$459,C1082)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SUMIFS(RAB!$F$14:$F$459,RAB!$C$14:$C$459,C1083)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SUMIFS(RAB!$F$14:$F$459,RAB!$C$14:$C$459,C1084)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SUMIFS(RAB!$F$14:$F$459,RAB!$C$14:$C$459,C1085)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SUMIFS(RAB!$F$14:$F$459,RAB!$C$14:$C$459,C1086)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SUMIFS(RAB!$F$14:$F$459,RAB!$C$14:$C$459,C1087)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SUMIFS(RAB!$F$14:$F$459,RAB!$C$14:$C$459,C1088)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SUMIFS(RAB!$F$14:$F$459,RAB!$C$14:$C$459,C1089)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SUMIFS(RAB!$F$14:$F$459,RAB!$C$14:$C$459,C1090)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SUMIFS(RAB!$F$14:$F$459,RAB!$C$14:$C$459,C1091)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SUMIFS(RAB!$F$14:$F$459,RAB!$C$14:$C$459,C1092)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SUMIFS(RAB!$F$14:$F$459,RAB!$C$14:$C$459,C1093)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SUMIFS(RAB!$F$14:$F$459,RAB!$C$14:$C$459,C1094)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SUMIFS(RAB!$F$14:$F$459,RAB!$C$14:$C$459,C1095)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SUMIFS(RAB!$F$14:$F$459,RAB!$C$14:$C$459,C1096)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SUMIFS(RAB!$F$14:$F$459,RAB!$C$14:$C$459,C1097)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SUMIFS(RAB!$F$14:$F$459,RAB!$C$14:$C$459,C1098)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SUMIFS(RAB!$F$14:$F$459,RAB!$C$14:$C$459,C1099)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SUMIFS(RAB!$F$14:$F$459,RAB!$C$14:$C$459,C1100)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SUMIFS(RAB!$F$14:$F$459,RAB!$C$14:$C$459,C1101)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SUMIFS(RAB!$F$14:$F$459,RAB!$C$14:$C$459,C1102)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SUMIFS(RAB!$F$14:$F$459,RAB!$C$14:$C$459,C1103)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SUMIFS(RAB!$F$14:$F$459,RAB!$C$14:$C$459,C1104)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SUMIFS(RAB!$F$14:$F$459,RAB!$C$14:$C$459,C1105)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SUMIFS(RAB!$F$14:$F$459,RAB!$C$14:$C$459,C1106)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SUMIFS(RAB!$F$14:$F$459,RAB!$C$14:$C$459,C1107)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SUMIFS(RAB!$F$14:$F$459,RAB!$C$14:$C$459,C1108)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SUMIFS(RAB!$F$14:$F$459,RAB!$C$14:$C$459,C1109)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SUMIFS(RAB!$F$14:$F$459,RAB!$C$14:$C$459,C1110)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SUMIFS(RAB!$F$14:$F$459,RAB!$C$14:$C$459,C1111)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SUMIFS(RAB!$F$14:$F$459,RAB!$C$14:$C$459,C1112)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SUMIFS(RAB!$F$14:$F$459,RAB!$C$14:$C$459,C1113)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SUMIFS(RAB!$F$14:$F$459,RAB!$C$14:$C$459,C1114)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SUMIFS(RAB!$F$14:$F$459,RAB!$C$14:$C$459,C1115)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SUMIFS(RAB!$F$14:$F$459,RAB!$C$14:$C$459,C1116)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SUMIFS(RAB!$F$14:$F$459,RAB!$C$14:$C$459,C1117)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SUMIFS(RAB!$F$14:$F$459,RAB!$C$14:$C$459,C1118)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SUMIFS(RAB!$F$14:$F$459,RAB!$C$14:$C$459,C1119)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SUMIFS(RAB!$F$14:$F$459,RAB!$C$14:$C$459,C1120)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SUMIFS(RAB!$F$14:$F$459,RAB!$C$14:$C$459,C1121)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SUMIFS(RAB!$F$14:$F$459,RAB!$C$14:$C$459,C1122)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SUMIFS(RAB!$F$14:$F$459,RAB!$C$14:$C$459,C1123)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SUMIFS(RAB!$F$14:$F$459,RAB!$C$14:$C$459,C1124)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SUMIFS(RAB!$F$14:$F$459,RAB!$C$14:$C$459,C1125)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SUMIFS(RAB!$F$14:$F$459,RAB!$C$14:$C$459,C1126)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SUMIFS(RAB!$F$14:$F$459,RAB!$C$14:$C$459,C1127)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SUMIFS(RAB!$F$14:$F$459,RAB!$C$14:$C$459,C1128)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SUMIFS(RAB!$F$14:$F$459,RAB!$C$14:$C$459,C1129)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SUMIFS(RAB!$F$14:$F$459,RAB!$C$14:$C$459,C1130)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SUMIFS(RAB!$F$14:$F$459,RAB!$C$14:$C$459,C1131)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SUMIFS(RAB!$F$14:$F$459,RAB!$C$14:$C$459,C1132)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SUMIFS(RAB!$F$14:$F$459,RAB!$C$14:$C$459,C1133)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SUMIFS(RAB!$F$14:$F$459,RAB!$C$14:$C$459,C1134)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SUMIFS(RAB!$F$14:$F$459,RAB!$C$14:$C$459,C1135)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SUMIFS(RAB!$F$14:$F$459,RAB!$C$14:$C$459,C1136)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SUMIFS(RAB!$F$14:$F$459,RAB!$C$14:$C$459,C1137)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SUMIFS(RAB!$F$14:$F$459,RAB!$C$14:$C$459,C1138)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SUMIFS(RAB!$F$14:$F$459,RAB!$C$14:$C$459,C1139)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SUMIFS(RAB!$F$14:$F$459,RAB!$C$14:$C$459,C1140)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SUMIFS(RAB!$F$14:$F$459,RAB!$C$14:$C$459,C1141)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SUMIFS(RAB!$F$14:$F$459,RAB!$C$14:$C$459,C1142)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SUMIFS(RAB!$F$14:$F$459,RAB!$C$14:$C$459,C1143)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SUMIFS(RAB!$F$14:$F$459,RAB!$C$14:$C$459,C1144)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SUMIFS(RAB!$F$14:$F$459,RAB!$C$14:$C$459,C1145)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SUMIFS(RAB!$F$14:$F$459,RAB!$C$14:$C$459,C1146)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SUMIFS(RAB!$F$14:$F$459,RAB!$C$14:$C$459,C1147)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SUMIFS(RAB!$F$14:$F$459,RAB!$C$14:$C$459,C1148)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SUMIFS(RAB!$F$14:$F$459,RAB!$C$14:$C$459,C1149)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SUMIFS(RAB!$F$14:$F$459,RAB!$C$14:$C$459,C1150)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SUMIFS(RAB!$F$14:$F$459,RAB!$C$14:$C$459,C1151)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SUMIFS(RAB!$F$14:$F$459,RAB!$C$14:$C$459,C1152)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SUMIFS(RAB!$F$14:$F$459,RAB!$C$14:$C$459,C1153)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SUMIFS(RAB!$F$14:$F$459,RAB!$C$14:$C$459,C1154)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SUMIFS(RAB!$F$14:$F$459,RAB!$C$14:$C$459,C1155)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SUMIFS(RAB!$F$14:$F$459,RAB!$C$14:$C$459,C1156)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SUMIFS(RAB!$F$14:$F$459,RAB!$C$14:$C$459,C1157)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SUMIFS(RAB!$F$14:$F$459,RAB!$C$14:$C$459,C1158)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SUMIFS(RAB!$F$14:$F$459,RAB!$C$14:$C$459,C1159)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SUMIFS(RAB!$F$14:$F$459,RAB!$C$14:$C$459,C1160)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SUMIFS(RAB!$F$14:$F$459,RAB!$C$14:$C$459,C1161)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SUMIFS(RAB!$F$14:$F$459,RAB!$C$14:$C$459,C1162)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SUMIFS(RAB!$F$14:$F$459,RAB!$C$14:$C$459,C1163)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SUMIFS(RAB!$F$14:$F$459,RAB!$C$14:$C$459,C1164)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SUMIFS(RAB!$F$14:$F$459,RAB!$C$14:$C$459,C1165)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SUMIFS(RAB!$F$14:$F$459,RAB!$C$14:$C$459,C1166)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SUMIFS(RAB!$F$14:$F$459,RAB!$C$14:$C$459,C1167)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SUMIFS(RAB!$F$14:$F$459,RAB!$C$14:$C$459,C1168)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SUMIFS(RAB!$F$14:$F$459,RAB!$C$14:$C$459,C1169)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SUMIFS(RAB!$F$14:$F$459,RAB!$C$14:$C$459,C1170)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SUMIFS(RAB!$F$14:$F$459,RAB!$C$14:$C$459,C1171)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SUMIFS(RAB!$F$14:$F$459,RAB!$C$14:$C$459,C1172)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SUMIFS(RAB!$F$14:$F$459,RAB!$C$14:$C$459,C1173)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SUMIFS(RAB!$F$14:$F$459,RAB!$C$14:$C$459,C1174)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SUMIFS(RAB!$F$14:$F$459,RAB!$C$14:$C$459,C1175)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SUMIFS(RAB!$F$14:$F$459,RAB!$C$14:$C$459,C1176)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SUMIFS(RAB!$F$14:$F$459,RAB!$C$14:$C$459,C1177)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SUMIFS(RAB!$F$14:$F$459,RAB!$C$14:$C$459,C1178)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SUMIFS(RAB!$F$14:$F$459,RAB!$C$14:$C$459,C1179)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SUMIFS(RAB!$F$14:$F$459,RAB!$C$14:$C$459,C1180)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SUMIFS(RAB!$F$14:$F$459,RAB!$C$14:$C$459,C1181)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SUMIFS(RAB!$F$14:$F$459,RAB!$C$14:$C$459,C1182)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SUMIFS(RAB!$F$14:$F$459,RAB!$C$14:$C$459,C1183)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SUMIFS(RAB!$F$14:$F$459,RAB!$C$14:$C$459,C1184)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SUMIFS(RAB!$F$14:$F$459,RAB!$C$14:$C$459,C1185)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SUMIFS(RAB!$F$14:$F$459,RAB!$C$14:$C$459,C1186)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SUMIFS(RAB!$F$14:$F$459,RAB!$C$14:$C$459,C1187)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SUMIFS(RAB!$F$14:$F$459,RAB!$C$14:$C$459,C1188)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SUMIFS(RAB!$F$14:$F$459,RAB!$C$14:$C$459,C1189)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SUMIFS(RAB!$F$14:$F$459,RAB!$C$14:$C$459,C1190)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SUMIFS(RAB!$F$14:$F$459,RAB!$C$14:$C$459,C1191)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SUMIFS(RAB!$F$14:$F$459,RAB!$C$14:$C$459,C1192)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SUMIFS(RAB!$F$14:$F$459,RAB!$C$14:$C$459,C1193)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SUMIFS(RAB!$F$14:$F$459,RAB!$C$14:$C$459,C1194)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SUMIFS(RAB!$F$14:$F$459,RAB!$C$14:$C$459,C1195)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SUMIFS(RAB!$F$14:$F$459,RAB!$C$14:$C$459,C1196)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SUMIFS(RAB!$F$14:$F$459,RAB!$C$14:$C$459,C1197)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SUMIFS(RAB!$F$14:$F$459,RAB!$C$14:$C$459,C1198)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SUMIFS(RAB!$F$14:$F$459,RAB!$C$14:$C$459,C1199)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SUMIFS(RAB!$F$14:$F$459,RAB!$C$14:$C$459,C1200)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SUMIFS(RAB!$F$14:$F$459,RAB!$C$14:$C$459,C1201)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SUMIFS(RAB!$F$14:$F$459,RAB!$C$14:$C$459,C1202)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SUMIFS(RAB!$F$14:$F$459,RAB!$C$14:$C$459,C1203)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SUMIFS(RAB!$F$14:$F$459,RAB!$C$14:$C$459,C1204)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SUMIFS(RAB!$F$14:$F$459,RAB!$C$14:$C$459,C1205)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SUMIFS(RAB!$F$14:$F$459,RAB!$C$14:$C$459,C1206)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SUMIFS(RAB!$F$14:$F$459,RAB!$C$14:$C$459,C1207)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SUMIFS(RAB!$F$14:$F$459,RAB!$C$14:$C$459,C1208)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SUMIFS(RAB!$F$14:$F$459,RAB!$C$14:$C$459,C1209)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SUMIFS(RAB!$F$14:$F$459,RAB!$C$14:$C$459,C1210)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SUMIFS(RAB!$F$14:$F$459,RAB!$C$14:$C$459,C1211)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SUMIFS(RAB!$F$14:$F$459,RAB!$C$14:$C$459,C1212)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SUMIFS(RAB!$F$14:$F$459,RAB!$C$14:$C$459,C1213)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SUMIFS(RAB!$F$14:$F$459,RAB!$C$14:$C$459,C1214)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SUMIFS(RAB!$F$14:$F$459,RAB!$C$14:$C$459,C1215)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SUMIFS(RAB!$F$14:$F$459,RAB!$C$14:$C$459,C1216)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SUMIFS(RAB!$F$14:$F$459,RAB!$C$14:$C$459,C1217)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SUMIFS(RAB!$F$14:$F$459,RAB!$C$14:$C$459,C1218)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SUMIFS(RAB!$F$14:$F$459,RAB!$C$14:$C$459,C1219)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SUMIFS(RAB!$F$14:$F$459,RAB!$C$14:$C$459,C1220)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SUMIFS(RAB!$F$14:$F$459,RAB!$C$14:$C$459,C1221)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SUMIFS(RAB!$F$14:$F$459,RAB!$C$14:$C$459,C1222)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SUMIFS(RAB!$F$14:$F$459,RAB!$C$14:$C$459,C1223)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SUMIFS(RAB!$F$14:$F$459,RAB!$C$14:$C$459,C1224)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SUMIFS(RAB!$F$14:$F$459,RAB!$C$14:$C$459,C1225)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SUMIFS(RAB!$F$14:$F$459,RAB!$C$14:$C$459,C1226)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SUMIFS(RAB!$F$14:$F$459,RAB!$C$14:$C$459,C1227)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SUMIFS(RAB!$F$14:$F$459,RAB!$C$14:$C$459,C1228)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SUMIFS(RAB!$F$14:$F$459,RAB!$C$14:$C$459,C1229)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SUMIFS(RAB!$F$14:$F$459,RAB!$C$14:$C$459,C1230)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SUMIFS(RAB!$F$14:$F$459,RAB!$C$14:$C$459,C1231)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SUMIFS(RAB!$F$14:$F$459,RAB!$C$14:$C$459,C1232)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SUMIFS(RAB!$F$14:$F$459,RAB!$C$14:$C$459,C1233)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SUMIFS(RAB!$F$14:$F$459,RAB!$C$14:$C$459,C1234)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SUMIFS(RAB!$F$14:$F$459,RAB!$C$14:$C$459,C1235)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SUMIFS(RAB!$F$14:$F$459,RAB!$C$14:$C$459,C1236)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SUMIFS(RAB!$F$14:$F$459,RAB!$C$14:$C$459,C1237)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SUMIFS(RAB!$F$14:$F$459,RAB!$C$14:$C$459,C1238)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SUMIFS(RAB!$F$14:$F$459,RAB!$C$14:$C$459,C1239)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SUMIFS(RAB!$F$14:$F$459,RAB!$C$14:$C$459,C1240)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SUMIFS(RAB!$F$14:$F$459,RAB!$C$14:$C$459,C1241)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SUMIFS(RAB!$F$14:$F$459,RAB!$C$14:$C$459,C1242)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SUMIFS(RAB!$F$14:$F$459,RAB!$C$14:$C$459,C1243)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SUMIFS(RAB!$F$14:$F$459,RAB!$C$14:$C$459,C1244)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SUMIFS(RAB!$F$14:$F$459,RAB!$C$14:$C$459,C1245)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SUMIFS(RAB!$F$14:$F$459,RAB!$C$14:$C$459,C1246)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SUMIFS(RAB!$F$14:$F$459,RAB!$C$14:$C$459,C1247)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SUMIFS(RAB!$F$14:$F$459,RAB!$C$14:$C$459,C1248)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SUMIFS(RAB!$F$14:$F$459,RAB!$C$14:$C$459,C1249)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SUMIFS(RAB!$F$14:$F$459,RAB!$C$14:$C$459,C1250)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SUMIFS(RAB!$F$14:$F$459,RAB!$C$14:$C$459,C1251)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SUMIFS(RAB!$F$14:$F$459,RAB!$C$14:$C$459,C1252)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SUMIFS(RAB!$F$14:$F$459,RAB!$C$14:$C$459,C1253)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SUMIFS(RAB!$F$14:$F$459,RAB!$C$14:$C$459,C1254)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SUMIFS(RAB!$F$14:$F$459,RAB!$C$14:$C$459,C1255)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SUMIFS(RAB!$F$14:$F$459,RAB!$C$14:$C$459,C1256)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SUMIFS(RAB!$F$14:$F$459,RAB!$C$14:$C$459,C1257)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SUMIFS(RAB!$F$14:$F$459,RAB!$C$14:$C$459,C1258)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SUMIFS(RAB!$F$14:$F$459,RAB!$C$14:$C$459,C1259)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SUMIFS(RAB!$F$14:$F$459,RAB!$C$14:$C$459,C1260)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SUMIFS(RAB!$F$14:$F$459,RAB!$C$14:$C$459,C1261)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SUMIFS(RAB!$F$14:$F$459,RAB!$C$14:$C$459,C1262)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SUMIFS(RAB!$F$14:$F$459,RAB!$C$14:$C$459,C1263)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SUMIFS(RAB!$F$14:$F$459,RAB!$C$14:$C$459,C1264)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SUMIFS(RAB!$F$14:$F$459,RAB!$C$14:$C$459,C1265)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SUMIFS(RAB!$F$14:$F$459,RAB!$C$14:$C$459,C1266)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SUMIFS(RAB!$F$14:$F$459,RAB!$C$14:$C$459,C1267)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SUMIFS(RAB!$F$14:$F$459,RAB!$C$14:$C$459,C1268)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SUMIFS(RAB!$F$14:$F$459,RAB!$C$14:$C$459,C1269)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SUMIFS(RAB!$F$14:$F$459,RAB!$C$14:$C$459,C1270)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SUMIFS(RAB!$F$14:$F$459,RAB!$C$14:$C$459,C1271)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SUMIFS(RAB!$F$14:$F$459,RAB!$C$14:$C$459,C1272)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SUMIFS(RAB!$F$14:$F$459,RAB!$C$14:$C$459,C1273)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SUMIFS(RAB!$F$14:$F$459,RAB!$C$14:$C$459,C1274)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SUMIFS(RAB!$F$14:$F$459,RAB!$C$14:$C$459,C1275)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SUMIFS(RAB!$F$14:$F$459,RAB!$C$14:$C$459,C1276)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SUMIFS(RAB!$F$14:$F$459,RAB!$C$14:$C$459,C1277)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SUMIFS(RAB!$F$14:$F$459,RAB!$C$14:$C$459,C1278)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SUMIFS(RAB!$F$14:$F$459,RAB!$C$14:$C$459,C1279)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SUMIFS(RAB!$F$14:$F$459,RAB!$C$14:$C$459,C1280)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SUMIFS(RAB!$F$14:$F$459,RAB!$C$14:$C$459,C1281)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SUMIFS(RAB!$F$14:$F$459,RAB!$C$14:$C$459,C1282)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SUMIFS(RAB!$F$14:$F$459,RAB!$C$14:$C$459,C1283)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SUMIFS(RAB!$F$14:$F$459,RAB!$C$14:$C$459,C1284)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SUMIFS(RAB!$F$14:$F$459,RAB!$C$14:$C$459,C1285)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SUMIFS(RAB!$F$14:$F$459,RAB!$C$14:$C$459,C1286)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SUMIFS(RAB!$F$14:$F$459,RAB!$C$14:$C$459,C1287)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SUMIFS(RAB!$F$14:$F$459,RAB!$C$14:$C$459,C1288)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SUMIFS(RAB!$F$14:$F$459,RAB!$C$14:$C$459,C1289)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SUMIFS(RAB!$F$14:$F$459,RAB!$C$14:$C$459,C1290)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SUMIFS(RAB!$F$14:$F$459,RAB!$C$14:$C$459,C1291)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SUMIFS(RAB!$F$14:$F$459,RAB!$C$14:$C$459,C1292)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SUMIFS(RAB!$F$14:$F$459,RAB!$C$14:$C$459,C1293)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SUMIFS(RAB!$F$14:$F$459,RAB!$C$14:$C$459,C1294)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SUMIFS(RAB!$F$14:$F$459,RAB!$C$14:$C$459,C1295)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SUMIFS(RAB!$F$14:$F$459,RAB!$C$14:$C$459,C1296)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SUMIFS(RAB!$F$14:$F$459,RAB!$C$14:$C$459,C1297)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SUMIFS(RAB!$F$14:$F$459,RAB!$C$14:$C$459,C1298)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SUMIFS(RAB!$F$14:$F$459,RAB!$C$14:$C$459,C1299)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SUMIFS(RAB!$F$14:$F$459,RAB!$C$14:$C$459,C1300)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SUMIFS(RAB!$F$14:$F$459,RAB!$C$14:$C$459,C1301)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SUMIFS(RAB!$F$14:$F$459,RAB!$C$14:$C$459,C1302)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SUMIFS(RAB!$F$14:$F$459,RAB!$C$14:$C$459,C1303)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SUMIFS(RAB!$F$14:$F$459,RAB!$C$14:$C$459,C1304)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SUMIFS(RAB!$F$14:$F$459,RAB!$C$14:$C$459,C1305)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SUMIFS(RAB!$F$14:$F$459,RAB!$C$14:$C$459,C1306)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SUMIFS(RAB!$F$14:$F$459,RAB!$C$14:$C$459,C1307)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SUMIFS(RAB!$F$14:$F$459,RAB!$C$14:$C$459,C1308)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SUMIFS(RAB!$F$14:$F$459,RAB!$C$14:$C$459,C1309)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SUMIFS(RAB!$F$14:$F$459,RAB!$C$14:$C$459,C1310)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SUMIFS(RAB!$F$14:$F$459,RAB!$C$14:$C$459,C1311)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SUMIFS(RAB!$F$14:$F$459,RAB!$C$14:$C$459,C1312)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SUMIFS(RAB!$F$14:$F$459,RAB!$C$14:$C$459,C1313)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SUMIFS(RAB!$F$14:$F$459,RAB!$C$14:$C$459,C1314)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SUMIFS(RAB!$F$14:$F$459,RAB!$C$14:$C$459,C1315)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SUMIFS(RAB!$F$14:$F$459,RAB!$C$14:$C$459,C1316)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SUMIFS(RAB!$F$14:$F$459,RAB!$C$14:$C$459,C1317)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SUMIFS(RAB!$F$14:$F$459,RAB!$C$14:$C$459,C1318)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SUMIFS(RAB!$F$14:$F$459,RAB!$C$14:$C$459,C1319)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SUMIFS(RAB!$F$14:$F$459,RAB!$C$14:$C$459,C1320)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2" priority="5" operator="equal">
      <formula>0</formula>
    </cfRule>
  </conditionalFormatting>
  <conditionalFormatting sqref="A10:L65536">
    <cfRule type="cellIs" dxfId="81" priority="1" operator="equal">
      <formula>0</formula>
    </cfRule>
  </conditionalFormatting>
  <conditionalFormatting sqref="C12:C711">
    <cfRule type="cellIs" dxfId="80" priority="66" stopIfTrue="1" operator="equal">
      <formula>0</formula>
    </cfRule>
  </conditionalFormatting>
  <conditionalFormatting sqref="E712:E65536">
    <cfRule type="cellIs" dxfId="79" priority="16" stopIfTrue="1" operator="equal">
      <formula>0</formula>
    </cfRule>
  </conditionalFormatting>
  <conditionalFormatting sqref="G1:G11 E6:E11 E1:E3 H7 H10:H11 F10:F711 G712:G65536">
    <cfRule type="cellIs" dxfId="78" priority="69" stopIfTrue="1" operator="equal">
      <formula>0</formula>
    </cfRule>
  </conditionalFormatting>
  <conditionalFormatting sqref="G12:H711">
    <cfRule type="cellIs" dxfId="77" priority="12" stopIfTrue="1" operator="equal">
      <formula>0</formula>
    </cfRule>
  </conditionalFormatting>
  <conditionalFormatting sqref="I7:K7">
    <cfRule type="cellIs" dxfId="76" priority="4" stopIfTrue="1" operator="equal">
      <formula>0</formula>
    </cfRule>
  </conditionalFormatting>
  <conditionalFormatting sqref="I10:L711">
    <cfRule type="cellIs" dxfId="75" priority="2" stopIfTrue="1" operator="equal">
      <formula>0</formula>
    </cfRule>
  </conditionalFormatting>
  <conditionalFormatting sqref="L1:L6">
    <cfRule type="cellIs" dxfId="74" priority="10" operator="equal">
      <formula>0</formula>
    </cfRule>
  </conditionalFormatting>
  <conditionalFormatting sqref="M1:IV1048576 A8:G9">
    <cfRule type="cellIs" dxfId="7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9" t="s">
        <v>1127</v>
      </c>
      <c r="C4" s="569"/>
      <c r="D4" s="569"/>
      <c r="E4" s="569"/>
      <c r="F4" s="569"/>
      <c r="G4" s="569"/>
      <c r="H4" s="569"/>
      <c r="I4" s="569"/>
      <c r="J4" s="569"/>
      <c r="K4" s="56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NUR CAHYO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70" t="s">
        <v>0</v>
      </c>
      <c r="C11" s="572" t="s">
        <v>1</v>
      </c>
      <c r="D11" s="575" t="s">
        <v>42</v>
      </c>
      <c r="E11" s="575" t="s">
        <v>43</v>
      </c>
      <c r="F11" s="575" t="s">
        <v>2</v>
      </c>
      <c r="G11" s="576" t="s">
        <v>41</v>
      </c>
      <c r="H11" s="575" t="s">
        <v>3</v>
      </c>
      <c r="I11" s="575"/>
      <c r="J11" s="575"/>
      <c r="K11" s="579"/>
      <c r="M11" s="33"/>
      <c r="N11" s="33"/>
      <c r="O11" s="33"/>
      <c r="P11" s="33"/>
      <c r="R11" s="34"/>
      <c r="S11" s="74"/>
      <c r="T11" s="74"/>
    </row>
    <row r="12" spans="1:21" ht="15" customHeight="1">
      <c r="B12" s="571"/>
      <c r="C12" s="573"/>
      <c r="D12" s="565"/>
      <c r="E12" s="565"/>
      <c r="F12" s="565"/>
      <c r="G12" s="577"/>
      <c r="H12" s="567" t="s">
        <v>46</v>
      </c>
      <c r="I12" s="567" t="s">
        <v>5</v>
      </c>
      <c r="J12" s="565" t="s">
        <v>47</v>
      </c>
      <c r="K12" s="56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1"/>
      <c r="C13" s="574"/>
      <c r="D13" s="565"/>
      <c r="E13" s="565"/>
      <c r="F13" s="565"/>
      <c r="G13" s="578"/>
      <c r="H13" s="568"/>
      <c r="I13" s="568"/>
      <c r="J13" s="565"/>
      <c r="K13" s="56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121800000</v>
      </c>
      <c r="J17" s="42">
        <f t="shared" ca="1" si="3"/>
        <v>0</v>
      </c>
      <c r="K17" s="43">
        <f t="shared" ca="1" si="0"/>
        <v>121800000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4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24297600</v>
      </c>
      <c r="J18" s="42">
        <f t="shared" ca="1" si="3"/>
        <v>0</v>
      </c>
      <c r="K18" s="43">
        <f t="shared" ca="1" si="0"/>
        <v>24297600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3" t="s">
        <v>1008</v>
      </c>
      <c r="D38" s="563"/>
      <c r="E38" s="563"/>
      <c r="F38" s="563"/>
      <c r="G38" s="77" t="s">
        <v>9</v>
      </c>
      <c r="H38" s="55">
        <f ca="1">SUM(H14:H37)</f>
        <v>0</v>
      </c>
      <c r="I38" s="55">
        <f ca="1">SUM(I14:I37)</f>
        <v>152862800</v>
      </c>
      <c r="J38" s="55">
        <f ca="1">SUM(J14:J37)</f>
        <v>0</v>
      </c>
      <c r="K38" s="55">
        <f ca="1">SUM(K14:K37)</f>
        <v>152862800</v>
      </c>
      <c r="L38" s="44"/>
      <c r="R38" s="99"/>
      <c r="S38" s="99"/>
      <c r="T38" s="99"/>
    </row>
    <row r="39" spans="1:20" s="36" customFormat="1">
      <c r="A39" s="30"/>
      <c r="B39" s="56"/>
      <c r="C39" s="564" t="s">
        <v>462</v>
      </c>
      <c r="D39" s="564"/>
      <c r="E39" s="564"/>
      <c r="F39" s="564"/>
      <c r="G39" s="59" t="s">
        <v>9</v>
      </c>
      <c r="H39" s="60">
        <f ca="1">H38*0.1</f>
        <v>0</v>
      </c>
      <c r="I39" s="60">
        <f ca="1">I38*0.1</f>
        <v>15286280</v>
      </c>
      <c r="J39" s="60">
        <f ca="1">J38*0.1</f>
        <v>0</v>
      </c>
      <c r="K39" s="60">
        <f ca="1">K38*0.1</f>
        <v>15286280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3" t="s">
        <v>463</v>
      </c>
      <c r="D40" s="553"/>
      <c r="E40" s="553"/>
      <c r="F40" s="553"/>
      <c r="G40" s="61" t="s">
        <v>9</v>
      </c>
      <c r="H40" s="78">
        <f ca="1">SUM(H38:H39)</f>
        <v>0</v>
      </c>
      <c r="I40" s="78">
        <f ca="1">SUM(I38:I39)</f>
        <v>168149080</v>
      </c>
      <c r="J40" s="61">
        <f ca="1">SUM(J38:J39)</f>
        <v>0</v>
      </c>
      <c r="K40" s="61">
        <f ca="1">SUM(K38:K39)</f>
        <v>168149080</v>
      </c>
      <c r="L40" s="44"/>
      <c r="R40" s="99"/>
      <c r="S40" s="99"/>
      <c r="T40" s="99"/>
    </row>
    <row r="41" spans="1:20" s="36" customFormat="1">
      <c r="A41" s="30"/>
      <c r="B41" s="556" t="e">
        <f ca="1">"Terbilang : ( "&amp;L42&amp;" Rupiah )"</f>
        <v>#NAME?</v>
      </c>
      <c r="C41" s="557"/>
      <c r="D41" s="557"/>
      <c r="E41" s="557"/>
      <c r="F41" s="557"/>
      <c r="G41" s="557"/>
      <c r="H41" s="557"/>
      <c r="I41" s="557"/>
      <c r="J41" s="557"/>
      <c r="K41" s="558"/>
      <c r="L41" s="44"/>
      <c r="R41" s="58"/>
      <c r="S41" s="58"/>
      <c r="T41" s="58"/>
    </row>
    <row r="42" spans="1:20" s="36" customFormat="1">
      <c r="A42" s="30"/>
      <c r="B42" s="559"/>
      <c r="C42" s="560"/>
      <c r="D42" s="560"/>
      <c r="E42" s="560"/>
      <c r="F42" s="560"/>
      <c r="G42" s="560"/>
      <c r="H42" s="560"/>
      <c r="I42" s="560"/>
      <c r="J42" s="560"/>
      <c r="K42" s="56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4"/>
      <c r="I45" s="554"/>
      <c r="J45" s="555"/>
      <c r="K45" s="55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4"/>
      <c r="I46" s="554"/>
      <c r="J46" s="555"/>
      <c r="K46" s="55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4"/>
      <c r="I47" s="554"/>
      <c r="J47" s="555"/>
      <c r="K47" s="55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4"/>
      <c r="I52" s="554"/>
      <c r="J52" s="555"/>
      <c r="K52" s="55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SUMIFS(RAB!$F$14:$F$459,RAB!$C$14:$C$459,'REKAP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SUMIFS(RAB!$F$14:$F$459,RAB!$C$14:$C$459,'REKAP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SUMIFS(RAB!$F$14:$F$459,RAB!$C$14:$C$459,'REKAP TIANG'!C59)</f>
        <v>21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SUMIFS(RAB!$F$14:$F$459,RAB!$C$14:$C$459,'REKAP TIANG'!C60)</f>
        <v>4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SUMIFS(RAB!$F$14:$F$459,RAB!$C$14:$C$459,'REKAP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SUMIFS(RAB!$F$14:$F$459,RAB!$C$14:$C$459,'REKAP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SUMIFS(RAB!$F$14:$F$459,RAB!$C$14:$C$459,'REKAP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SUMIFS(RAB!$F$14:$F$459,RAB!$C$14:$C$459,'REKAP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SUMIFS(RAB!$F$14:$F$459,RAB!$C$14:$C$459,'REKAP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SUMIFS(RAB!$F$14:$F$459,RAB!$C$14:$C$459,'REKAP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SUMIFS(RAB!$F$14:$F$459,RAB!$C$14:$C$459,'REKAP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SUMIFS(RAB!$F$14:$F$459,RAB!$C$14:$C$459,'REKAP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SUMIFS(RAB!$F$14:$F$459,RAB!$C$14:$C$459,'REKAP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SUMIFS(RAB!$F$14:$F$459,RAB!$C$14:$C$459,'REKAP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SUMIFS(RAB!$F$14:$F$459,RAB!$C$14:$C$459,'REKAP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SUMIFS(RAB!$F$14:$F$459,RAB!$C$14:$C$459,'REKAP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SUMIFS(RAB!$F$14:$F$459,RAB!$C$14:$C$459,'REKAP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SUMIFS(RAB!$F$14:$F$459,RAB!$C$14:$C$459,'REKAP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SUMIFS(RAB!$F$14:$F$459,RAB!$C$14:$C$459,'REKAP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SUMIFS(RAB!$F$14:$F$459,RAB!$C$14:$C$459,'REKAP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7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7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9" t="s">
        <v>1034</v>
      </c>
      <c r="C4" s="569"/>
      <c r="D4" s="569"/>
      <c r="E4" s="569"/>
      <c r="F4" s="569"/>
      <c r="G4" s="569"/>
      <c r="H4" s="569"/>
      <c r="I4" s="569"/>
      <c r="J4" s="569"/>
      <c r="K4" s="56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NUR CAHYO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SURODADI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70" t="s">
        <v>0</v>
      </c>
      <c r="C11" s="572" t="s">
        <v>1</v>
      </c>
      <c r="D11" s="575" t="s">
        <v>42</v>
      </c>
      <c r="E11" s="575" t="s">
        <v>43</v>
      </c>
      <c r="F11" s="575" t="s">
        <v>2</v>
      </c>
      <c r="G11" s="576" t="s">
        <v>41</v>
      </c>
      <c r="H11" s="575" t="s">
        <v>3</v>
      </c>
      <c r="I11" s="575"/>
      <c r="J11" s="575"/>
      <c r="K11" s="579"/>
      <c r="M11" s="33"/>
      <c r="N11" s="33"/>
      <c r="O11" s="33"/>
      <c r="P11" s="33"/>
      <c r="R11" s="34"/>
      <c r="S11" s="74"/>
      <c r="T11" s="74"/>
    </row>
    <row r="12" spans="1:21" ht="15" customHeight="1">
      <c r="B12" s="571"/>
      <c r="C12" s="573"/>
      <c r="D12" s="565"/>
      <c r="E12" s="565"/>
      <c r="F12" s="565"/>
      <c r="G12" s="577"/>
      <c r="H12" s="567" t="s">
        <v>46</v>
      </c>
      <c r="I12" s="567" t="s">
        <v>5</v>
      </c>
      <c r="J12" s="565" t="s">
        <v>47</v>
      </c>
      <c r="K12" s="56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1"/>
      <c r="C13" s="574"/>
      <c r="D13" s="565"/>
      <c r="E13" s="565"/>
      <c r="F13" s="565"/>
      <c r="G13" s="578"/>
      <c r="H13" s="568"/>
      <c r="I13" s="568"/>
      <c r="J13" s="565"/>
      <c r="K13" s="56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6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5089500</v>
      </c>
      <c r="I19" s="42">
        <f t="shared" ca="1" si="2"/>
        <v>0</v>
      </c>
      <c r="J19" s="42">
        <f t="shared" ca="1" si="3"/>
        <v>0</v>
      </c>
      <c r="K19" s="43">
        <f t="shared" ca="1" si="0"/>
        <v>5089500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6533100</v>
      </c>
      <c r="I20" s="42">
        <f t="shared" ca="1" si="2"/>
        <v>0</v>
      </c>
      <c r="J20" s="42">
        <f t="shared" ca="1" si="3"/>
        <v>0</v>
      </c>
      <c r="K20" s="43">
        <f t="shared" ca="1" si="0"/>
        <v>6533100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91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16097900</v>
      </c>
      <c r="I21" s="42">
        <f t="shared" ca="1" si="2"/>
        <v>0</v>
      </c>
      <c r="J21" s="42">
        <f t="shared" ca="1" si="3"/>
        <v>0</v>
      </c>
      <c r="K21" s="43">
        <f t="shared" ca="1" si="0"/>
        <v>16097900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32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6582400</v>
      </c>
      <c r="I22" s="42">
        <f t="shared" ca="1" si="2"/>
        <v>0</v>
      </c>
      <c r="J22" s="42">
        <f t="shared" ca="1" si="3"/>
        <v>0</v>
      </c>
      <c r="K22" s="43">
        <f t="shared" ca="1" si="0"/>
        <v>6582400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5240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74408000</v>
      </c>
      <c r="I23" s="42">
        <f t="shared" ca="1" si="2"/>
        <v>0</v>
      </c>
      <c r="J23" s="42">
        <f t="shared" ca="1" si="3"/>
        <v>0</v>
      </c>
      <c r="K23" s="43">
        <f t="shared" ca="1" si="0"/>
        <v>74408000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240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6</v>
      </c>
      <c r="G24" s="41">
        <f ca="1">IF(ISERROR(OFFSET('HARGA SATUAN'!$I$6,MATCH(C24,'HARGA SATUAN'!$C$7:$C$1492,0),0)),"",OFFSET('HARGA SATUAN'!$I$6,MATCH(C24,'HARGA SATUAN'!$C$7:$C$1492,0),0))</f>
        <v>36900</v>
      </c>
      <c r="H24" s="42">
        <f t="shared" ca="1" si="1"/>
        <v>221400</v>
      </c>
      <c r="I24" s="42">
        <f t="shared" ca="1" si="2"/>
        <v>0</v>
      </c>
      <c r="J24" s="42">
        <f t="shared" ca="1" si="3"/>
        <v>0</v>
      </c>
      <c r="K24" s="43">
        <f t="shared" ca="1" si="0"/>
        <v>221400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53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2888500</v>
      </c>
      <c r="I25" s="42">
        <f t="shared" ca="1" si="2"/>
        <v>0</v>
      </c>
      <c r="J25" s="42">
        <f t="shared" ca="1" si="3"/>
        <v>0</v>
      </c>
      <c r="K25" s="43">
        <f t="shared" ca="1" si="0"/>
        <v>2888500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4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35</v>
      </c>
      <c r="G26" s="41">
        <f ca="1">IF(ISERROR(OFFSET('HARGA SATUAN'!$I$6,MATCH(C26,'HARGA SATUAN'!$C$7:$C$1492,0),0)),"",OFFSET('HARGA SATUAN'!$I$6,MATCH(C26,'HARGA SATUAN'!$C$7:$C$1492,0),0))</f>
        <v>421400</v>
      </c>
      <c r="H26" s="42">
        <f t="shared" ca="1" si="1"/>
        <v>14749000</v>
      </c>
      <c r="I26" s="42">
        <f t="shared" ca="1" si="2"/>
        <v>0</v>
      </c>
      <c r="J26" s="42">
        <f t="shared" ca="1" si="3"/>
        <v>0</v>
      </c>
      <c r="K26" s="43">
        <f t="shared" ca="1" si="0"/>
        <v>14749000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3" t="s">
        <v>1008</v>
      </c>
      <c r="D168" s="563"/>
      <c r="E168" s="563"/>
      <c r="F168" s="563"/>
      <c r="G168" s="77" t="s">
        <v>9</v>
      </c>
      <c r="H168" s="55">
        <f ca="1">SUM(H14:H167)</f>
        <v>198556900</v>
      </c>
      <c r="I168" s="55">
        <f ca="1">SUM(I14:I167)</f>
        <v>0</v>
      </c>
      <c r="J168" s="55">
        <f ca="1">SUM(J14:J167)</f>
        <v>0</v>
      </c>
      <c r="K168" s="55">
        <f ca="1">SUM(K14:K167)</f>
        <v>198556900</v>
      </c>
      <c r="L168" s="44"/>
      <c r="R168" s="99"/>
      <c r="S168" s="99"/>
      <c r="T168" s="99"/>
    </row>
    <row r="169" spans="1:20" s="36" customFormat="1">
      <c r="A169" s="30"/>
      <c r="B169" s="56"/>
      <c r="C169" s="564" t="s">
        <v>462</v>
      </c>
      <c r="D169" s="564"/>
      <c r="E169" s="564"/>
      <c r="F169" s="564"/>
      <c r="G169" s="59" t="s">
        <v>9</v>
      </c>
      <c r="H169" s="60">
        <f ca="1">H168*0.1</f>
        <v>19855690</v>
      </c>
      <c r="I169" s="60">
        <f ca="1">I168*0.1</f>
        <v>0</v>
      </c>
      <c r="J169" s="60">
        <f ca="1">J168*0.1</f>
        <v>0</v>
      </c>
      <c r="K169" s="60">
        <f ca="1">K168*0.1</f>
        <v>19855690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3" t="s">
        <v>463</v>
      </c>
      <c r="D170" s="553"/>
      <c r="E170" s="553"/>
      <c r="F170" s="553"/>
      <c r="G170" s="61" t="s">
        <v>9</v>
      </c>
      <c r="H170" s="78">
        <f ca="1">SUM(H168:H169)</f>
        <v>218412590</v>
      </c>
      <c r="I170" s="78">
        <f ca="1">SUM(I168:I169)</f>
        <v>0</v>
      </c>
      <c r="J170" s="61">
        <f ca="1">SUM(J168:J169)</f>
        <v>0</v>
      </c>
      <c r="K170" s="61">
        <f ca="1">SUM(K168:K169)</f>
        <v>218412590</v>
      </c>
      <c r="L170" s="44"/>
      <c r="R170" s="99"/>
      <c r="S170" s="99"/>
      <c r="T170" s="99"/>
    </row>
    <row r="171" spans="1:20" s="36" customFormat="1">
      <c r="A171" s="30"/>
      <c r="B171" s="556" t="e">
        <f ca="1">"Terbilang : ( "&amp;L172&amp;" Rupiah )"</f>
        <v>#NAME?</v>
      </c>
      <c r="C171" s="557"/>
      <c r="D171" s="557"/>
      <c r="E171" s="557"/>
      <c r="F171" s="557"/>
      <c r="G171" s="557"/>
      <c r="H171" s="557"/>
      <c r="I171" s="557"/>
      <c r="J171" s="557"/>
      <c r="K171" s="558"/>
      <c r="L171" s="44"/>
      <c r="R171" s="58"/>
      <c r="S171" s="58"/>
      <c r="T171" s="58"/>
    </row>
    <row r="172" spans="1:20" s="36" customFormat="1">
      <c r="A172" s="30"/>
      <c r="B172" s="559"/>
      <c r="C172" s="560"/>
      <c r="D172" s="560"/>
      <c r="E172" s="560"/>
      <c r="F172" s="560"/>
      <c r="G172" s="560"/>
      <c r="H172" s="560"/>
      <c r="I172" s="560"/>
      <c r="J172" s="560"/>
      <c r="K172" s="56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4"/>
      <c r="I175" s="554"/>
      <c r="J175" s="555"/>
      <c r="K175" s="55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4"/>
      <c r="I176" s="554"/>
      <c r="J176" s="555"/>
      <c r="K176" s="55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4"/>
      <c r="I177" s="554"/>
      <c r="J177" s="555"/>
      <c r="K177" s="55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4"/>
      <c r="I182" s="554"/>
      <c r="J182" s="555"/>
      <c r="K182" s="55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SUMIFS(RAB!$F$14:$F$459,RAB!$C$14:$C$459,C224)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SUMIFS(RAB!$F$14:$F$459,RAB!$C$14:$C$459,C225)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SUMIFS(RAB!$F$14:$F$459,RAB!$C$14:$C$459,C226)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SUMIFS(RAB!$F$14:$F$459,RAB!$C$14:$C$459,C227)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SUMIFS(RAB!$F$14:$F$459,RAB!$C$14:$C$459,C228)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SUMIFS(RAB!$F$14:$F$459,RAB!$C$14:$C$459,C229)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SUMIFS(RAB!$F$14:$F$459,RAB!$C$14:$C$459,C230)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SUMIFS(RAB!$F$14:$F$459,RAB!$C$14:$C$459,C231)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SUMIFS(RAB!$F$14:$F$459,RAB!$C$14:$C$459,C232)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SUMIFS(RAB!$F$14:$F$459,RAB!$C$14:$C$459,C233)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SUMIFS(RAB!$F$14:$F$459,RAB!$C$14:$C$459,C234)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SUMIFS(RAB!$F$14:$F$459,RAB!$C$14:$C$459,C235)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SUMIFS(RAB!$F$14:$F$459,RAB!$C$14:$C$459,C236)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SUMIFS(RAB!$F$14:$F$459,RAB!$C$14:$C$459,C237)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SUMIFS(RAB!$F$14:$F$459,RAB!$C$14:$C$459,C238)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SUMIFS(RAB!$F$14:$F$459,RAB!$C$14:$C$459,C239)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SUMIFS(RAB!$F$14:$F$459,RAB!$C$14:$C$459,C240)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SUMIFS(RAB!$F$14:$F$459,RAB!$C$14:$C$459,C241)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SUMIFS(RAB!$F$14:$F$459,RAB!$C$14:$C$459,C242)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SUMIFS(RAB!$F$14:$F$459,RAB!$C$14:$C$459,C243)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SUMIFS(RAB!$F$14:$F$459,RAB!$C$14:$C$459,C244)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SUMIFS(RAB!$F$14:$F$459,RAB!$C$14:$C$459,C245)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SUMIFS(RAB!$F$14:$F$459,RAB!$C$14:$C$459,C246)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SUMIFS(RAB!$F$14:$F$459,RAB!$C$14:$C$459,C247)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SUMIFS(RAB!$F$14:$F$459,RAB!$C$14:$C$459,C248)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SUMIFS(RAB!$F$14:$F$459,RAB!$C$14:$C$459,C249)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SUMIFS(RAB!$F$14:$F$459,RAB!$C$14:$C$459,C250)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SUMIFS(RAB!$F$14:$F$459,RAB!$C$14:$C$459,C251)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SUMIFS(RAB!$F$14:$F$459,RAB!$C$14:$C$459,C252)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SUMIFS(RAB!$F$14:$F$459,RAB!$C$14:$C$459,C253)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SUMIFS(RAB!$F$14:$F$459,RAB!$C$14:$C$459,C254)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SUMIFS(RAB!$F$14:$F$459,RAB!$C$14:$C$459,C255)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SUMIFS(RAB!$F$14:$F$459,RAB!$C$14:$C$459,C256)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SUMIFS(RAB!$F$14:$F$459,RAB!$C$14:$C$459,C257)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SUMIFS(RAB!$F$14:$F$459,RAB!$C$14:$C$459,C258)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SUMIFS(RAB!$F$14:$F$459,RAB!$C$14:$C$459,C259)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SUMIFS(RAB!$F$14:$F$459,RAB!$C$14:$C$459,C260)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SUMIFS(RAB!$F$14:$F$459,RAB!$C$14:$C$459,C261)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SUMIFS(RAB!$F$14:$F$459,RAB!$C$14:$C$459,C262)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SUMIFS(RAB!$F$14:$F$459,RAB!$C$14:$C$459,C263)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SUMIFS(RAB!$F$14:$F$459,RAB!$C$14:$C$459,C264)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SUMIFS(RAB!$F$14:$F$459,RAB!$C$14:$C$459,C265)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SUMIFS(RAB!$F$14:$F$459,RAB!$C$14:$C$459,C266)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SUMIFS(RAB!$F$14:$F$459,RAB!$C$14:$C$459,C267)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SUMIFS(RAB!$F$14:$F$459,RAB!$C$14:$C$459,C268)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SUMIFS(RAB!$F$14:$F$459,RAB!$C$14:$C$459,C269)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SUMIFS(RAB!$F$14:$F$459,RAB!$C$14:$C$459,C270)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SUMIFS(RAB!$F$14:$F$459,RAB!$C$14:$C$459,C271)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SUMIFS(RAB!$F$14:$F$459,RAB!$C$14:$C$459,C272)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SUMIFS(RAB!$F$14:$F$459,RAB!$C$14:$C$459,C273)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SUMIFS(RAB!$F$14:$F$459,RAB!$C$14:$C$459,C274)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SUMIFS(RAB!$F$14:$F$459,RAB!$C$14:$C$459,C275)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SUMIFS(RAB!$F$14:$F$459,RAB!$C$14:$C$459,C276)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SUMIFS(RAB!$F$14:$F$459,RAB!$C$14:$C$459,C277)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SUMIFS(RAB!$F$14:$F$459,RAB!$C$14:$C$459,C278)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SUMIFS(RAB!$F$14:$F$459,RAB!$C$14:$C$459,C279)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SUMIFS(RAB!$F$14:$F$459,RAB!$C$14:$C$459,C280)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SUMIFS(RAB!$F$14:$F$459,RAB!$C$14:$C$459,C281)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SUMIFS(RAB!$F$14:$F$459,RAB!$C$14:$C$459,C282)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SUMIFS(RAB!$F$14:$F$459,RAB!$C$14:$C$459,C283)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SUMIFS(RAB!$F$14:$F$459,RAB!$C$14:$C$459,C284)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SUMIFS(RAB!$F$14:$F$459,RAB!$C$14:$C$459,C285)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SUMIFS(RAB!$F$14:$F$459,RAB!$C$14:$C$459,C286)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SUMIFS(RAB!$F$14:$F$459,RAB!$C$14:$C$459,C287)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SUMIFS(RAB!$F$14:$F$459,RAB!$C$14:$C$459,C288)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SUMIFS(RAB!$F$14:$F$459,RAB!$C$14:$C$459,C289)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SUMIFS(RAB!$F$14:$F$459,RAB!$C$14:$C$459,C290)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SUMIFS(RAB!$F$14:$F$459,RAB!$C$14:$C$459,C291)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SUMIFS(RAB!$F$14:$F$459,RAB!$C$14:$C$459,C292)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SUMIFS(RAB!$F$14:$F$459,RAB!$C$14:$C$459,C293)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SUMIFS(RAB!$F$14:$F$459,RAB!$C$14:$C$459,C294)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SUMIFS(RAB!$F$14:$F$459,RAB!$C$14:$C$459,C295)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SUMIFS(RAB!$F$14:$F$459,RAB!$C$14:$C$459,C296)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SUMIFS(RAB!$F$14:$F$459,RAB!$C$14:$C$459,C297)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SUMIFS(RAB!$F$14:$F$459,RAB!$C$14:$C$459,C298)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SUMIFS(RAB!$F$14:$F$459,RAB!$C$14:$C$459,C299)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SUMIFS(RAB!$F$14:$F$459,RAB!$C$14:$C$459,C300)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SUMIFS(RAB!$F$14:$F$459,RAB!$C$14:$C$459,C301)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SUMIFS(RAB!$F$14:$F$459,RAB!$C$14:$C$459,C302)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SUMIFS(RAB!$F$14:$F$459,RAB!$C$14:$C$459,C303)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SUMIFS(RAB!$F$14:$F$459,RAB!$C$14:$C$459,C304)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SUMIFS(RAB!$F$14:$F$459,RAB!$C$14:$C$459,C305)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SUMIFS(RAB!$F$14:$F$459,RAB!$C$14:$C$459,C306)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SUMIFS(RAB!$F$14:$F$459,RAB!$C$14:$C$459,C307)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SUMIFS(RAB!$F$14:$F$459,RAB!$C$14:$C$459,C308)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SUMIFS(RAB!$F$14:$F$459,RAB!$C$14:$C$459,C309)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SUMIFS(RAB!$F$14:$F$459,RAB!$C$14:$C$459,C310)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SUMIFS(RAB!$F$14:$F$459,RAB!$C$14:$C$459,C311)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SUMIFS(RAB!$F$14:$F$459,RAB!$C$14:$C$459,C312)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SUMIFS(RAB!$F$14:$F$459,RAB!$C$14:$C$459,C313)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SUMIFS(RAB!$F$14:$F$459,RAB!$C$14:$C$459,C314)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SUMIFS(RAB!$F$14:$F$459,RAB!$C$14:$C$459,C315)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SUMIFS(RAB!$F$14:$F$459,RAB!$C$14:$C$459,C316)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SUMIFS(RAB!$F$14:$F$459,RAB!$C$14:$C$459,C317)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SUMIFS(RAB!$F$14:$F$459,RAB!$C$14:$C$459,C318)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SUMIFS(RAB!$F$14:$F$459,RAB!$C$14:$C$459,C319)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SUMIFS(RAB!$F$14:$F$459,RAB!$C$14:$C$459,C320)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SUMIFS(RAB!$F$14:$F$459,RAB!$C$14:$C$459,C321)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SUMIFS(RAB!$F$14:$F$459,RAB!$C$14:$C$459,C322)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SUMIFS(RAB!$F$14:$F$459,RAB!$C$14:$C$459,C323)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SUMIFS(RAB!$F$14:$F$459,RAB!$C$14:$C$459,C324)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SUMIFS(RAB!$F$14:$F$459,RAB!$C$14:$C$459,C325)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SUMIFS(RAB!$F$14:$F$459,RAB!$C$14:$C$459,C326)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SUMIFS(RAB!$F$14:$F$459,RAB!$C$14:$C$459,C327)</f>
        <v>6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SUMIFS(RAB!$F$14:$F$459,RAB!$C$14:$C$459,C328)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SUMIFS(RAB!$F$14:$F$459,RAB!$C$14:$C$459,C329)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SUMIFS(RAB!$F$14:$F$459,RAB!$C$14:$C$459,C330)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SUMIFS(RAB!$F$14:$F$459,RAB!$C$14:$C$459,C331)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SUMIFS(RAB!$F$14:$F$459,RAB!$C$14:$C$459,C332)</f>
        <v>9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SUMIFS(RAB!$F$14:$F$459,RAB!$C$14:$C$459,C333)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SUMIFS(RAB!$F$14:$F$459,RAB!$C$14:$C$459,C334)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SUMIFS(RAB!$F$14:$F$459,RAB!$C$14:$C$459,C335)</f>
        <v>91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SUMIFS(RAB!$F$14:$F$459,RAB!$C$14:$C$459,C336)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SUMIFS(RAB!$F$14:$F$459,RAB!$C$14:$C$459,C337)</f>
        <v>32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SUMIFS(RAB!$F$14:$F$459,RAB!$C$14:$C$459,C338)</f>
        <v>5240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SUMIFS(RAB!$F$14:$F$459,RAB!$C$14:$C$459,C339)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SUMIFS(RAB!$F$14:$F$459,RAB!$C$14:$C$459,C340)</f>
        <v>6</v>
      </c>
      <c r="E340" s="24">
        <f t="shared" ca="1" si="22"/>
        <v>1</v>
      </c>
      <c r="F340" s="24">
        <f ca="1">IF(D340=0,0,SUM($E$223:E340))</f>
        <v>9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SUMIFS(RAB!$F$14:$F$459,RAB!$C$14:$C$459,C341)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SUMIFS(RAB!$F$14:$F$459,RAB!$C$14:$C$459,C342)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SUMIFS(RAB!$F$14:$F$459,RAB!$C$14:$C$459,C343)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SUMIFS(RAB!$F$14:$F$459,RAB!$C$14:$C$459,C344)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SUMIFS(RAB!$F$14:$F$459,RAB!$C$14:$C$459,C345)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SUMIFS(RAB!$F$14:$F$459,RAB!$C$14:$C$459,C346)</f>
        <v>53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SUMIFS(RAB!$F$14:$F$459,RAB!$C$14:$C$459,C347)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SUMIFS(RAB!$F$14:$F$459,RAB!$C$14:$C$459,C348)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SUMIFS(RAB!$F$14:$F$459,RAB!$C$14:$C$459,C349)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SUMIFS(RAB!$F$14:$F$459,RAB!$C$14:$C$459,C350)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SUMIFS(RAB!$F$14:$F$459,RAB!$C$14:$C$459,C351)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SUMIFS(RAB!$F$14:$F$459,RAB!$C$14:$C$459,C352)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SUMIFS(RAB!$F$14:$F$459,RAB!$C$14:$C$459,C353)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SUMIFS(RAB!$F$14:$F$459,RAB!$C$14:$C$459,C354)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SUMIFS(RAB!$F$14:$F$459,RAB!$C$14:$C$459,C355)</f>
        <v>35</v>
      </c>
      <c r="E355" s="24">
        <f t="shared" ca="1" si="23"/>
        <v>1</v>
      </c>
      <c r="F355" s="24">
        <f ca="1">IF(D355=0,0,SUM($E$223:E355))</f>
        <v>11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SUMIFS(RAB!$F$14:$F$459,RAB!$C$14:$C$459,C356)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SUMIFS(RAB!$F$14:$F$459,RAB!$C$14:$C$459,C357)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SUMIFS(RAB!$F$14:$F$459,RAB!$C$14:$C$459,C358)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SUMIFS(RAB!$F$14:$F$459,RAB!$C$14:$C$459,C359)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SUMIFS(RAB!$F$14:$F$459,RAB!$C$14:$C$459,C360)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SUMIFS(RAB!$F$14:$F$459,RAB!$C$14:$C$459,C361)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SUMIFS(RAB!$F$14:$F$459,RAB!$C$14:$C$459,C362)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SUMIFS(RAB!$F$14:$F$459,RAB!$C$14:$C$459,C363)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SUMIFS(RAB!$F$14:$F$459,RAB!$C$14:$C$459,C364)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SUMIFS(RAB!$F$14:$F$459,RAB!$C$14:$C$459,C365)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SUMIFS(RAB!$F$14:$F$459,RAB!$C$14:$C$459,C366)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SUMIFS(RAB!$F$14:$F$459,RAB!$C$14:$C$459,C367)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SUMIFS(RAB!$F$14:$F$459,RAB!$C$14:$C$459,C368)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SUMIFS(RAB!$F$14:$F$459,RAB!$C$14:$C$459,C369)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SUMIFS(RAB!$F$14:$F$459,RAB!$C$14:$C$459,C370)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SUMIFS(RAB!$F$14:$F$459,RAB!$C$14:$C$459,C371)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SUMIFS(RAB!$F$14:$F$459,RAB!$C$14:$C$459,C372)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SUMIFS(RAB!$F$14:$F$459,RAB!$C$14:$C$459,C373)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70" priority="5" operator="equal">
      <formula>0</formula>
    </cfRule>
  </conditionalFormatting>
  <conditionalFormatting sqref="C16:C165">
    <cfRule type="cellIs" dxfId="69" priority="4" stopIfTrue="1" operator="equal">
      <formula>0</formula>
    </cfRule>
  </conditionalFormatting>
  <conditionalFormatting sqref="C16:E165">
    <cfRule type="cellIs" dxfId="68" priority="1" operator="equal">
      <formula>0</formula>
    </cfRule>
  </conditionalFormatting>
  <conditionalFormatting sqref="D224:F373">
    <cfRule type="cellIs" dxfId="67" priority="8" operator="equal">
      <formula>0</formula>
    </cfRule>
  </conditionalFormatting>
  <conditionalFormatting sqref="E1:E3 G1:G115 E6:E15 H12:I12 N13 F14:F15 H14:K115 E166:K166 G166:G223 E167:F167 H167:K167">
    <cfRule type="cellIs" dxfId="66" priority="43" stopIfTrue="1" operator="equal">
      <formula>0</formula>
    </cfRule>
  </conditionalFormatting>
  <conditionalFormatting sqref="E171:E65536">
    <cfRule type="cellIs" dxfId="65" priority="9" stopIfTrue="1" operator="equal">
      <formula>0</formula>
    </cfRule>
  </conditionalFormatting>
  <conditionalFormatting sqref="G224">
    <cfRule type="cellIs" dxfId="64" priority="10" operator="equal">
      <formula>0</formula>
    </cfRule>
  </conditionalFormatting>
  <conditionalFormatting sqref="G225:G65536">
    <cfRule type="cellIs" dxfId="63" priority="14" stopIfTrue="1" operator="equal">
      <formula>0</formula>
    </cfRule>
  </conditionalFormatting>
  <conditionalFormatting sqref="R14:T166 G116:K165">
    <cfRule type="cellIs" dxfId="6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7"/>
    </row>
    <row r="4" spans="4:4" ht="57" customHeight="1">
      <c r="D4" s="457">
        <v>3</v>
      </c>
    </row>
    <row r="5" spans="4:4" ht="57" customHeight="1">
      <c r="D5" s="45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81" t="s">
        <v>41</v>
      </c>
      <c r="C2" s="58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82" t="s">
        <v>23</v>
      </c>
      <c r="C4" s="583" t="s">
        <v>1012</v>
      </c>
      <c r="D4" s="583" t="s">
        <v>42</v>
      </c>
      <c r="E4" s="582" t="s">
        <v>43</v>
      </c>
      <c r="F4" s="108" t="s">
        <v>1609</v>
      </c>
      <c r="G4" s="108" t="s">
        <v>1608</v>
      </c>
      <c r="H4" s="58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82"/>
      <c r="C5" s="583"/>
      <c r="D5" s="583"/>
      <c r="E5" s="582"/>
      <c r="F5" s="93"/>
      <c r="G5" s="93"/>
      <c r="H5" s="580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61" priority="138" operator="equal">
      <formula>0</formula>
    </cfRule>
  </conditionalFormatting>
  <conditionalFormatting sqref="B8:C135">
    <cfRule type="cellIs" dxfId="60" priority="51" operator="equal">
      <formula>0</formula>
    </cfRule>
  </conditionalFormatting>
  <conditionalFormatting sqref="B150:G1493">
    <cfRule type="cellIs" dxfId="59" priority="1" operator="equal">
      <formula>0</formula>
    </cfRule>
  </conditionalFormatting>
  <conditionalFormatting sqref="C143:G149">
    <cfRule type="cellIs" dxfId="58" priority="5" operator="equal">
      <formula>0</formula>
    </cfRule>
  </conditionalFormatting>
  <conditionalFormatting sqref="D9:G142">
    <cfRule type="cellIs" dxfId="57" priority="11" operator="equal">
      <formula>0</formula>
    </cfRule>
  </conditionalFormatting>
  <conditionalFormatting sqref="D1:IV5 A1:C7 D6:K6 H1455:IV1457 H1458:XFD1485 H1486:H1493 I1486:XFD1494 A1494:H1494 A1495:XFD65536">
    <cfRule type="cellIs" dxfId="56" priority="163" operator="equal">
      <formula>0</formula>
    </cfRule>
  </conditionalFormatting>
  <conditionalFormatting sqref="D7:IV8 C136:C142 B136:B149">
    <cfRule type="cellIs" dxfId="55" priority="62" operator="equal">
      <formula>0</formula>
    </cfRule>
  </conditionalFormatting>
  <conditionalFormatting sqref="H9:H1418">
    <cfRule type="cellIs" dxfId="54" priority="129" operator="equal">
      <formula>0</formula>
    </cfRule>
  </conditionalFormatting>
  <conditionalFormatting sqref="H1419:I1454">
    <cfRule type="cellIs" dxfId="53" priority="128" operator="equal">
      <formula>0</formula>
    </cfRule>
  </conditionalFormatting>
  <conditionalFormatting sqref="I108:I1418">
    <cfRule type="cellIs" dxfId="52" priority="125" operator="equal">
      <formula>0</formula>
    </cfRule>
  </conditionalFormatting>
  <conditionalFormatting sqref="J108:IV1454">
    <cfRule type="cellIs" dxfId="51" priority="139" operator="equal">
      <formula>0</formula>
    </cfRule>
  </conditionalFormatting>
  <conditionalFormatting sqref="M6:IV6">
    <cfRule type="cellIs" dxfId="5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S24" sqref="S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8" t="s">
        <v>1454</v>
      </c>
      <c r="C2" s="588"/>
      <c r="D2" s="588"/>
      <c r="E2" s="588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93" t="s">
        <v>1532</v>
      </c>
      <c r="C4" s="594"/>
      <c r="D4" s="594"/>
      <c r="E4" s="595"/>
      <c r="F4" s="439"/>
      <c r="G4" s="439"/>
      <c r="H4" s="440"/>
      <c r="I4" s="620" t="s">
        <v>1533</v>
      </c>
      <c r="J4" s="621"/>
      <c r="K4" s="621"/>
      <c r="L4" s="622"/>
    </row>
    <row r="5" spans="1:12" ht="34.5" customHeight="1">
      <c r="A5" s="204"/>
      <c r="B5" s="442" t="s">
        <v>1379</v>
      </c>
      <c r="C5" s="274" t="s">
        <v>9</v>
      </c>
      <c r="D5" s="589" t="str">
        <f>DATA!D14</f>
        <v>NUR CAHYO</v>
      </c>
      <c r="E5" s="590"/>
      <c r="F5" s="208"/>
      <c r="G5" s="208"/>
      <c r="I5" s="443" t="s">
        <v>1379</v>
      </c>
      <c r="J5" s="274" t="s">
        <v>9</v>
      </c>
      <c r="K5" s="623" t="str">
        <f>D5</f>
        <v>NUR CAHYO</v>
      </c>
      <c r="L5" s="624"/>
    </row>
    <row r="6" spans="1:12" ht="31.5" customHeight="1">
      <c r="A6" s="204"/>
      <c r="B6" s="442" t="s">
        <v>1529</v>
      </c>
      <c r="C6" s="274" t="s">
        <v>9</v>
      </c>
      <c r="D6" s="598">
        <f>DATA!D17*1000</f>
        <v>0</v>
      </c>
      <c r="E6" s="599"/>
      <c r="F6" s="208"/>
      <c r="G6" s="208"/>
      <c r="I6" s="443" t="s">
        <v>1530</v>
      </c>
      <c r="J6" s="274" t="s">
        <v>9</v>
      </c>
      <c r="K6" s="625">
        <f>DATA!D20*1000</f>
        <v>66000</v>
      </c>
      <c r="L6" s="626"/>
    </row>
    <row r="7" spans="1:12" ht="30.75" customHeight="1">
      <c r="A7" s="204"/>
      <c r="B7" s="442" t="s">
        <v>1441</v>
      </c>
      <c r="C7" s="274" t="s">
        <v>9</v>
      </c>
      <c r="D7" s="596">
        <f>DATA!D18</f>
        <v>1</v>
      </c>
      <c r="E7" s="597"/>
      <c r="F7" s="441" t="s">
        <v>1453</v>
      </c>
      <c r="I7" s="443" t="s">
        <v>1441</v>
      </c>
      <c r="J7" s="274" t="s">
        <v>9</v>
      </c>
      <c r="K7" s="627">
        <f>DATA!D21</f>
        <v>3</v>
      </c>
      <c r="L7" s="628"/>
    </row>
    <row r="8" spans="1:12" ht="51" customHeight="1">
      <c r="A8" s="204"/>
      <c r="B8" s="442" t="s">
        <v>1442</v>
      </c>
      <c r="C8" s="274" t="s">
        <v>9</v>
      </c>
      <c r="D8" s="596">
        <f>DATA!D19</f>
        <v>220</v>
      </c>
      <c r="E8" s="597"/>
      <c r="F8" s="441" t="s">
        <v>1453</v>
      </c>
      <c r="G8" s="436">
        <v>220</v>
      </c>
      <c r="I8" s="443" t="s">
        <v>1442</v>
      </c>
      <c r="J8" s="274" t="s">
        <v>9</v>
      </c>
      <c r="K8" s="627">
        <f>DATA!D22</f>
        <v>380</v>
      </c>
      <c r="L8" s="628"/>
    </row>
    <row r="9" spans="1:12" ht="30" customHeight="1" thickBot="1">
      <c r="A9" s="204"/>
      <c r="B9" s="448" t="s">
        <v>1541</v>
      </c>
      <c r="C9" s="438" t="s">
        <v>9</v>
      </c>
      <c r="D9" s="591">
        <f>IF(D7=1,D6/(380/3^0.5),(D6/(380*3^0.5)))</f>
        <v>0</v>
      </c>
      <c r="E9" s="592"/>
      <c r="F9" s="207"/>
      <c r="G9" s="437">
        <v>380</v>
      </c>
      <c r="I9" s="449" t="s">
        <v>1541</v>
      </c>
      <c r="J9" s="438" t="s">
        <v>9</v>
      </c>
      <c r="K9" s="629">
        <f>IF(K7=1,K6/(380/3^0.5),(K6/(380*3^0.5)))</f>
        <v>100.27662570135607</v>
      </c>
      <c r="L9" s="630"/>
    </row>
    <row r="10" spans="1:12" ht="24.75" customHeight="1">
      <c r="B10" s="450"/>
      <c r="C10" s="447"/>
      <c r="D10" s="451"/>
      <c r="E10" s="451"/>
      <c r="F10" s="207"/>
      <c r="G10" s="437"/>
      <c r="I10" s="450"/>
      <c r="J10" s="447"/>
      <c r="K10" s="451"/>
      <c r="L10" s="451"/>
    </row>
    <row r="11" spans="1:12" ht="16.5" thickBot="1">
      <c r="B11" s="444" t="s">
        <v>1542</v>
      </c>
      <c r="I11" s="444" t="s">
        <v>1536</v>
      </c>
    </row>
    <row r="12" spans="1:12" ht="34.5" customHeight="1">
      <c r="A12" s="204"/>
      <c r="B12" s="472" t="s">
        <v>1534</v>
      </c>
      <c r="C12" s="466" t="s">
        <v>9</v>
      </c>
      <c r="D12" s="600"/>
      <c r="E12" s="601"/>
      <c r="F12" s="208"/>
      <c r="G12" s="208"/>
      <c r="I12" s="465" t="s">
        <v>1534</v>
      </c>
      <c r="J12" s="466" t="s">
        <v>9</v>
      </c>
      <c r="K12" s="600" t="s">
        <v>1650</v>
      </c>
      <c r="L12" s="601"/>
    </row>
    <row r="13" spans="1:12" ht="31.5" customHeight="1">
      <c r="A13" s="204"/>
      <c r="B13" s="473" t="s">
        <v>1380</v>
      </c>
      <c r="C13" s="453" t="s">
        <v>9</v>
      </c>
      <c r="D13" s="604"/>
      <c r="E13" s="605"/>
      <c r="F13" s="208"/>
      <c r="G13" s="208"/>
      <c r="I13" s="467" t="s">
        <v>1380</v>
      </c>
      <c r="J13" s="453" t="s">
        <v>9</v>
      </c>
      <c r="K13" s="604" t="s">
        <v>1651</v>
      </c>
      <c r="L13" s="605"/>
    </row>
    <row r="14" spans="1:12" ht="30.75" customHeight="1">
      <c r="A14" s="204"/>
      <c r="B14" s="473" t="s">
        <v>1535</v>
      </c>
      <c r="C14" s="453" t="s">
        <v>9</v>
      </c>
      <c r="D14" s="612"/>
      <c r="E14" s="613"/>
      <c r="F14" s="441" t="s">
        <v>1453</v>
      </c>
      <c r="G14" s="445">
        <v>50</v>
      </c>
      <c r="I14" s="467" t="s">
        <v>1535</v>
      </c>
      <c r="J14" s="453" t="s">
        <v>9</v>
      </c>
      <c r="K14" s="614">
        <v>100</v>
      </c>
      <c r="L14" s="615"/>
    </row>
    <row r="15" spans="1:12" ht="57" customHeight="1">
      <c r="A15" s="204"/>
      <c r="B15" s="473" t="s">
        <v>1441</v>
      </c>
      <c r="C15" s="453" t="s">
        <v>9</v>
      </c>
      <c r="D15" s="459"/>
      <c r="E15" s="468"/>
      <c r="F15" s="441" t="s">
        <v>1453</v>
      </c>
      <c r="G15" s="445">
        <v>100</v>
      </c>
      <c r="I15" s="467" t="s">
        <v>1441</v>
      </c>
      <c r="J15" s="453" t="s">
        <v>9</v>
      </c>
      <c r="K15" s="459">
        <v>3</v>
      </c>
      <c r="L15" s="468"/>
    </row>
    <row r="16" spans="1:12" ht="44.25" customHeight="1">
      <c r="A16" s="204"/>
      <c r="B16" s="473" t="s">
        <v>1545</v>
      </c>
      <c r="C16" s="453"/>
      <c r="D16" s="616">
        <v>0</v>
      </c>
      <c r="E16" s="617"/>
      <c r="F16" s="441"/>
      <c r="G16" s="445">
        <v>160</v>
      </c>
      <c r="I16" s="467" t="s">
        <v>1537</v>
      </c>
      <c r="J16" s="453" t="s">
        <v>9</v>
      </c>
      <c r="K16" s="618">
        <f>K9</f>
        <v>100.27662570135607</v>
      </c>
      <c r="L16" s="619"/>
    </row>
    <row r="17" spans="1:12" ht="34.5" customHeight="1">
      <c r="A17" s="204"/>
      <c r="B17" s="473" t="s">
        <v>1538</v>
      </c>
      <c r="C17" s="453" t="s">
        <v>9</v>
      </c>
      <c r="D17" s="606">
        <f>IF(D15=1,D14/(20/3^0.5),(D14/(20*3^0.5)))</f>
        <v>0</v>
      </c>
      <c r="E17" s="607"/>
      <c r="F17" s="441" t="s">
        <v>1453</v>
      </c>
      <c r="G17" s="446">
        <v>200</v>
      </c>
      <c r="I17" s="467" t="s">
        <v>1538</v>
      </c>
      <c r="J17" s="453" t="s">
        <v>9</v>
      </c>
      <c r="K17" s="610">
        <f>IF(K15=1,K14/(20/3^0.5),(K14/(20*3^0.5)))</f>
        <v>2.8867513459481291</v>
      </c>
      <c r="L17" s="611"/>
    </row>
    <row r="18" spans="1:12" ht="34.5" customHeight="1">
      <c r="A18" s="204"/>
      <c r="B18" s="473" t="s">
        <v>1539</v>
      </c>
      <c r="C18" s="453" t="s">
        <v>9</v>
      </c>
      <c r="D18" s="606">
        <f>IF(D15=1,D14/(380/3^0.5),(D14/(380*3^0.5)))*1000</f>
        <v>0</v>
      </c>
      <c r="E18" s="607"/>
      <c r="F18" s="441" t="s">
        <v>1453</v>
      </c>
      <c r="G18" s="446">
        <v>250</v>
      </c>
      <c r="I18" s="467" t="s">
        <v>1539</v>
      </c>
      <c r="J18" s="453" t="s">
        <v>9</v>
      </c>
      <c r="K18" s="610">
        <f>IF(K15=1,K14/(380/3^0.5),(K14/(380*3^0.5)))*1000</f>
        <v>151.93428136569102</v>
      </c>
      <c r="L18" s="611"/>
    </row>
    <row r="19" spans="1:12" ht="30" customHeight="1">
      <c r="A19" s="204"/>
      <c r="B19" s="474" t="s">
        <v>1531</v>
      </c>
      <c r="C19" s="452" t="s">
        <v>9</v>
      </c>
      <c r="D19" s="606">
        <f>IF(D15=1,D14/(380/3^0.5),(D14/(380*3^0.5)))</f>
        <v>0</v>
      </c>
      <c r="E19" s="607"/>
      <c r="F19" s="207"/>
      <c r="G19" s="437"/>
      <c r="I19" s="469" t="s">
        <v>1531</v>
      </c>
      <c r="J19" s="452" t="s">
        <v>9</v>
      </c>
      <c r="K19" s="610">
        <f>IF(K15=1,K14/(380/3^0.5),(K14/(380*3^0.5)))</f>
        <v>0.15193428136569101</v>
      </c>
      <c r="L19" s="611"/>
    </row>
    <row r="20" spans="1:12" ht="30" customHeight="1" thickBot="1">
      <c r="A20" s="204"/>
      <c r="B20" s="475" t="s">
        <v>1540</v>
      </c>
      <c r="C20" s="471" t="s">
        <v>9</v>
      </c>
      <c r="D20" s="602" t="e">
        <f>D16/D18</f>
        <v>#DIV/0!</v>
      </c>
      <c r="E20" s="603"/>
      <c r="F20" s="207"/>
      <c r="G20" s="437"/>
      <c r="I20" s="470" t="s">
        <v>1531</v>
      </c>
      <c r="J20" s="471" t="s">
        <v>9</v>
      </c>
      <c r="K20" s="608">
        <f>K16/K18</f>
        <v>0.65999999999999992</v>
      </c>
      <c r="L20" s="609"/>
    </row>
    <row r="21" spans="1:12" ht="9.75" customHeight="1">
      <c r="A21" s="204"/>
      <c r="B21" s="460" t="s">
        <v>1540</v>
      </c>
      <c r="C21" s="461" t="s">
        <v>9</v>
      </c>
      <c r="D21" s="587">
        <v>1</v>
      </c>
      <c r="E21" s="587"/>
      <c r="F21" s="462"/>
      <c r="G21" s="463"/>
      <c r="H21" s="464"/>
      <c r="I21" s="460" t="s">
        <v>1531</v>
      </c>
      <c r="J21" s="461" t="s">
        <v>9</v>
      </c>
      <c r="K21" s="587">
        <v>1</v>
      </c>
      <c r="L21" s="587"/>
    </row>
    <row r="22" spans="1:12" ht="6.75" customHeight="1">
      <c r="B22" s="450"/>
      <c r="C22" s="447"/>
      <c r="D22" s="458"/>
      <c r="E22" s="458"/>
      <c r="F22" s="207"/>
      <c r="G22" s="437"/>
      <c r="J22" s="447"/>
      <c r="K22" s="458"/>
      <c r="L22" s="458"/>
    </row>
    <row r="23" spans="1:12" ht="15.75" thickBot="1"/>
    <row r="24" spans="1:12" ht="200.25" customHeight="1" thickBot="1">
      <c r="B24" s="584"/>
      <c r="C24" s="585"/>
      <c r="D24" s="585"/>
      <c r="E24" s="586"/>
      <c r="I24" s="584"/>
      <c r="J24" s="585"/>
      <c r="K24" s="585"/>
      <c r="L24" s="586"/>
    </row>
    <row r="26" spans="1:12">
      <c r="D26" s="455"/>
    </row>
    <row r="27" spans="1:12">
      <c r="D27" s="456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9" priority="5" stopIfTrue="1" operator="greaterThan">
      <formula>0.89</formula>
    </cfRule>
    <cfRule type="cellIs" dxfId="4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Normal="100" workbookViewId="0">
      <selection activeCell="D17" sqref="D17"/>
    </sheetView>
  </sheetViews>
  <sheetFormatPr defaultColWidth="9.140625"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631"/>
      <c r="C1" s="631"/>
      <c r="D1" s="631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85">
        <v>1084.1250458865841</v>
      </c>
      <c r="F5" s="480" t="s">
        <v>1611</v>
      </c>
      <c r="K5" s="479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80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517">
        <f>D20-D17</f>
        <v>66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63954000</v>
      </c>
    </row>
    <row r="10" spans="2:11" ht="20.100000000000001" customHeight="1">
      <c r="B10" s="288" t="s">
        <v>1446</v>
      </c>
      <c r="C10" s="289" t="s">
        <v>9</v>
      </c>
      <c r="D10" s="295">
        <f ca="1">RAB!K465</f>
        <v>496207878.33812779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9924157.5667625554</v>
      </c>
    </row>
    <row r="12" spans="2:11" ht="9" customHeight="1">
      <c r="B12" s="632"/>
      <c r="C12" s="632"/>
      <c r="D12" s="632"/>
    </row>
    <row r="13" spans="2:11" ht="15.75" customHeight="1">
      <c r="B13" s="296"/>
      <c r="C13" s="296"/>
      <c r="D13" s="296"/>
    </row>
    <row r="14" spans="2:11" ht="33.75" customHeight="1">
      <c r="B14" s="412" t="s">
        <v>1379</v>
      </c>
      <c r="C14" s="413" t="s">
        <v>9</v>
      </c>
      <c r="D14" s="418" t="s">
        <v>1635</v>
      </c>
      <c r="E14" s="297" t="s">
        <v>1453</v>
      </c>
    </row>
    <row r="15" spans="2:11" ht="20.100000000000001" customHeight="1">
      <c r="B15" s="414" t="s">
        <v>1447</v>
      </c>
      <c r="C15" s="415" t="s">
        <v>9</v>
      </c>
      <c r="D15" s="419" t="s">
        <v>1636</v>
      </c>
      <c r="E15" s="297" t="s">
        <v>1453</v>
      </c>
    </row>
    <row r="16" spans="2:11" ht="20.100000000000001" customHeight="1">
      <c r="B16" s="414" t="s">
        <v>1448</v>
      </c>
      <c r="C16" s="415" t="s">
        <v>9</v>
      </c>
      <c r="D16" s="419" t="s">
        <v>1451</v>
      </c>
      <c r="E16" s="297" t="s">
        <v>1453</v>
      </c>
    </row>
    <row r="17" spans="2:5" ht="20.100000000000001" customHeight="1">
      <c r="B17" s="414" t="s">
        <v>1449</v>
      </c>
      <c r="C17" s="415" t="s">
        <v>9</v>
      </c>
      <c r="D17" s="516"/>
      <c r="E17" s="297" t="s">
        <v>1453</v>
      </c>
    </row>
    <row r="18" spans="2:5" ht="20.100000000000001" hidden="1" customHeight="1">
      <c r="B18" s="414" t="s">
        <v>1543</v>
      </c>
      <c r="C18" s="415"/>
      <c r="D18" s="516">
        <f>IF((D17&lt;=11),1,3)</f>
        <v>1</v>
      </c>
      <c r="E18" s="297"/>
    </row>
    <row r="19" spans="2:5" ht="20.100000000000001" hidden="1" customHeight="1">
      <c r="B19" s="414" t="s">
        <v>1544</v>
      </c>
      <c r="C19" s="415"/>
      <c r="D19" s="516">
        <f>IF((D17&lt;=11),220,380)</f>
        <v>220</v>
      </c>
      <c r="E19" s="297"/>
    </row>
    <row r="20" spans="2:5" ht="20.100000000000001" customHeight="1">
      <c r="B20" s="414" t="s">
        <v>1450</v>
      </c>
      <c r="C20" s="415" t="s">
        <v>9</v>
      </c>
      <c r="D20" s="516">
        <v>66</v>
      </c>
      <c r="E20" s="297" t="s">
        <v>1453</v>
      </c>
    </row>
    <row r="21" spans="2:5" ht="20.100000000000001" hidden="1" customHeight="1">
      <c r="B21" s="414" t="s">
        <v>1543</v>
      </c>
      <c r="C21" s="415"/>
      <c r="D21" s="420">
        <f>IF((D20&lt;=11),1,3)</f>
        <v>3</v>
      </c>
      <c r="E21" s="297"/>
    </row>
    <row r="22" spans="2:5" ht="20.100000000000001" hidden="1" customHeight="1">
      <c r="B22" s="414" t="s">
        <v>1544</v>
      </c>
      <c r="C22" s="415"/>
      <c r="D22" s="420">
        <f>IF((D20&lt;=11),220,380)</f>
        <v>380</v>
      </c>
      <c r="E22" s="297"/>
    </row>
    <row r="23" spans="2:5" ht="20.100000000000001" customHeight="1">
      <c r="B23" s="414" t="s">
        <v>1353</v>
      </c>
      <c r="C23" s="415" t="s">
        <v>9</v>
      </c>
      <c r="D23" s="419">
        <v>1444.7</v>
      </c>
      <c r="E23" s="297" t="s">
        <v>1453</v>
      </c>
    </row>
    <row r="24" spans="2:5" ht="20.100000000000001" customHeight="1">
      <c r="B24" s="414" t="s">
        <v>1354</v>
      </c>
      <c r="C24" s="415" t="s">
        <v>9</v>
      </c>
      <c r="D24" s="419">
        <v>1444.7</v>
      </c>
      <c r="E24" s="297" t="s">
        <v>1453</v>
      </c>
    </row>
    <row r="25" spans="2:5" ht="20.100000000000001" customHeight="1">
      <c r="B25" s="414" t="s">
        <v>1452</v>
      </c>
      <c r="C25" s="415" t="s">
        <v>9</v>
      </c>
      <c r="D25" s="420">
        <v>969</v>
      </c>
      <c r="E25" s="297" t="s">
        <v>1453</v>
      </c>
    </row>
    <row r="26" spans="2:5" ht="20.100000000000001" customHeight="1">
      <c r="B26" s="416" t="s">
        <v>1355</v>
      </c>
      <c r="C26" s="417" t="s">
        <v>9</v>
      </c>
      <c r="D26" s="421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25" activePane="bottomLeft" state="frozen"/>
      <selection activeCell="H1093" sqref="H1093"/>
      <selection pane="bottomLeft" activeCell="N16" sqref="N16"/>
    </sheetView>
  </sheetViews>
  <sheetFormatPr defaultColWidth="9.140625"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33" t="s">
        <v>1357</v>
      </c>
      <c r="C3" s="633"/>
      <c r="D3" s="633"/>
      <c r="E3" s="633"/>
      <c r="F3" s="302" t="str">
        <f>DATA!D14</f>
        <v>NUR CAHYO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34" t="s">
        <v>1349</v>
      </c>
      <c r="C5" s="634" t="s">
        <v>1358</v>
      </c>
      <c r="D5" s="635" t="s">
        <v>1359</v>
      </c>
      <c r="E5" s="635" t="s">
        <v>1360</v>
      </c>
      <c r="F5" s="634" t="s">
        <v>1361</v>
      </c>
      <c r="G5" s="634"/>
      <c r="H5" s="634"/>
      <c r="I5" s="634"/>
      <c r="J5" s="634"/>
      <c r="K5" s="634" t="s">
        <v>1362</v>
      </c>
      <c r="L5" s="634"/>
      <c r="M5" s="304"/>
      <c r="N5" s="638" t="s">
        <v>1363</v>
      </c>
      <c r="O5" s="635" t="s">
        <v>1364</v>
      </c>
      <c r="P5" s="635" t="s">
        <v>1365</v>
      </c>
      <c r="Q5" s="635" t="s">
        <v>1366</v>
      </c>
      <c r="R5" s="305"/>
      <c r="S5" s="306"/>
      <c r="T5" s="636" t="s">
        <v>1367</v>
      </c>
      <c r="U5" s="307"/>
    </row>
    <row r="6" spans="1:21" ht="20.100000000000001" customHeight="1">
      <c r="B6" s="634"/>
      <c r="C6" s="634"/>
      <c r="D6" s="634"/>
      <c r="E6" s="634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39"/>
      <c r="O6" s="634"/>
      <c r="P6" s="634"/>
      <c r="Q6" s="634"/>
      <c r="R6" s="305"/>
      <c r="S6" s="306"/>
      <c r="T6" s="634"/>
      <c r="U6" s="309"/>
    </row>
    <row r="7" spans="1:21" ht="20.100000000000001" customHeight="1">
      <c r="A7" s="310">
        <v>0</v>
      </c>
      <c r="B7" s="311">
        <v>2023</v>
      </c>
      <c r="C7" s="476">
        <f>DATA!D8*DATA!D26*8</f>
        <v>21120</v>
      </c>
      <c r="D7" s="313">
        <f>C7*4/24</f>
        <v>3520</v>
      </c>
      <c r="E7" s="313">
        <f>C7-D7</f>
        <v>17600</v>
      </c>
      <c r="F7" s="314">
        <f ca="1">DATA!D10/1000000</f>
        <v>496.20787833812778</v>
      </c>
      <c r="G7" s="315">
        <f ca="1">DATA!$D$11/1000000</f>
        <v>9.9241575667625561</v>
      </c>
      <c r="H7" s="315">
        <f>C7*DATA!$D$5/1000000</f>
        <v>22.896720969124654</v>
      </c>
      <c r="I7" s="315">
        <f>(C7*DATA!$D$5*DATA!$D$7)/1000000</f>
        <v>0.51517622180530476</v>
      </c>
      <c r="J7" s="313">
        <f ca="1">SUM(F7:I7)</f>
        <v>529.54393309582031</v>
      </c>
      <c r="K7" s="316">
        <f>DATA!D9/1000000</f>
        <v>63.954000000000001</v>
      </c>
      <c r="L7" s="313">
        <f>((D7*DATA!$D$23)/1000000)+((E7*DATA!$D$24)/1000000)</f>
        <v>30.512063999999999</v>
      </c>
      <c r="M7" s="313">
        <f>K7+L7</f>
        <v>94.466064000000003</v>
      </c>
      <c r="N7" s="313">
        <f ca="1">M7-J7</f>
        <v>-435.07786909582029</v>
      </c>
      <c r="O7" s="311">
        <v>1</v>
      </c>
      <c r="P7" s="313">
        <f ca="1">O7*N7</f>
        <v>-435.07786909582029</v>
      </c>
      <c r="Q7" s="313">
        <f ca="1">P7</f>
        <v>-435.07786909582029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31680</v>
      </c>
      <c r="D8" s="313">
        <f>C8*4/24</f>
        <v>5280</v>
      </c>
      <c r="E8" s="313">
        <f t="shared" ref="E8:E32" si="0">C8-D8</f>
        <v>26400</v>
      </c>
      <c r="F8" s="311"/>
      <c r="G8" s="315">
        <f ca="1">DATA!$D$11/1000000</f>
        <v>9.9241575667625561</v>
      </c>
      <c r="H8" s="315">
        <f>C8*DATA!$D$5/1000000</f>
        <v>34.34508145368698</v>
      </c>
      <c r="I8" s="315">
        <f>(C8*DATA!$D$5*DATA!$D$7)/1000000</f>
        <v>0.77276433270795708</v>
      </c>
      <c r="J8" s="313">
        <f t="shared" ref="J8:J32" ca="1" si="1">SUM(F8:I8)</f>
        <v>45.04200335315749</v>
      </c>
      <c r="K8" s="318"/>
      <c r="L8" s="313">
        <f>((D8*DATA!$D$23)/1000000)+((E8*DATA!$D$24)/1000000)</f>
        <v>45.768096</v>
      </c>
      <c r="M8" s="313">
        <f t="shared" ref="M8:M32" si="2">K8+L8</f>
        <v>45.768096</v>
      </c>
      <c r="N8" s="313">
        <f ca="1">M8-J8</f>
        <v>0.72609264684250974</v>
      </c>
      <c r="O8" s="312">
        <f>1/(1+'[93]Asumsi I'!$C$3)^(KKF!A8)</f>
        <v>0.89285714285714279</v>
      </c>
      <c r="P8" s="313">
        <f ca="1">O8*N8</f>
        <v>0.64829700610938368</v>
      </c>
      <c r="Q8" s="313">
        <f ca="1">Q7+P8</f>
        <v>-434.42957208971092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31680</v>
      </c>
      <c r="D9" s="313">
        <f t="shared" ref="D9:D32" si="5">C9*4/24</f>
        <v>5280</v>
      </c>
      <c r="E9" s="313">
        <f t="shared" si="0"/>
        <v>26400</v>
      </c>
      <c r="F9" s="311"/>
      <c r="G9" s="315">
        <f ca="1">DATA!$D$11/1000000</f>
        <v>9.9241575667625561</v>
      </c>
      <c r="H9" s="315">
        <f>C9*DATA!$D$5/1000000</f>
        <v>34.34508145368698</v>
      </c>
      <c r="I9" s="315">
        <f>(C9*DATA!$D$5*DATA!$D$7)/1000000</f>
        <v>0.77276433270795708</v>
      </c>
      <c r="J9" s="313">
        <f t="shared" ca="1" si="1"/>
        <v>45.04200335315749</v>
      </c>
      <c r="K9" s="313"/>
      <c r="L9" s="313">
        <f>((D9*DATA!$D$23)/1000000)+((E9*DATA!$D$24)/1000000)</f>
        <v>45.768096</v>
      </c>
      <c r="M9" s="313">
        <f t="shared" si="2"/>
        <v>45.768096</v>
      </c>
      <c r="N9" s="313">
        <f t="shared" ref="N9:N32" ca="1" si="6">M9-J9</f>
        <v>0.72609264684250974</v>
      </c>
      <c r="O9" s="319">
        <f>1/(1+'[93]Asumsi I'!$C$3)^(KKF!A9)</f>
        <v>0.79719387755102034</v>
      </c>
      <c r="P9" s="313">
        <f t="shared" ref="P9:P32" ca="1" si="7">O9*N9</f>
        <v>0.57883661259766395</v>
      </c>
      <c r="Q9" s="313">
        <f ca="1">Q8+P9</f>
        <v>-433.85073547711323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31680</v>
      </c>
      <c r="D10" s="313">
        <f t="shared" si="5"/>
        <v>5280</v>
      </c>
      <c r="E10" s="313">
        <f t="shared" si="0"/>
        <v>26400</v>
      </c>
      <c r="F10" s="311"/>
      <c r="G10" s="315">
        <f ca="1">DATA!$D$11/1000000</f>
        <v>9.9241575667625561</v>
      </c>
      <c r="H10" s="315">
        <f>C10*DATA!$D$5/1000000</f>
        <v>34.34508145368698</v>
      </c>
      <c r="I10" s="315">
        <f>(C10*DATA!$D$5*DATA!$D$7)/1000000</f>
        <v>0.77276433270795708</v>
      </c>
      <c r="J10" s="313">
        <f t="shared" ca="1" si="1"/>
        <v>45.04200335315749</v>
      </c>
      <c r="K10" s="311"/>
      <c r="L10" s="313">
        <f>((D10*DATA!$D$23)/1000000)+((E10*DATA!$D$24)/1000000)</f>
        <v>45.768096</v>
      </c>
      <c r="M10" s="313">
        <f t="shared" si="2"/>
        <v>45.768096</v>
      </c>
      <c r="N10" s="313">
        <f t="shared" ca="1" si="6"/>
        <v>0.72609264684250974</v>
      </c>
      <c r="O10" s="312">
        <f>1/(1+'[93]Asumsi I'!$C$3)^(KKF!A10)</f>
        <v>0.71178024781341087</v>
      </c>
      <c r="P10" s="313">
        <f t="shared" ca="1" si="7"/>
        <v>0.51681840410505697</v>
      </c>
      <c r="Q10" s="313">
        <f t="shared" ref="Q10:Q30" ca="1" si="9">Q9+P10</f>
        <v>-433.33391707300819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31680</v>
      </c>
      <c r="D11" s="313">
        <f t="shared" si="5"/>
        <v>5280</v>
      </c>
      <c r="E11" s="313">
        <f t="shared" si="0"/>
        <v>26400</v>
      </c>
      <c r="F11" s="311"/>
      <c r="G11" s="315">
        <f ca="1">DATA!$D$11/1000000</f>
        <v>9.9241575667625561</v>
      </c>
      <c r="H11" s="315">
        <f>C11*DATA!$D$5/1000000</f>
        <v>34.34508145368698</v>
      </c>
      <c r="I11" s="315">
        <f>(C11*DATA!$D$5*DATA!$D$7)/1000000</f>
        <v>0.77276433270795708</v>
      </c>
      <c r="J11" s="313">
        <f t="shared" ca="1" si="1"/>
        <v>45.04200335315749</v>
      </c>
      <c r="K11" s="311"/>
      <c r="L11" s="313">
        <f>((D11*DATA!$D$23)/1000000)+((E11*DATA!$D$24)/1000000)</f>
        <v>45.768096</v>
      </c>
      <c r="M11" s="313">
        <f t="shared" si="2"/>
        <v>45.768096</v>
      </c>
      <c r="N11" s="313">
        <f t="shared" ca="1" si="6"/>
        <v>0.72609264684250974</v>
      </c>
      <c r="O11" s="312">
        <f>1/(1+'[93]Asumsi I'!$C$3)^(KKF!A11)</f>
        <v>0.63551807840483121</v>
      </c>
      <c r="P11" s="313">
        <f t="shared" ca="1" si="7"/>
        <v>0.4614450036652295</v>
      </c>
      <c r="Q11" s="313">
        <f t="shared" ca="1" si="9"/>
        <v>-432.87247206934296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31680</v>
      </c>
      <c r="D12" s="313">
        <f t="shared" si="5"/>
        <v>5280</v>
      </c>
      <c r="E12" s="313">
        <f t="shared" si="0"/>
        <v>26400</v>
      </c>
      <c r="F12" s="311"/>
      <c r="G12" s="315">
        <f ca="1">DATA!$D$11/1000000</f>
        <v>9.9241575667625561</v>
      </c>
      <c r="H12" s="315">
        <f>C12*DATA!$D$5/1000000</f>
        <v>34.34508145368698</v>
      </c>
      <c r="I12" s="315">
        <f>(C12*DATA!$D$5*DATA!$D$7)/1000000</f>
        <v>0.77276433270795708</v>
      </c>
      <c r="J12" s="313">
        <f t="shared" ca="1" si="1"/>
        <v>45.04200335315749</v>
      </c>
      <c r="K12" s="311"/>
      <c r="L12" s="313">
        <f>((D12*DATA!$D$23)/1000000)+((E12*DATA!$D$24)/1000000)</f>
        <v>45.768096</v>
      </c>
      <c r="M12" s="313">
        <f t="shared" si="2"/>
        <v>45.768096</v>
      </c>
      <c r="N12" s="313">
        <f t="shared" ca="1" si="6"/>
        <v>0.72609264684250974</v>
      </c>
      <c r="O12" s="312">
        <f>1/(1+'[93]Asumsi I'!$C$3)^(KKF!A12)</f>
        <v>0.56742685571859919</v>
      </c>
      <c r="P12" s="313">
        <f t="shared" ca="1" si="7"/>
        <v>0.41200446755824055</v>
      </c>
      <c r="Q12" s="313">
        <f t="shared" ca="1" si="9"/>
        <v>-432.46046760178473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31680</v>
      </c>
      <c r="D13" s="313">
        <f t="shared" si="5"/>
        <v>5280</v>
      </c>
      <c r="E13" s="313">
        <f t="shared" si="0"/>
        <v>26400</v>
      </c>
      <c r="F13" s="311"/>
      <c r="G13" s="315">
        <f ca="1">DATA!$D$11/1000000</f>
        <v>9.9241575667625561</v>
      </c>
      <c r="H13" s="315">
        <f>C13*DATA!$D$5/1000000</f>
        <v>34.34508145368698</v>
      </c>
      <c r="I13" s="315">
        <f>(C13*DATA!$D$5*DATA!$D$7)/1000000</f>
        <v>0.77276433270795708</v>
      </c>
      <c r="J13" s="313">
        <f t="shared" ca="1" si="1"/>
        <v>45.04200335315749</v>
      </c>
      <c r="K13" s="311"/>
      <c r="L13" s="313">
        <f>((D13*DATA!$D$23)/1000000)+((E13*DATA!$D$24)/1000000)</f>
        <v>45.768096</v>
      </c>
      <c r="M13" s="313">
        <f t="shared" si="2"/>
        <v>45.768096</v>
      </c>
      <c r="N13" s="313">
        <f t="shared" ca="1" si="6"/>
        <v>0.72609264684250974</v>
      </c>
      <c r="O13" s="312">
        <f>1/(1+'[93]Asumsi I'!$C$3)^(KKF!A13)</f>
        <v>0.50663112117732068</v>
      </c>
      <c r="P13" s="313">
        <f t="shared" ca="1" si="7"/>
        <v>0.36786113174842905</v>
      </c>
      <c r="Q13" s="313">
        <f t="shared" ca="1" si="9"/>
        <v>-432.09260647003629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31680</v>
      </c>
      <c r="D14" s="313">
        <f t="shared" si="5"/>
        <v>5280</v>
      </c>
      <c r="E14" s="313">
        <f t="shared" si="0"/>
        <v>26400</v>
      </c>
      <c r="F14" s="311"/>
      <c r="G14" s="315">
        <f ca="1">DATA!$D$11/1000000</f>
        <v>9.9241575667625561</v>
      </c>
      <c r="H14" s="315">
        <f>C14*DATA!$D$5/1000000</f>
        <v>34.34508145368698</v>
      </c>
      <c r="I14" s="315">
        <f>(C14*DATA!$D$5*DATA!$D$7)/1000000</f>
        <v>0.77276433270795708</v>
      </c>
      <c r="J14" s="313">
        <f t="shared" ca="1" si="1"/>
        <v>45.04200335315749</v>
      </c>
      <c r="K14" s="311"/>
      <c r="L14" s="313">
        <f>((D14*DATA!$D$23)/1000000)+((E14*DATA!$D$24)/1000000)</f>
        <v>45.768096</v>
      </c>
      <c r="M14" s="313">
        <f t="shared" si="2"/>
        <v>45.768096</v>
      </c>
      <c r="N14" s="313">
        <f t="shared" ca="1" si="6"/>
        <v>0.72609264684250974</v>
      </c>
      <c r="O14" s="312">
        <f>1/(1+'[93]Asumsi I'!$C$3)^(KKF!A14)</f>
        <v>0.45234921533689343</v>
      </c>
      <c r="P14" s="313">
        <f t="shared" ca="1" si="7"/>
        <v>0.32844743906109736</v>
      </c>
      <c r="Q14" s="313">
        <f t="shared" ca="1" si="9"/>
        <v>-431.76415903097518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31680</v>
      </c>
      <c r="D15" s="313">
        <f t="shared" si="5"/>
        <v>5280</v>
      </c>
      <c r="E15" s="313">
        <f t="shared" si="0"/>
        <v>26400</v>
      </c>
      <c r="F15" s="311"/>
      <c r="G15" s="315">
        <f ca="1">DATA!$D$11/1000000</f>
        <v>9.9241575667625561</v>
      </c>
      <c r="H15" s="315">
        <f>C15*DATA!$D$5/1000000</f>
        <v>34.34508145368698</v>
      </c>
      <c r="I15" s="315">
        <f>(C15*DATA!$D$5*DATA!$D$7)/1000000</f>
        <v>0.77276433270795708</v>
      </c>
      <c r="J15" s="313">
        <f t="shared" ca="1" si="1"/>
        <v>45.04200335315749</v>
      </c>
      <c r="K15" s="311"/>
      <c r="L15" s="313">
        <f>((D15*DATA!$D$23)/1000000)+((E15*DATA!$D$24)/1000000)</f>
        <v>45.768096</v>
      </c>
      <c r="M15" s="313">
        <f t="shared" si="2"/>
        <v>45.768096</v>
      </c>
      <c r="N15" s="313">
        <f t="shared" ca="1" si="6"/>
        <v>0.72609264684250974</v>
      </c>
      <c r="O15" s="312">
        <f>1/(1+'[93]Asumsi I'!$C$3)^(KKF!A15)</f>
        <v>0.4038832279793691</v>
      </c>
      <c r="P15" s="313">
        <f t="shared" ca="1" si="7"/>
        <v>0.29325664201883689</v>
      </c>
      <c r="Q15" s="313">
        <f t="shared" ca="1" si="9"/>
        <v>-431.47090238895635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31680</v>
      </c>
      <c r="D16" s="313">
        <f t="shared" si="5"/>
        <v>5280</v>
      </c>
      <c r="E16" s="313">
        <f t="shared" si="0"/>
        <v>26400</v>
      </c>
      <c r="F16" s="311"/>
      <c r="G16" s="315">
        <f ca="1">DATA!$D$11/1000000</f>
        <v>9.9241575667625561</v>
      </c>
      <c r="H16" s="315">
        <f>C16*DATA!$D$5/1000000</f>
        <v>34.34508145368698</v>
      </c>
      <c r="I16" s="315">
        <f>(C16*DATA!$D$5*DATA!$D$7)/1000000</f>
        <v>0.77276433270795708</v>
      </c>
      <c r="J16" s="313">
        <f t="shared" ca="1" si="1"/>
        <v>45.04200335315749</v>
      </c>
      <c r="K16" s="311"/>
      <c r="L16" s="313">
        <f>((D16*DATA!$D$23)/1000000)+((E16*DATA!$D$24)/1000000)</f>
        <v>45.768096</v>
      </c>
      <c r="M16" s="313">
        <f t="shared" si="2"/>
        <v>45.768096</v>
      </c>
      <c r="N16" s="313">
        <f t="shared" ca="1" si="6"/>
        <v>0.72609264684250974</v>
      </c>
      <c r="O16" s="312">
        <f>1/(1+'[93]Asumsi I'!$C$3)^(KKF!A16)</f>
        <v>0.36061002498157957</v>
      </c>
      <c r="P16" s="313">
        <f t="shared" ca="1" si="7"/>
        <v>0.26183628751681864</v>
      </c>
      <c r="Q16" s="313">
        <f t="shared" ca="1" si="9"/>
        <v>-431.20906610143953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31680</v>
      </c>
      <c r="D17" s="313">
        <f t="shared" si="5"/>
        <v>5280</v>
      </c>
      <c r="E17" s="313">
        <f t="shared" si="0"/>
        <v>26400</v>
      </c>
      <c r="F17" s="311"/>
      <c r="G17" s="315">
        <f ca="1">DATA!$D$11/1000000</f>
        <v>9.9241575667625561</v>
      </c>
      <c r="H17" s="315">
        <f>C17*DATA!$D$5/1000000</f>
        <v>34.34508145368698</v>
      </c>
      <c r="I17" s="315">
        <f>(C17*DATA!$D$5*DATA!$D$7)/1000000</f>
        <v>0.77276433270795708</v>
      </c>
      <c r="J17" s="313">
        <f t="shared" ca="1" si="1"/>
        <v>45.04200335315749</v>
      </c>
      <c r="K17" s="311"/>
      <c r="L17" s="313">
        <f>((D17*DATA!$D$23)/1000000)+((E17*DATA!$D$24)/1000000)</f>
        <v>45.768096</v>
      </c>
      <c r="M17" s="313">
        <f t="shared" si="2"/>
        <v>45.768096</v>
      </c>
      <c r="N17" s="313">
        <f t="shared" ca="1" si="6"/>
        <v>0.72609264684250974</v>
      </c>
      <c r="O17" s="312">
        <f>1/(1+'[93]Asumsi I'!$C$3)^(KKF!A17)</f>
        <v>0.32197323659069599</v>
      </c>
      <c r="P17" s="313">
        <f t="shared" ca="1" si="7"/>
        <v>0.23378239956858807</v>
      </c>
      <c r="Q17" s="313">
        <f t="shared" ca="1" si="9"/>
        <v>-430.97528370187092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31680</v>
      </c>
      <c r="D18" s="313">
        <f t="shared" si="5"/>
        <v>5280</v>
      </c>
      <c r="E18" s="313">
        <f t="shared" si="0"/>
        <v>26400</v>
      </c>
      <c r="F18" s="311"/>
      <c r="G18" s="315">
        <f ca="1">DATA!$D$11/1000000</f>
        <v>9.9241575667625561</v>
      </c>
      <c r="H18" s="315">
        <f>C18*DATA!$D$5/1000000</f>
        <v>34.34508145368698</v>
      </c>
      <c r="I18" s="315">
        <f>(C18*DATA!$D$5*DATA!$D$7)/1000000</f>
        <v>0.77276433270795708</v>
      </c>
      <c r="J18" s="313">
        <f t="shared" ca="1" si="1"/>
        <v>45.04200335315749</v>
      </c>
      <c r="K18" s="311"/>
      <c r="L18" s="313">
        <f>((D18*DATA!$D$23)/1000000)+((E18*DATA!$D$24)/1000000)</f>
        <v>45.768096</v>
      </c>
      <c r="M18" s="313">
        <f t="shared" si="2"/>
        <v>45.768096</v>
      </c>
      <c r="N18" s="313">
        <f t="shared" ca="1" si="6"/>
        <v>0.72609264684250974</v>
      </c>
      <c r="O18" s="312">
        <f>1/(1+'[93]Asumsi I'!$C$3)^(KKF!A18)</f>
        <v>0.28747610409883567</v>
      </c>
      <c r="P18" s="313">
        <f t="shared" ca="1" si="7"/>
        <v>0.20873428532909646</v>
      </c>
      <c r="Q18" s="313">
        <f t="shared" ca="1" si="9"/>
        <v>-430.76654941654181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31680</v>
      </c>
      <c r="D19" s="313">
        <f t="shared" si="5"/>
        <v>5280</v>
      </c>
      <c r="E19" s="313">
        <f t="shared" si="0"/>
        <v>26400</v>
      </c>
      <c r="F19" s="311"/>
      <c r="G19" s="315">
        <f ca="1">DATA!$D$11/1000000</f>
        <v>9.9241575667625561</v>
      </c>
      <c r="H19" s="315">
        <f>C19*DATA!$D$5/1000000</f>
        <v>34.34508145368698</v>
      </c>
      <c r="I19" s="315">
        <f>(C19*DATA!$D$5*DATA!$D$7)/1000000</f>
        <v>0.77276433270795708</v>
      </c>
      <c r="J19" s="313">
        <f t="shared" ca="1" si="1"/>
        <v>45.04200335315749</v>
      </c>
      <c r="K19" s="311"/>
      <c r="L19" s="313">
        <f>((D19*DATA!$D$23)/1000000)+((E19*DATA!$D$24)/1000000)</f>
        <v>45.768096</v>
      </c>
      <c r="M19" s="313">
        <f t="shared" si="2"/>
        <v>45.768096</v>
      </c>
      <c r="N19" s="313">
        <f t="shared" ca="1" si="6"/>
        <v>0.72609264684250974</v>
      </c>
      <c r="O19" s="312">
        <f>1/(1+'[93]Asumsi I'!$C$3)^(KKF!A19)</f>
        <v>0.25667509294538904</v>
      </c>
      <c r="P19" s="313">
        <f t="shared" ca="1" si="7"/>
        <v>0.18636989761526473</v>
      </c>
      <c r="Q19" s="313">
        <f t="shared" ca="1" si="9"/>
        <v>-430.58017951892657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31680</v>
      </c>
      <c r="D20" s="313">
        <f t="shared" si="5"/>
        <v>5280</v>
      </c>
      <c r="E20" s="313">
        <f t="shared" si="0"/>
        <v>26400</v>
      </c>
      <c r="F20" s="311"/>
      <c r="G20" s="315">
        <f ca="1">DATA!$D$11/1000000</f>
        <v>9.9241575667625561</v>
      </c>
      <c r="H20" s="315">
        <f>C20*DATA!$D$5/1000000</f>
        <v>34.34508145368698</v>
      </c>
      <c r="I20" s="315">
        <f>(C20*DATA!$D$5*DATA!$D$7)/1000000</f>
        <v>0.77276433270795708</v>
      </c>
      <c r="J20" s="313">
        <f t="shared" ca="1" si="1"/>
        <v>45.04200335315749</v>
      </c>
      <c r="K20" s="311"/>
      <c r="L20" s="313">
        <f>((D20*DATA!$D$23)/1000000)+((E20*DATA!$D$24)/1000000)</f>
        <v>45.768096</v>
      </c>
      <c r="M20" s="313">
        <f t="shared" si="2"/>
        <v>45.768096</v>
      </c>
      <c r="N20" s="313">
        <f t="shared" ca="1" si="6"/>
        <v>0.72609264684250974</v>
      </c>
      <c r="O20" s="312">
        <f>1/(1+'[93]Asumsi I'!$C$3)^(KKF!A20)</f>
        <v>0.22917419012981158</v>
      </c>
      <c r="P20" s="313">
        <f t="shared" ca="1" si="7"/>
        <v>0.16640169429934346</v>
      </c>
      <c r="Q20" s="313">
        <f t="shared" ca="1" si="9"/>
        <v>-430.41377782462723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31680</v>
      </c>
      <c r="D21" s="313">
        <f t="shared" si="5"/>
        <v>5280</v>
      </c>
      <c r="E21" s="313">
        <f t="shared" si="0"/>
        <v>26400</v>
      </c>
      <c r="F21" s="311"/>
      <c r="G21" s="315">
        <f ca="1">DATA!$D$11/1000000</f>
        <v>9.9241575667625561</v>
      </c>
      <c r="H21" s="315">
        <f>C21*DATA!$D$5/1000000</f>
        <v>34.34508145368698</v>
      </c>
      <c r="I21" s="315">
        <f>(C21*DATA!$D$5*DATA!$D$7)/1000000</f>
        <v>0.77276433270795708</v>
      </c>
      <c r="J21" s="313">
        <f t="shared" ca="1" si="1"/>
        <v>45.04200335315749</v>
      </c>
      <c r="K21" s="311"/>
      <c r="L21" s="313">
        <f>((D21*DATA!$D$23)/1000000)+((E21*DATA!$D$24)/1000000)</f>
        <v>45.768096</v>
      </c>
      <c r="M21" s="313">
        <f t="shared" si="2"/>
        <v>45.768096</v>
      </c>
      <c r="N21" s="313">
        <f t="shared" ca="1" si="6"/>
        <v>0.72609264684250974</v>
      </c>
      <c r="O21" s="312">
        <f>1/(1+'[93]Asumsi I'!$C$3)^(KKF!A21)</f>
        <v>0.20461981261590317</v>
      </c>
      <c r="P21" s="313">
        <f t="shared" ca="1" si="7"/>
        <v>0.1485729413386995</v>
      </c>
      <c r="Q21" s="313">
        <f t="shared" ca="1" si="9"/>
        <v>-430.2652048832885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31680</v>
      </c>
      <c r="D22" s="313">
        <f t="shared" si="5"/>
        <v>5280</v>
      </c>
      <c r="E22" s="313">
        <f t="shared" si="0"/>
        <v>26400</v>
      </c>
      <c r="F22" s="311"/>
      <c r="G22" s="315">
        <f ca="1">DATA!$D$11/1000000</f>
        <v>9.9241575667625561</v>
      </c>
      <c r="H22" s="315">
        <f>C22*DATA!$D$5/1000000</f>
        <v>34.34508145368698</v>
      </c>
      <c r="I22" s="315">
        <f>(C22*DATA!$D$5*DATA!$D$7)/1000000</f>
        <v>0.77276433270795708</v>
      </c>
      <c r="J22" s="313">
        <f t="shared" ca="1" si="1"/>
        <v>45.04200335315749</v>
      </c>
      <c r="K22" s="311"/>
      <c r="L22" s="313">
        <f>((D22*DATA!$D$23)/1000000)+((E22*DATA!$D$24)/1000000)</f>
        <v>45.768096</v>
      </c>
      <c r="M22" s="313">
        <f t="shared" si="2"/>
        <v>45.768096</v>
      </c>
      <c r="N22" s="313">
        <f t="shared" ca="1" si="6"/>
        <v>0.72609264684250974</v>
      </c>
      <c r="O22" s="312">
        <f>1/(1+'[93]Asumsi I'!$C$3)^(KKF!A22)</f>
        <v>0.18269626126419927</v>
      </c>
      <c r="P22" s="313">
        <f t="shared" ca="1" si="7"/>
        <v>0.13265441190955313</v>
      </c>
      <c r="Q22" s="313">
        <f t="shared" ca="1" si="9"/>
        <v>-430.13255047137898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31680</v>
      </c>
      <c r="D23" s="313">
        <f t="shared" si="5"/>
        <v>5280</v>
      </c>
      <c r="E23" s="313">
        <f t="shared" si="0"/>
        <v>26400</v>
      </c>
      <c r="F23" s="311"/>
      <c r="G23" s="315">
        <f ca="1">DATA!$D$11/1000000</f>
        <v>9.9241575667625561</v>
      </c>
      <c r="H23" s="315">
        <f>C23*DATA!$D$5/1000000</f>
        <v>34.34508145368698</v>
      </c>
      <c r="I23" s="315">
        <f>(C23*DATA!$D$5*DATA!$D$7)/1000000</f>
        <v>0.77276433270795708</v>
      </c>
      <c r="J23" s="313">
        <f t="shared" ca="1" si="1"/>
        <v>45.04200335315749</v>
      </c>
      <c r="K23" s="311"/>
      <c r="L23" s="313">
        <f>((D23*DATA!$D$23)/1000000)+((E23*DATA!$D$24)/1000000)</f>
        <v>45.768096</v>
      </c>
      <c r="M23" s="313">
        <f t="shared" si="2"/>
        <v>45.768096</v>
      </c>
      <c r="N23" s="313">
        <f t="shared" ca="1" si="6"/>
        <v>0.72609264684250974</v>
      </c>
      <c r="O23" s="312">
        <f>1/(1+'[93]Asumsi I'!$C$3)^(KKF!A23)</f>
        <v>0.16312166184303503</v>
      </c>
      <c r="P23" s="313">
        <f t="shared" ca="1" si="7"/>
        <v>0.11844143920495813</v>
      </c>
      <c r="Q23" s="313">
        <f t="shared" ca="1" si="9"/>
        <v>-430.01410903217402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31680</v>
      </c>
      <c r="D24" s="313">
        <f t="shared" si="5"/>
        <v>5280</v>
      </c>
      <c r="E24" s="313">
        <f t="shared" si="0"/>
        <v>26400</v>
      </c>
      <c r="F24" s="311"/>
      <c r="G24" s="315">
        <f ca="1">DATA!$D$11/1000000</f>
        <v>9.9241575667625561</v>
      </c>
      <c r="H24" s="315">
        <f>C24*DATA!$D$5/1000000</f>
        <v>34.34508145368698</v>
      </c>
      <c r="I24" s="315">
        <f>(C24*DATA!$D$5*DATA!$D$7)/1000000</f>
        <v>0.77276433270795708</v>
      </c>
      <c r="J24" s="313">
        <f t="shared" ca="1" si="1"/>
        <v>45.04200335315749</v>
      </c>
      <c r="K24" s="311"/>
      <c r="L24" s="313">
        <f>((D24*DATA!$D$23)/1000000)+((E24*DATA!$D$24)/1000000)</f>
        <v>45.768096</v>
      </c>
      <c r="M24" s="313">
        <f t="shared" si="2"/>
        <v>45.768096</v>
      </c>
      <c r="N24" s="313">
        <f t="shared" ca="1" si="6"/>
        <v>0.72609264684250974</v>
      </c>
      <c r="O24" s="312">
        <f>1/(1+'[93]Asumsi I'!$C$3)^(KKF!A24)</f>
        <v>0.14564434093128129</v>
      </c>
      <c r="P24" s="313">
        <f t="shared" ca="1" si="7"/>
        <v>0.1057512850044269</v>
      </c>
      <c r="Q24" s="313">
        <f t="shared" ca="1" si="9"/>
        <v>-429.90835774716959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31680</v>
      </c>
      <c r="D25" s="313">
        <f t="shared" si="5"/>
        <v>5280</v>
      </c>
      <c r="E25" s="313">
        <f t="shared" si="0"/>
        <v>26400</v>
      </c>
      <c r="F25" s="311"/>
      <c r="G25" s="315">
        <f ca="1">DATA!$D$11/1000000</f>
        <v>9.9241575667625561</v>
      </c>
      <c r="H25" s="315">
        <f>C25*DATA!$D$5/1000000</f>
        <v>34.34508145368698</v>
      </c>
      <c r="I25" s="315">
        <f>(C25*DATA!$D$5*DATA!$D$7)/1000000</f>
        <v>0.77276433270795708</v>
      </c>
      <c r="J25" s="313">
        <f t="shared" ca="1" si="1"/>
        <v>45.04200335315749</v>
      </c>
      <c r="K25" s="311"/>
      <c r="L25" s="313">
        <f>((D25*DATA!$D$23)/1000000)+((E25*DATA!$D$24)/1000000)</f>
        <v>45.768096</v>
      </c>
      <c r="M25" s="313">
        <f t="shared" si="2"/>
        <v>45.768096</v>
      </c>
      <c r="N25" s="313">
        <f t="shared" ca="1" si="6"/>
        <v>0.72609264684250974</v>
      </c>
      <c r="O25" s="312">
        <f>1/(1+'[93]Asumsi I'!$C$3)^(KKF!A25)</f>
        <v>0.13003959011721541</v>
      </c>
      <c r="P25" s="313">
        <f t="shared" ca="1" si="7"/>
        <v>9.4420790182524014E-2</v>
      </c>
      <c r="Q25" s="313">
        <f t="shared" ca="1" si="9"/>
        <v>-429.81393695698705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31680</v>
      </c>
      <c r="D26" s="313">
        <f t="shared" si="5"/>
        <v>5280</v>
      </c>
      <c r="E26" s="313">
        <f t="shared" si="0"/>
        <v>26400</v>
      </c>
      <c r="F26" s="311"/>
      <c r="G26" s="315">
        <f ca="1">DATA!$D$11/1000000</f>
        <v>9.9241575667625561</v>
      </c>
      <c r="H26" s="315">
        <f>C26*DATA!$D$5/1000000</f>
        <v>34.34508145368698</v>
      </c>
      <c r="I26" s="315">
        <f>(C26*DATA!$D$5*DATA!$D$7)/1000000</f>
        <v>0.77276433270795708</v>
      </c>
      <c r="J26" s="313">
        <f t="shared" ca="1" si="1"/>
        <v>45.04200335315749</v>
      </c>
      <c r="K26" s="311"/>
      <c r="L26" s="313">
        <f>((D26*DATA!$D$23)/1000000)+((E26*DATA!$D$24)/1000000)</f>
        <v>45.768096</v>
      </c>
      <c r="M26" s="313">
        <f t="shared" si="2"/>
        <v>45.768096</v>
      </c>
      <c r="N26" s="313">
        <f t="shared" ca="1" si="6"/>
        <v>0.72609264684250974</v>
      </c>
      <c r="O26" s="312">
        <f>1/(1+'[93]Asumsi I'!$C$3)^(KKF!A26)</f>
        <v>0.1161067768903709</v>
      </c>
      <c r="P26" s="313">
        <f t="shared" ca="1" si="7"/>
        <v>8.4304276948682144E-2</v>
      </c>
      <c r="Q26" s="313">
        <f t="shared" ca="1" si="9"/>
        <v>-429.72963268003838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31680</v>
      </c>
      <c r="D27" s="313">
        <f t="shared" si="5"/>
        <v>5280</v>
      </c>
      <c r="E27" s="313">
        <f t="shared" si="0"/>
        <v>26400</v>
      </c>
      <c r="F27" s="311"/>
      <c r="G27" s="315">
        <f ca="1">DATA!$D$11/1000000</f>
        <v>9.9241575667625561</v>
      </c>
      <c r="H27" s="315">
        <f>C27*DATA!$D$5/1000000</f>
        <v>34.34508145368698</v>
      </c>
      <c r="I27" s="315">
        <f>(C27*DATA!$D$5*DATA!$D$7)/1000000</f>
        <v>0.77276433270795708</v>
      </c>
      <c r="J27" s="313">
        <f t="shared" ca="1" si="1"/>
        <v>45.04200335315749</v>
      </c>
      <c r="K27" s="311"/>
      <c r="L27" s="313">
        <f>((D27*DATA!$D$23)/1000000)+((E27*DATA!$D$24)/1000000)</f>
        <v>45.768096</v>
      </c>
      <c r="M27" s="313">
        <f t="shared" si="2"/>
        <v>45.768096</v>
      </c>
      <c r="N27" s="313">
        <f t="shared" ca="1" si="6"/>
        <v>0.72609264684250974</v>
      </c>
      <c r="O27" s="312">
        <f>1/(1+'[93]Asumsi I'!$C$3)^(KKF!A27)</f>
        <v>0.1036667650806883</v>
      </c>
      <c r="P27" s="313">
        <f t="shared" ca="1" si="7"/>
        <v>7.5271675847037631E-2</v>
      </c>
      <c r="Q27" s="313">
        <f t="shared" ca="1" si="9"/>
        <v>-429.65436100419134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31680</v>
      </c>
      <c r="D28" s="313">
        <f t="shared" si="5"/>
        <v>5280</v>
      </c>
      <c r="E28" s="313">
        <f t="shared" si="0"/>
        <v>26400</v>
      </c>
      <c r="F28" s="311"/>
      <c r="G28" s="315">
        <f ca="1">DATA!$D$11/1000000</f>
        <v>9.9241575667625561</v>
      </c>
      <c r="H28" s="315">
        <f>C28*DATA!$D$5/1000000</f>
        <v>34.34508145368698</v>
      </c>
      <c r="I28" s="315">
        <f>(C28*DATA!$D$5*DATA!$D$7)/1000000</f>
        <v>0.77276433270795708</v>
      </c>
      <c r="J28" s="313">
        <f t="shared" ca="1" si="1"/>
        <v>45.04200335315749</v>
      </c>
      <c r="K28" s="311"/>
      <c r="L28" s="313">
        <f>((D28*DATA!$D$23)/1000000)+((E28*DATA!$D$24)/1000000)</f>
        <v>45.768096</v>
      </c>
      <c r="M28" s="313">
        <f t="shared" si="2"/>
        <v>45.768096</v>
      </c>
      <c r="N28" s="313">
        <f t="shared" ca="1" si="6"/>
        <v>0.72609264684250974</v>
      </c>
      <c r="O28" s="312">
        <f>1/(1+'[93]Asumsi I'!$C$3)^(KKF!A28)</f>
        <v>9.2559611679185971E-2</v>
      </c>
      <c r="P28" s="313">
        <f t="shared" ca="1" si="7"/>
        <v>6.7206853434855024E-2</v>
      </c>
      <c r="Q28" s="313">
        <f t="shared" ca="1" si="9"/>
        <v>-429.58715415075648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31680</v>
      </c>
      <c r="D29" s="313">
        <f t="shared" si="5"/>
        <v>5280</v>
      </c>
      <c r="E29" s="313">
        <f t="shared" si="0"/>
        <v>26400</v>
      </c>
      <c r="F29" s="311"/>
      <c r="G29" s="315">
        <f ca="1">DATA!$D$11/1000000</f>
        <v>9.9241575667625561</v>
      </c>
      <c r="H29" s="315">
        <f>C29*DATA!$D$5/1000000</f>
        <v>34.34508145368698</v>
      </c>
      <c r="I29" s="315">
        <f>(C29*DATA!$D$5*DATA!$D$7)/1000000</f>
        <v>0.77276433270795708</v>
      </c>
      <c r="J29" s="313">
        <f t="shared" ca="1" si="1"/>
        <v>45.04200335315749</v>
      </c>
      <c r="K29" s="311"/>
      <c r="L29" s="313">
        <f>((D29*DATA!$D$23)/1000000)+((E29*DATA!$D$24)/1000000)</f>
        <v>45.768096</v>
      </c>
      <c r="M29" s="313">
        <f t="shared" si="2"/>
        <v>45.768096</v>
      </c>
      <c r="N29" s="313">
        <f t="shared" ca="1" si="6"/>
        <v>0.72609264684250974</v>
      </c>
      <c r="O29" s="312">
        <f>1/(1+'[93]Asumsi I'!$C$3)^(KKF!A29)</f>
        <v>8.2642510427844609E-2</v>
      </c>
      <c r="P29" s="313">
        <f t="shared" ca="1" si="7"/>
        <v>6.0006119138263404E-2</v>
      </c>
      <c r="Q29" s="313">
        <f t="shared" ca="1" si="9"/>
        <v>-429.5271480316182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31680</v>
      </c>
      <c r="D30" s="313">
        <f t="shared" si="5"/>
        <v>5280</v>
      </c>
      <c r="E30" s="313">
        <f t="shared" si="0"/>
        <v>26400</v>
      </c>
      <c r="F30" s="311"/>
      <c r="G30" s="315">
        <f ca="1">DATA!$D$11/1000000</f>
        <v>9.9241575667625561</v>
      </c>
      <c r="H30" s="315">
        <f>C30*DATA!$D$5/1000000</f>
        <v>34.34508145368698</v>
      </c>
      <c r="I30" s="315">
        <f>(C30*DATA!$D$5*DATA!$D$7)/1000000</f>
        <v>0.77276433270795708</v>
      </c>
      <c r="J30" s="313">
        <f t="shared" ca="1" si="1"/>
        <v>45.04200335315749</v>
      </c>
      <c r="K30" s="311"/>
      <c r="L30" s="313">
        <f>((D30*DATA!$D$23)/1000000)+((E30*DATA!$D$24)/1000000)</f>
        <v>45.768096</v>
      </c>
      <c r="M30" s="313">
        <f t="shared" si="2"/>
        <v>45.768096</v>
      </c>
      <c r="N30" s="313">
        <f t="shared" ca="1" si="6"/>
        <v>0.72609264684250974</v>
      </c>
      <c r="O30" s="312">
        <f>1/(1+'[93]Asumsi I'!$C$3)^(KKF!A30)</f>
        <v>7.3787955739146982E-2</v>
      </c>
      <c r="P30" s="313">
        <f t="shared" ca="1" si="7"/>
        <v>5.3576892087735188E-2</v>
      </c>
      <c r="Q30" s="313">
        <f t="shared" ca="1" si="9"/>
        <v>-429.47357113953046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31680</v>
      </c>
      <c r="D31" s="313">
        <f t="shared" si="5"/>
        <v>5280</v>
      </c>
      <c r="E31" s="313">
        <f t="shared" si="0"/>
        <v>26400</v>
      </c>
      <c r="F31" s="311"/>
      <c r="G31" s="315">
        <f ca="1">DATA!$D$11/1000000</f>
        <v>9.9241575667625561</v>
      </c>
      <c r="H31" s="315">
        <f>C31*DATA!$D$5/1000000</f>
        <v>34.34508145368698</v>
      </c>
      <c r="I31" s="315">
        <f>(C31*DATA!$D$5*DATA!$D$7)/1000000</f>
        <v>0.77276433270795708</v>
      </c>
      <c r="J31" s="313">
        <f t="shared" ca="1" si="1"/>
        <v>45.04200335315749</v>
      </c>
      <c r="K31" s="311"/>
      <c r="L31" s="313">
        <f>((D31*DATA!$D$23)/1000000)+((E31*DATA!$D$24)/1000000)</f>
        <v>45.768096</v>
      </c>
      <c r="M31" s="313">
        <f t="shared" si="2"/>
        <v>45.768096</v>
      </c>
      <c r="N31" s="313">
        <f t="shared" ca="1" si="6"/>
        <v>0.72609264684250974</v>
      </c>
      <c r="O31" s="312">
        <f>1/(1+'[93]Asumsi I'!$C$3)^(KKF!A31)</f>
        <v>6.5882103338524081E-2</v>
      </c>
      <c r="P31" s="313">
        <f t="shared" ca="1" si="7"/>
        <v>4.7836510792620697E-2</v>
      </c>
      <c r="Q31" s="313">
        <f ca="1">Q30+P31</f>
        <v>-429.42573462873787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31680</v>
      </c>
      <c r="D32" s="313">
        <f t="shared" si="5"/>
        <v>5280</v>
      </c>
      <c r="E32" s="313">
        <f t="shared" si="0"/>
        <v>26400</v>
      </c>
      <c r="F32" s="311"/>
      <c r="G32" s="315">
        <f ca="1">DATA!$D$11/1000000</f>
        <v>9.9241575667625561</v>
      </c>
      <c r="H32" s="315">
        <f>C32*DATA!$D$5/1000000</f>
        <v>34.34508145368698</v>
      </c>
      <c r="I32" s="315">
        <f>(C32*DATA!$D$5*DATA!$D$7)/1000000</f>
        <v>0.77276433270795708</v>
      </c>
      <c r="J32" s="313">
        <f t="shared" ca="1" si="1"/>
        <v>45.04200335315749</v>
      </c>
      <c r="K32" s="311"/>
      <c r="L32" s="313">
        <f>((D32*DATA!$D$23)/1000000)+((E32*DATA!$D$24)/1000000)</f>
        <v>45.768096</v>
      </c>
      <c r="M32" s="313">
        <f t="shared" si="2"/>
        <v>45.768096</v>
      </c>
      <c r="N32" s="313">
        <f t="shared" ca="1" si="6"/>
        <v>0.72609264684250974</v>
      </c>
      <c r="O32" s="312">
        <f>1/(1+'[93]Asumsi I'!$C$3)^(KKF!A32)</f>
        <v>5.8823306552253637E-2</v>
      </c>
      <c r="P32" s="313">
        <f t="shared" ca="1" si="7"/>
        <v>4.271117035055419E-2</v>
      </c>
      <c r="Q32" s="313">
        <f ca="1">Q31+P32</f>
        <v>-429.3830234583873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37" t="s">
        <v>1374</v>
      </c>
      <c r="G33" s="637"/>
      <c r="H33" s="637"/>
      <c r="I33" s="321"/>
      <c r="J33" s="322">
        <f ca="1">SUM(J7:J32)</f>
        <v>1655.5940169247576</v>
      </c>
      <c r="K33" s="637" t="s">
        <v>1375</v>
      </c>
      <c r="L33" s="637"/>
      <c r="M33" s="322">
        <f>SUM(M7:M32)</f>
        <v>1238.6684640000003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729.30628811433064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0.74817162380231927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-383.37769951641718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-0.16897670113130947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7" priority="1" stopIfTrue="1" operator="greaterThanOrEqual">
      <formula>$F$7</formula>
    </cfRule>
    <cfRule type="cellIs" dxfId="46" priority="2" stopIfTrue="1" operator="lessThan">
      <formula>$F$7</formula>
    </cfRule>
  </conditionalFormatting>
  <conditionalFormatting sqref="Q7:Q32">
    <cfRule type="cellIs" dxfId="45" priority="3" operator="lessThan">
      <formula>0</formula>
    </cfRule>
    <cfRule type="cellIs" dxfId="44" priority="4" operator="lessThan">
      <formula>0</formula>
    </cfRule>
    <cfRule type="cellIs" dxfId="43" priority="5" operator="lessThan">
      <formula>-6395.81</formula>
    </cfRule>
    <cfRule type="cellIs" dxfId="4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480"/>
  <sheetViews>
    <sheetView showGridLines="0" tabSelected="1" zoomScale="70" zoomScaleNormal="70" zoomScaleSheetLayoutView="70" workbookViewId="0">
      <pane ySplit="13" topLeftCell="A102" activePane="bottomLeft" state="frozen"/>
      <selection activeCell="H1093" sqref="H1093"/>
      <selection pane="bottomLeft" activeCell="F128" sqref="F128"/>
    </sheetView>
  </sheetViews>
  <sheetFormatPr defaultColWidth="9.140625" defaultRowHeight="15"/>
  <cols>
    <col min="1" max="1" width="8.28515625" style="333" customWidth="1"/>
    <col min="2" max="2" width="5.140625" style="334" customWidth="1"/>
    <col min="3" max="3" width="53.42578125" style="406" customWidth="1"/>
    <col min="4" max="4" width="13.7109375" style="406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0" width="16.7109375" style="339" customWidth="1"/>
    <col min="11" max="11" width="19.5703125" style="339" bestFit="1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40" t="s">
        <v>1036</v>
      </c>
      <c r="P3" s="640"/>
      <c r="Q3" s="343"/>
      <c r="T3" s="341"/>
      <c r="U3" s="342" t="s">
        <v>1041</v>
      </c>
      <c r="V3" s="341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57" t="str">
        <f>DATA!D14</f>
        <v>NUR CAHYO</v>
      </c>
      <c r="H6" s="657"/>
      <c r="I6" s="657"/>
      <c r="J6" s="657"/>
      <c r="K6" s="657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1624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43" t="s">
        <v>0</v>
      </c>
      <c r="C11" s="645" t="s">
        <v>1</v>
      </c>
      <c r="D11" s="648" t="s">
        <v>42</v>
      </c>
      <c r="E11" s="648" t="s">
        <v>43</v>
      </c>
      <c r="F11" s="648" t="s">
        <v>2</v>
      </c>
      <c r="G11" s="650" t="s">
        <v>41</v>
      </c>
      <c r="H11" s="648" t="s">
        <v>3</v>
      </c>
      <c r="I11" s="648"/>
      <c r="J11" s="648"/>
      <c r="K11" s="667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44"/>
      <c r="C12" s="646"/>
      <c r="D12" s="649"/>
      <c r="E12" s="649"/>
      <c r="F12" s="649"/>
      <c r="G12" s="651"/>
      <c r="H12" s="653" t="s">
        <v>46</v>
      </c>
      <c r="I12" s="653" t="s">
        <v>5</v>
      </c>
      <c r="J12" s="649" t="s">
        <v>47</v>
      </c>
      <c r="K12" s="668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44"/>
      <c r="C13" s="647"/>
      <c r="D13" s="649"/>
      <c r="E13" s="649"/>
      <c r="F13" s="649"/>
      <c r="G13" s="652"/>
      <c r="H13" s="654"/>
      <c r="I13" s="654"/>
      <c r="J13" s="649"/>
      <c r="K13" s="668"/>
      <c r="O13" s="352"/>
      <c r="P13" s="352"/>
      <c r="Q13" s="352"/>
      <c r="S13" s="350"/>
      <c r="T13" s="350"/>
      <c r="U13" s="350"/>
      <c r="V13" s="350"/>
    </row>
    <row r="14" spans="1:22" s="362" customFormat="1" ht="15.75" customHeight="1">
      <c r="A14" s="333"/>
      <c r="B14" s="353"/>
      <c r="C14" s="354"/>
      <c r="D14" s="355" t="str">
        <f ca="1">IF(ISERROR(OFFSET('HARGA SATUAN'!$D$6,MATCH(RAB!C14,'HARGA SATUAN'!$C$7:$C$1492,0),0)),"",OFFSET('HARGA SATUAN'!$D$6,MATCH(RAB!C14,'HARGA SATUAN'!$C$7:$C$1492,0),0))</f>
        <v/>
      </c>
      <c r="E14" s="356" t="str">
        <f ca="1">IF(B14="+","Unit",IF(ISERROR(OFFSET('HARGA SATUAN'!$E$6,MATCH(RAB!C14,'HARGA SATUAN'!$C$7:$C$1492,0),0)),"",OFFSET('HARGA SATUAN'!$E$6,MATCH(RAB!C14,'HARGA SATUAN'!$C$7:$C$1492,0),0)))</f>
        <v/>
      </c>
      <c r="F14" s="365"/>
      <c r="G14" s="357">
        <f ca="1">IF(ISERROR(OFFSET('HARGA SATUAN'!$I$6,MATCH(RAB!C14,'HARGA SATUAN'!$C$7:$C$1492,0),0)),0,OFFSET('HARGA SATUAN'!$I$6,MATCH(RAB!C14,'HARGA SATUAN'!$C$7:$C$1492,0),0))</f>
        <v>0</v>
      </c>
      <c r="H14" s="358">
        <f t="shared" ref="H14:H23" ca="1" si="0">IF(OR(D14="MDU",D14="MDU-KD"),(IF($O$3="RAB NON MDU","PLN KD",G14*F14)),0)</f>
        <v>0</v>
      </c>
      <c r="I14" s="358">
        <f t="shared" ref="I14:I23" ca="1" si="1">IF(D14="HDW",G14*F14,0)</f>
        <v>0</v>
      </c>
      <c r="J14" s="358">
        <f t="shared" ref="J14:J23" ca="1" si="2">IF(D14="JASA",G14*F14,0)</f>
        <v>0</v>
      </c>
      <c r="K14" s="359">
        <f t="shared" ref="K14:K23" ca="1" si="3">SUM(H14:J14)</f>
        <v>0</v>
      </c>
      <c r="L14" s="339"/>
      <c r="M14" s="339"/>
      <c r="N14" s="339"/>
      <c r="O14" s="360"/>
      <c r="P14" s="360"/>
      <c r="Q14" s="341"/>
      <c r="R14" s="333"/>
      <c r="S14" s="361"/>
      <c r="T14" s="338"/>
      <c r="U14" s="338"/>
      <c r="V14" s="338"/>
    </row>
    <row r="15" spans="1:22" s="362" customFormat="1" ht="15.75" customHeight="1">
      <c r="A15" s="333"/>
      <c r="B15" s="530"/>
      <c r="C15" s="531" t="s">
        <v>1657</v>
      </c>
      <c r="D15" s="355" t="str">
        <f ca="1">IF(ISERROR(OFFSET('HARGA SATUAN'!$D$6,MATCH(RAB!C15,'HARGA SATUAN'!$C$7:$C$1492,0),0)),"",OFFSET('HARGA SATUAN'!$D$6,MATCH(RAB!C15,'HARGA SATUAN'!$C$7:$C$1492,0),0))</f>
        <v/>
      </c>
      <c r="E15" s="356" t="str">
        <f ca="1">IF(B15="+","Unit",IF(ISERROR(OFFSET('HARGA SATUAN'!$E$6,MATCH(RAB!C15,'HARGA SATUAN'!$C$7:$C$1492,0),0)),"",OFFSET('HARGA SATUAN'!$E$6,MATCH(RAB!C15,'HARGA SATUAN'!$C$7:$C$1492,0),0)))</f>
        <v/>
      </c>
      <c r="F15" s="365"/>
      <c r="G15" s="357">
        <f ca="1">IF(ISERROR(OFFSET('HARGA SATUAN'!$I$6,MATCH(RAB!C15,'HARGA SATUAN'!$C$7:$C$1492,0),0)),0,OFFSET('HARGA SATUAN'!$I$6,MATCH(RAB!C15,'HARGA SATUAN'!$C$7:$C$1492,0),0))</f>
        <v>0</v>
      </c>
      <c r="H15" s="358">
        <f t="shared" ref="H15:H17" ca="1" si="4">IF(OR(D15="MDU",D15="MDU-KD"),(IF($O$3="RAB NON MDU","PLN KD",G15*F15)),0)</f>
        <v>0</v>
      </c>
      <c r="I15" s="358">
        <f t="shared" ref="I15:I17" ca="1" si="5">IF(D15="HDW",G15*F15,0)</f>
        <v>0</v>
      </c>
      <c r="J15" s="358">
        <f t="shared" ref="J15:J17" ca="1" si="6">IF(D15="JASA",G15*F15,0)</f>
        <v>0</v>
      </c>
      <c r="K15" s="359">
        <f t="shared" ref="K15:K17" ca="1" si="7">SUM(H15:J15)</f>
        <v>0</v>
      </c>
      <c r="L15" s="339"/>
      <c r="M15" s="339"/>
      <c r="N15" s="339"/>
      <c r="O15" s="360"/>
      <c r="P15" s="360"/>
      <c r="Q15" s="341"/>
      <c r="R15" s="333"/>
      <c r="S15" s="361"/>
      <c r="T15" s="338"/>
      <c r="U15" s="338"/>
      <c r="V15" s="338"/>
    </row>
    <row r="16" spans="1:22" s="362" customFormat="1" ht="15.75" customHeight="1">
      <c r="A16" s="333"/>
      <c r="B16" s="353"/>
      <c r="C16" s="354"/>
      <c r="D16" s="355" t="str">
        <f ca="1">IF(ISERROR(OFFSET('HARGA SATUAN'!$D$6,MATCH(RAB!C16,'HARGA SATUAN'!$C$7:$C$1492,0),0)),"",OFFSET('HARGA SATUAN'!$D$6,MATCH(RAB!C16,'HARGA SATUAN'!$C$7:$C$1492,0),0))</f>
        <v/>
      </c>
      <c r="E16" s="356" t="str">
        <f ca="1">IF(B16="+","Unit",IF(ISERROR(OFFSET('HARGA SATUAN'!$E$6,MATCH(RAB!C16,'HARGA SATUAN'!$C$7:$C$1492,0),0)),"",OFFSET('HARGA SATUAN'!$E$6,MATCH(RAB!C16,'HARGA SATUAN'!$C$7:$C$1492,0),0)))</f>
        <v/>
      </c>
      <c r="F16" s="365"/>
      <c r="G16" s="357">
        <f ca="1">IF(ISERROR(OFFSET('HARGA SATUAN'!$I$6,MATCH(RAB!C16,'HARGA SATUAN'!$C$7:$C$1492,0),0)),0,OFFSET('HARGA SATUAN'!$I$6,MATCH(RAB!C16,'HARGA SATUAN'!$C$7:$C$1492,0),0))</f>
        <v>0</v>
      </c>
      <c r="H16" s="358">
        <f t="shared" ca="1" si="4"/>
        <v>0</v>
      </c>
      <c r="I16" s="358">
        <f t="shared" ca="1" si="5"/>
        <v>0</v>
      </c>
      <c r="J16" s="358">
        <f t="shared" ca="1" si="6"/>
        <v>0</v>
      </c>
      <c r="K16" s="359">
        <f t="shared" ca="1" si="7"/>
        <v>0</v>
      </c>
      <c r="L16" s="339"/>
      <c r="M16" s="339"/>
      <c r="N16" s="339"/>
      <c r="O16" s="360"/>
      <c r="P16" s="360"/>
      <c r="Q16" s="341"/>
      <c r="R16" s="333"/>
      <c r="S16" s="361"/>
      <c r="T16" s="338"/>
      <c r="U16" s="338"/>
      <c r="V16" s="338"/>
    </row>
    <row r="17" spans="1:22" s="367" customFormat="1">
      <c r="A17" s="333" t="e">
        <f>IF(AND(C17=0,#REF!=0,#REF!=0),"BLANKS",1)</f>
        <v>#REF!</v>
      </c>
      <c r="B17" s="363" t="s">
        <v>10</v>
      </c>
      <c r="C17" s="364" t="s">
        <v>1612</v>
      </c>
      <c r="D17" s="355" t="str">
        <f ca="1">IF(ISERROR(OFFSET('HARGA SATUAN'!$D$6,MATCH(RAB!C17,'HARGA SATUAN'!$C$7:$C$1492,0),0)),"",OFFSET('HARGA SATUAN'!$D$6,MATCH(RAB!C17,'HARGA SATUAN'!$C$7:$C$1492,0),0))</f>
        <v/>
      </c>
      <c r="E17" s="356" t="str">
        <f ca="1">IF(B17="+","Unit",IF(ISERROR(OFFSET('HARGA SATUAN'!$E$6,MATCH(RAB!C17,'HARGA SATUAN'!$C$7:$C$1492,0),0)),"",OFFSET('HARGA SATUAN'!$E$6,MATCH(RAB!C17,'HARGA SATUAN'!$C$7:$C$1492,0),0)))</f>
        <v/>
      </c>
      <c r="F17" s="365"/>
      <c r="G17" s="357">
        <f ca="1">IF(ISERROR(OFFSET('HARGA SATUAN'!$I$6,MATCH(RAB!C17,'HARGA SATUAN'!$C$7:$C$1492,0),0)),0,OFFSET('HARGA SATUAN'!$I$6,MATCH(RAB!C17,'HARGA SATUAN'!$C$7:$C$1492,0),0))</f>
        <v>0</v>
      </c>
      <c r="H17" s="358">
        <f t="shared" ca="1" si="4"/>
        <v>0</v>
      </c>
      <c r="I17" s="358">
        <f t="shared" ca="1" si="5"/>
        <v>0</v>
      </c>
      <c r="J17" s="358">
        <f t="shared" ca="1" si="6"/>
        <v>0</v>
      </c>
      <c r="K17" s="359">
        <f t="shared" ca="1" si="7"/>
        <v>0</v>
      </c>
      <c r="L17" s="366"/>
      <c r="M17" s="366"/>
      <c r="N17" s="366"/>
      <c r="O17" s="360"/>
      <c r="P17" s="360"/>
      <c r="Q17" s="341"/>
      <c r="R17" s="333"/>
      <c r="S17" s="361"/>
      <c r="T17" s="338"/>
      <c r="U17" s="338"/>
      <c r="V17" s="338"/>
    </row>
    <row r="18" spans="1:22" s="367" customFormat="1">
      <c r="A18" s="333" t="e">
        <f>IF(AND(C18=0,#REF!=0,#REF!=0),"BLANKS",1)</f>
        <v>#REF!</v>
      </c>
      <c r="B18" s="368"/>
      <c r="C18" s="369"/>
      <c r="D18" s="355" t="str">
        <f ca="1">IF(ISERROR(OFFSET('HARGA SATUAN'!$D$6,MATCH(RAB!C18,'HARGA SATUAN'!$C$7:$C$1492,0),0)),"",OFFSET('HARGA SATUAN'!$D$6,MATCH(RAB!C18,'HARGA SATUAN'!$C$7:$C$1492,0),0))</f>
        <v/>
      </c>
      <c r="E18" s="356" t="str">
        <f ca="1">IF(B18="+","Unit",IF(ISERROR(OFFSET('HARGA SATUAN'!$E$6,MATCH(RAB!C18,'HARGA SATUAN'!$C$7:$C$1492,0),0)),"",OFFSET('HARGA SATUAN'!$E$6,MATCH(RAB!C18,'HARGA SATUAN'!$C$7:$C$1492,0),0)))</f>
        <v/>
      </c>
      <c r="F18" s="365"/>
      <c r="G18" s="357">
        <f ca="1">IF(ISERROR(OFFSET('HARGA SATUAN'!$I$6,MATCH(RAB!C18,'HARGA SATUAN'!$C$7:$C$1492,0),0)),0,OFFSET('HARGA SATUAN'!$I$6,MATCH(RAB!C18,'HARGA SATUAN'!$C$7:$C$1492,0),0))</f>
        <v>0</v>
      </c>
      <c r="H18" s="358">
        <f t="shared" ca="1" si="0"/>
        <v>0</v>
      </c>
      <c r="I18" s="358">
        <f t="shared" ca="1" si="1"/>
        <v>0</v>
      </c>
      <c r="J18" s="358">
        <f t="shared" ca="1" si="2"/>
        <v>0</v>
      </c>
      <c r="K18" s="359">
        <f t="shared" ca="1" si="3"/>
        <v>0</v>
      </c>
      <c r="L18" s="366"/>
      <c r="M18" s="366"/>
      <c r="N18" s="366"/>
      <c r="O18" s="360"/>
      <c r="P18" s="360"/>
      <c r="Q18" s="341"/>
      <c r="R18" s="333"/>
      <c r="S18" s="361"/>
      <c r="T18" s="338"/>
      <c r="U18" s="338"/>
      <c r="V18" s="338"/>
    </row>
    <row r="19" spans="1:22" s="367" customFormat="1">
      <c r="A19" s="333"/>
      <c r="B19" s="368">
        <v>1</v>
      </c>
      <c r="C19" s="109" t="s">
        <v>104</v>
      </c>
      <c r="D19" s="355" t="str">
        <f ca="1">IF(ISERROR(OFFSET('HARGA SATUAN'!$D$6,MATCH(RAB!C19,'HARGA SATUAN'!$C$7:$C$1492,0),0)),"",OFFSET('HARGA SATUAN'!$D$6,MATCH(RAB!C19,'HARGA SATUAN'!$C$7:$C$1492,0),0))</f>
        <v>HDW</v>
      </c>
      <c r="E19" s="356" t="str">
        <f ca="1">IF(B19="+","Unit",IF(ISERROR(OFFSET('HARGA SATUAN'!$E$6,MATCH(RAB!C19,'HARGA SATUAN'!$C$7:$C$1492,0),0)),"",OFFSET('HARGA SATUAN'!$E$6,MATCH(RAB!C19,'HARGA SATUAN'!$C$7:$C$1492,0),0)))</f>
        <v>Btg</v>
      </c>
      <c r="F19" s="365">
        <v>2</v>
      </c>
      <c r="G19" s="357">
        <f ca="1">IF(ISERROR(OFFSET('HARGA SATUAN'!$I$6,MATCH(RAB!C19,'HARGA SATUAN'!$C$7:$C$1492,0),0)),0,OFFSET('HARGA SATUAN'!$I$6,MATCH(RAB!C19,'HARGA SATUAN'!$C$7:$C$1492,0),0))</f>
        <v>6074400</v>
      </c>
      <c r="H19" s="358">
        <f t="shared" ca="1" si="0"/>
        <v>0</v>
      </c>
      <c r="I19" s="358">
        <f t="shared" ca="1" si="1"/>
        <v>12148800</v>
      </c>
      <c r="J19" s="358">
        <f t="shared" ca="1" si="2"/>
        <v>0</v>
      </c>
      <c r="K19" s="359">
        <f t="shared" ca="1" si="3"/>
        <v>12148800</v>
      </c>
      <c r="L19" s="366"/>
      <c r="M19" s="366"/>
      <c r="N19" s="366"/>
      <c r="O19" s="360"/>
      <c r="P19" s="360"/>
      <c r="Q19" s="341"/>
      <c r="R19" s="333"/>
      <c r="S19" s="361"/>
      <c r="T19" s="338"/>
      <c r="U19" s="338"/>
      <c r="V19" s="338"/>
    </row>
    <row r="20" spans="1:22" s="367" customFormat="1">
      <c r="A20" s="333"/>
      <c r="B20" s="368">
        <v>2</v>
      </c>
      <c r="C20" s="109" t="s">
        <v>103</v>
      </c>
      <c r="D20" s="355" t="str">
        <f ca="1">IF(ISERROR(OFFSET('HARGA SATUAN'!$D$6,MATCH(RAB!C20,'HARGA SATUAN'!$C$7:$C$1492,0),0)),"",OFFSET('HARGA SATUAN'!$D$6,MATCH(RAB!C20,'HARGA SATUAN'!$C$7:$C$1492,0),0))</f>
        <v>HDW</v>
      </c>
      <c r="E20" s="356" t="str">
        <f ca="1">IF(B20="+","Unit",IF(ISERROR(OFFSET('HARGA SATUAN'!$E$6,MATCH(RAB!C20,'HARGA SATUAN'!$C$7:$C$1492,0),0)),"",OFFSET('HARGA SATUAN'!$E$6,MATCH(RAB!C20,'HARGA SATUAN'!$C$7:$C$1492,0),0)))</f>
        <v>Btg</v>
      </c>
      <c r="F20" s="365">
        <v>8</v>
      </c>
      <c r="G20" s="357">
        <f ca="1">IF(ISERROR(OFFSET('HARGA SATUAN'!$I$6,MATCH(RAB!C20,'HARGA SATUAN'!$C$7:$C$1492,0),0)),0,OFFSET('HARGA SATUAN'!$I$6,MATCH(RAB!C20,'HARGA SATUAN'!$C$7:$C$1492,0),0))</f>
        <v>5800000</v>
      </c>
      <c r="H20" s="358">
        <f t="shared" ca="1" si="0"/>
        <v>0</v>
      </c>
      <c r="I20" s="358">
        <f t="shared" ca="1" si="1"/>
        <v>46400000</v>
      </c>
      <c r="J20" s="358">
        <f t="shared" ca="1" si="2"/>
        <v>0</v>
      </c>
      <c r="K20" s="359">
        <f t="shared" ca="1" si="3"/>
        <v>46400000</v>
      </c>
      <c r="L20" s="366"/>
      <c r="M20" s="366"/>
      <c r="N20" s="366"/>
      <c r="O20" s="360"/>
      <c r="P20" s="360"/>
      <c r="Q20" s="341"/>
      <c r="R20" s="333"/>
      <c r="S20" s="361"/>
      <c r="T20" s="338"/>
      <c r="U20" s="338"/>
      <c r="V20" s="338"/>
    </row>
    <row r="21" spans="1:22" s="367" customFormat="1">
      <c r="A21" s="333"/>
      <c r="B21" s="368">
        <v>3</v>
      </c>
      <c r="C21" s="109" t="s">
        <v>101</v>
      </c>
      <c r="D21" s="355" t="str">
        <f ca="1">IF(ISERROR(OFFSET('HARGA SATUAN'!$D$6,MATCH(RAB!C21,'HARGA SATUAN'!$C$7:$C$1492,0),0)),"",OFFSET('HARGA SATUAN'!$D$6,MATCH(RAB!C21,'HARGA SATUAN'!$C$7:$C$1492,0),0))</f>
        <v>HDW</v>
      </c>
      <c r="E21" s="356" t="str">
        <f ca="1">IF(B21="+","Unit",IF(ISERROR(OFFSET('HARGA SATUAN'!$E$6,MATCH(RAB!C21,'HARGA SATUAN'!$C$7:$C$1492,0),0)),"",OFFSET('HARGA SATUAN'!$E$6,MATCH(RAB!C21,'HARGA SATUAN'!$C$7:$C$1492,0),0)))</f>
        <v>Btg</v>
      </c>
      <c r="F21" s="365">
        <v>0</v>
      </c>
      <c r="G21" s="357">
        <f ca="1">IF(ISERROR(OFFSET('HARGA SATUAN'!$I$6,MATCH(RAB!C21,'HARGA SATUAN'!$C$7:$C$1492,0),0)),0,OFFSET('HARGA SATUAN'!$I$6,MATCH(RAB!C21,'HARGA SATUAN'!$C$7:$C$1492,0),0))</f>
        <v>3382600</v>
      </c>
      <c r="H21" s="358">
        <f t="shared" ca="1" si="0"/>
        <v>0</v>
      </c>
      <c r="I21" s="358">
        <f t="shared" ca="1" si="1"/>
        <v>0</v>
      </c>
      <c r="J21" s="358">
        <f t="shared" ca="1" si="2"/>
        <v>0</v>
      </c>
      <c r="K21" s="359">
        <f t="shared" ca="1" si="3"/>
        <v>0</v>
      </c>
      <c r="L21" s="366"/>
      <c r="M21" s="366"/>
      <c r="N21" s="366"/>
      <c r="O21" s="360"/>
      <c r="P21" s="360"/>
      <c r="Q21" s="341"/>
      <c r="R21" s="333"/>
      <c r="S21" s="361"/>
      <c r="T21" s="338"/>
      <c r="U21" s="338"/>
      <c r="V21" s="338"/>
    </row>
    <row r="22" spans="1:22" s="367" customFormat="1">
      <c r="A22" s="333"/>
      <c r="B22" s="368">
        <v>4</v>
      </c>
      <c r="C22" s="109" t="s">
        <v>6</v>
      </c>
      <c r="D22" s="355" t="str">
        <f ca="1">IF(ISERROR(OFFSET('HARGA SATUAN'!$D$6,MATCH(RAB!C22,'HARGA SATUAN'!$C$7:$C$1492,0),0)),"",OFFSET('HARGA SATUAN'!$D$6,MATCH(RAB!C22,'HARGA SATUAN'!$C$7:$C$1492,0),0))</f>
        <v>JASA</v>
      </c>
      <c r="E22" s="356" t="str">
        <f ca="1">IF(B22="+","Unit",IF(ISERROR(OFFSET('HARGA SATUAN'!$E$6,MATCH(RAB!C22,'HARGA SATUAN'!$C$7:$C$1492,0),0)),"",OFFSET('HARGA SATUAN'!$E$6,MATCH(RAB!C22,'HARGA SATUAN'!$C$7:$C$1492,0),0)))</f>
        <v>Btg</v>
      </c>
      <c r="F22" s="365">
        <f>F21+F20+F19</f>
        <v>10</v>
      </c>
      <c r="G22" s="357">
        <f ca="1">IF(ISERROR(OFFSET('HARGA SATUAN'!$I$6,MATCH(RAB!C22,'HARGA SATUAN'!$C$7:$C$1492,0),0)),0,OFFSET('HARGA SATUAN'!$I$6,MATCH(RAB!C22,'HARGA SATUAN'!$C$7:$C$1492,0),0))</f>
        <v>10066.666666666668</v>
      </c>
      <c r="H22" s="358">
        <f t="shared" ca="1" si="0"/>
        <v>0</v>
      </c>
      <c r="I22" s="358">
        <f t="shared" ca="1" si="1"/>
        <v>0</v>
      </c>
      <c r="J22" s="358">
        <f t="shared" ca="1" si="2"/>
        <v>100666.66666666669</v>
      </c>
      <c r="K22" s="359">
        <f t="shared" ca="1" si="3"/>
        <v>100666.66666666669</v>
      </c>
      <c r="L22" s="366"/>
      <c r="M22" s="366"/>
      <c r="N22" s="366"/>
      <c r="O22" s="360"/>
      <c r="P22" s="360"/>
      <c r="Q22" s="341"/>
      <c r="R22" s="333"/>
      <c r="S22" s="361"/>
      <c r="T22" s="338"/>
      <c r="U22" s="338"/>
      <c r="V22" s="338"/>
    </row>
    <row r="23" spans="1:22" s="367" customFormat="1">
      <c r="A23" s="333"/>
      <c r="B23" s="368">
        <v>5</v>
      </c>
      <c r="C23" s="109" t="s">
        <v>461</v>
      </c>
      <c r="D23" s="355" t="str">
        <f ca="1">IF(ISERROR(OFFSET('HARGA SATUAN'!$D$6,MATCH(RAB!C23,'HARGA SATUAN'!$C$7:$C$1492,0),0)),"",OFFSET('HARGA SATUAN'!$D$6,MATCH(RAB!C23,'HARGA SATUAN'!$C$7:$C$1492,0),0))</f>
        <v>HDW</v>
      </c>
      <c r="E23" s="356" t="str">
        <f ca="1">IF(B23="+","Unit",IF(ISERROR(OFFSET('HARGA SATUAN'!$E$6,MATCH(RAB!C23,'HARGA SATUAN'!$C$7:$C$1492,0),0)),"",OFFSET('HARGA SATUAN'!$E$6,MATCH(RAB!C23,'HARGA SATUAN'!$C$7:$C$1492,0),0)))</f>
        <v>Set</v>
      </c>
      <c r="F23" s="365">
        <v>0</v>
      </c>
      <c r="G23" s="357">
        <f ca="1">IF(ISERROR(OFFSET('HARGA SATUAN'!$I$6,MATCH(RAB!C23,'HARGA SATUAN'!$C$7:$C$1492,0),0)),0,OFFSET('HARGA SATUAN'!$I$6,MATCH(RAB!C23,'HARGA SATUAN'!$C$7:$C$1492,0),0))</f>
        <v>200000</v>
      </c>
      <c r="H23" s="358">
        <f t="shared" ca="1" si="0"/>
        <v>0</v>
      </c>
      <c r="I23" s="358">
        <f t="shared" ca="1" si="1"/>
        <v>0</v>
      </c>
      <c r="J23" s="358">
        <f t="shared" ca="1" si="2"/>
        <v>0</v>
      </c>
      <c r="K23" s="359">
        <f t="shared" ca="1" si="3"/>
        <v>0</v>
      </c>
      <c r="L23" s="366"/>
      <c r="M23" s="366"/>
      <c r="N23" s="366"/>
      <c r="O23" s="360"/>
      <c r="P23" s="360"/>
      <c r="Q23" s="341"/>
      <c r="R23" s="333"/>
      <c r="S23" s="361"/>
      <c r="T23" s="338"/>
      <c r="U23" s="338"/>
      <c r="V23" s="338"/>
    </row>
    <row r="24" spans="1:22" s="367" customFormat="1">
      <c r="A24" s="333"/>
      <c r="B24" s="368"/>
      <c r="C24" s="109"/>
      <c r="D24" s="355"/>
      <c r="E24" s="356"/>
      <c r="F24" s="365"/>
      <c r="G24" s="357"/>
      <c r="H24" s="358"/>
      <c r="I24" s="358"/>
      <c r="J24" s="358"/>
      <c r="K24" s="359"/>
      <c r="L24" s="366"/>
      <c r="M24" s="366"/>
      <c r="N24" s="366"/>
      <c r="O24" s="360"/>
      <c r="P24" s="360"/>
      <c r="Q24" s="341"/>
      <c r="R24" s="333"/>
      <c r="S24" s="361"/>
      <c r="T24" s="338"/>
      <c r="U24" s="338"/>
      <c r="V24" s="338"/>
    </row>
    <row r="25" spans="1:22" s="367" customFormat="1">
      <c r="A25" s="333"/>
      <c r="B25" s="363" t="s">
        <v>1613</v>
      </c>
      <c r="C25" s="364" t="s">
        <v>1622</v>
      </c>
      <c r="D25" s="355" t="str">
        <f ca="1">IF(ISERROR(OFFSET('HARGA SATUAN'!$D$6,MATCH(RAB!C25,'HARGA SATUAN'!$C$7:$C$1492,0),0)),"",OFFSET('HARGA SATUAN'!$D$6,MATCH(RAB!C25,'HARGA SATUAN'!$C$7:$C$1492,0),0))</f>
        <v/>
      </c>
      <c r="E25" s="356" t="str">
        <f ca="1">IF(B25="+","Unit",IF(ISERROR(OFFSET('HARGA SATUAN'!$E$6,MATCH(RAB!C25,'HARGA SATUAN'!$C$7:$C$1492,0),0)),"",OFFSET('HARGA SATUAN'!$E$6,MATCH(RAB!C25,'HARGA SATUAN'!$C$7:$C$1492,0),0)))</f>
        <v/>
      </c>
      <c r="F25" s="365"/>
      <c r="G25" s="357">
        <f ca="1">IF(ISERROR(OFFSET('HARGA SATUAN'!$I$6,MATCH(RAB!C25,'HARGA SATUAN'!$C$7:$C$1492,0),0)),0,OFFSET('HARGA SATUAN'!$I$6,MATCH(RAB!C25,'HARGA SATUAN'!$C$7:$C$1492,0),0))</f>
        <v>0</v>
      </c>
      <c r="H25" s="358">
        <f ca="1">IF(OR(D25="MDU",D25="MDU-KD"),(IF($O$3="RAB NON MDU","PLN KD",G25*F25)),0)</f>
        <v>0</v>
      </c>
      <c r="I25" s="358">
        <f ca="1">IF(D25="HDW",G25*F25,0)</f>
        <v>0</v>
      </c>
      <c r="J25" s="358">
        <f ca="1">IF(D25="JASA",G25*F25,0)</f>
        <v>0</v>
      </c>
      <c r="K25" s="359">
        <f ca="1">SUM(H25:J25)</f>
        <v>0</v>
      </c>
      <c r="L25" s="366"/>
      <c r="M25" s="366"/>
      <c r="N25" s="366"/>
      <c r="O25" s="360"/>
      <c r="P25" s="360"/>
      <c r="Q25" s="341"/>
      <c r="R25" s="333"/>
      <c r="S25" s="361"/>
      <c r="T25" s="338"/>
      <c r="U25" s="338"/>
      <c r="V25" s="338"/>
    </row>
    <row r="26" spans="1:22" s="362" customFormat="1">
      <c r="A26" s="333"/>
      <c r="B26" s="491"/>
      <c r="C26" s="492"/>
      <c r="D26" s="355" t="str">
        <f ca="1">IF(ISERROR(OFFSET('HARGA SATUAN'!$D$6,MATCH(RAB!C26,'HARGA SATUAN'!$C$7:$C$1492,0),0)),"",OFFSET('HARGA SATUAN'!$D$6,MATCH(RAB!C26,'HARGA SATUAN'!$C$7:$C$1492,0),0))</f>
        <v/>
      </c>
      <c r="E26" s="356" t="str">
        <f ca="1">IF(B26="+","Unit",IF(ISERROR(OFFSET('HARGA SATUAN'!$E$6,MATCH(RAB!C26,'HARGA SATUAN'!$C$7:$C$1492,0),0)),"",OFFSET('HARGA SATUAN'!$E$6,MATCH(RAB!C26,'HARGA SATUAN'!$C$7:$C$1492,0),0)))</f>
        <v/>
      </c>
      <c r="F26" s="365"/>
      <c r="G26" s="357">
        <f ca="1">IF(ISERROR(OFFSET('HARGA SATUAN'!$I$6,MATCH(RAB!C26,'HARGA SATUAN'!$C$7:$C$1492,0),0)),0,OFFSET('HARGA SATUAN'!$I$6,MATCH(RAB!C26,'HARGA SATUAN'!$C$7:$C$1492,0),0))</f>
        <v>0</v>
      </c>
      <c r="H26" s="358">
        <f t="shared" ref="H26:H32" ca="1" si="8">IF(OR(D26="MDU",D26="MDU-KD"),(IF($O$3="RAB NON MDU","PLN KD",G26*F26)),0)</f>
        <v>0</v>
      </c>
      <c r="I26" s="358">
        <f t="shared" ref="I26:I32" ca="1" si="9">IF(D26="HDW",G26*F26,0)</f>
        <v>0</v>
      </c>
      <c r="J26" s="358">
        <f t="shared" ref="J26:J32" ca="1" si="10">IF(D26="JASA",G26*F26,0)</f>
        <v>0</v>
      </c>
      <c r="K26" s="359">
        <f t="shared" ref="K26:K32" ca="1" si="11">SUM(H26:J26)</f>
        <v>0</v>
      </c>
      <c r="L26" s="339"/>
      <c r="M26" s="339"/>
      <c r="N26" s="366"/>
      <c r="O26" s="341"/>
      <c r="P26" s="394"/>
      <c r="Q26" s="341"/>
    </row>
    <row r="27" spans="1:22" s="362" customFormat="1">
      <c r="A27" s="333"/>
      <c r="B27" s="506" t="s">
        <v>1035</v>
      </c>
      <c r="C27" s="507" t="s">
        <v>1626</v>
      </c>
      <c r="D27" s="355" t="str">
        <f ca="1">IF(ISERROR(OFFSET('HARGA SATUAN'!$D$6,MATCH(RAB!C27,'HARGA SATUAN'!$C$7:$C$1492,0),0)),"",OFFSET('HARGA SATUAN'!$D$6,MATCH(RAB!C27,'HARGA SATUAN'!$C$7:$C$1492,0),0))</f>
        <v/>
      </c>
      <c r="E27" s="356" t="str">
        <f ca="1">IF(B27="+","Unit",IF(ISERROR(OFFSET('HARGA SATUAN'!$E$6,MATCH(RAB!C27,'HARGA SATUAN'!$C$7:$C$1492,0),0)),"",OFFSET('HARGA SATUAN'!$E$6,MATCH(RAB!C27,'HARGA SATUAN'!$C$7:$C$1492,0),0)))</f>
        <v>Unit</v>
      </c>
      <c r="F27" s="515">
        <v>1</v>
      </c>
      <c r="G27" s="357">
        <f ca="1">IF(ISERROR(OFFSET('HARGA SATUAN'!$I$6,MATCH(RAB!C27,'HARGA SATUAN'!$C$7:$C$1492,0),0)),0,OFFSET('HARGA SATUAN'!$I$6,MATCH(RAB!C27,'HARGA SATUAN'!$C$7:$C$1492,0),0))</f>
        <v>0</v>
      </c>
      <c r="H27" s="358">
        <f t="shared" ca="1" si="8"/>
        <v>0</v>
      </c>
      <c r="I27" s="358">
        <f t="shared" ca="1" si="9"/>
        <v>0</v>
      </c>
      <c r="J27" s="358">
        <f t="shared" ca="1" si="10"/>
        <v>0</v>
      </c>
      <c r="K27" s="359">
        <f t="shared" ca="1" si="11"/>
        <v>0</v>
      </c>
      <c r="L27" s="339"/>
      <c r="M27" s="339"/>
      <c r="N27" s="366"/>
      <c r="O27" s="341"/>
      <c r="P27" s="394"/>
      <c r="Q27" s="341"/>
    </row>
    <row r="28" spans="1:22" s="362" customFormat="1">
      <c r="A28" s="333"/>
      <c r="B28" s="506">
        <v>1</v>
      </c>
      <c r="C28" s="507" t="s">
        <v>1566</v>
      </c>
      <c r="D28" s="355" t="str">
        <f ca="1">IF(ISERROR(OFFSET('HARGA SATUAN'!$D$6,MATCH(RAB!C28,'HARGA SATUAN'!$C$7:$C$1492,0),0)),"",OFFSET('HARGA SATUAN'!$D$6,MATCH(RAB!C28,'HARGA SATUAN'!$C$7:$C$1492,0),0))</f>
        <v>MDU-KD</v>
      </c>
      <c r="E28" s="356" t="str">
        <f ca="1">IF(B28="+","Unit",IF(ISERROR(OFFSET('HARGA SATUAN'!$E$6,MATCH(RAB!C28,'HARGA SATUAN'!$C$7:$C$1492,0),0)),"",OFFSET('HARGA SATUAN'!$E$6,MATCH(RAB!C28,'HARGA SATUAN'!$C$7:$C$1492,0),0)))</f>
        <v>Set</v>
      </c>
      <c r="F28" s="515">
        <f>F27*3</f>
        <v>3</v>
      </c>
      <c r="G28" s="357">
        <f ca="1">IF(ISERROR(OFFSET('HARGA SATUAN'!$I$6,MATCH(RAB!C28,'HARGA SATUAN'!$C$7:$C$1492,0),0)),0,OFFSET('HARGA SATUAN'!$I$6,MATCH(RAB!C28,'HARGA SATUAN'!$C$7:$C$1492,0),0))</f>
        <v>205700</v>
      </c>
      <c r="H28" s="358">
        <f t="shared" ca="1" si="8"/>
        <v>617100</v>
      </c>
      <c r="I28" s="358">
        <f t="shared" ca="1" si="9"/>
        <v>0</v>
      </c>
      <c r="J28" s="358">
        <f t="shared" ca="1" si="10"/>
        <v>0</v>
      </c>
      <c r="K28" s="359">
        <f t="shared" ca="1" si="11"/>
        <v>617100</v>
      </c>
      <c r="L28" s="339"/>
      <c r="M28" s="339"/>
      <c r="N28" s="366"/>
      <c r="O28" s="341"/>
      <c r="P28" s="394"/>
      <c r="Q28" s="341"/>
    </row>
    <row r="29" spans="1:22" s="362" customFormat="1">
      <c r="A29" s="333"/>
      <c r="B29" s="506">
        <v>2</v>
      </c>
      <c r="C29" s="507" t="s">
        <v>152</v>
      </c>
      <c r="D29" s="355" t="str">
        <f ca="1">IF(ISERROR(OFFSET('HARGA SATUAN'!$D$6,MATCH(RAB!C29,'HARGA SATUAN'!$C$7:$C$1492,0),0)),"",OFFSET('HARGA SATUAN'!$D$6,MATCH(RAB!C29,'HARGA SATUAN'!$C$7:$C$1492,0),0))</f>
        <v>HDW</v>
      </c>
      <c r="E29" s="356" t="str">
        <f ca="1">IF(B29="+","Unit",IF(ISERROR(OFFSET('HARGA SATUAN'!$E$6,MATCH(RAB!C29,'HARGA SATUAN'!$C$7:$C$1492,0),0)),"",OFFSET('HARGA SATUAN'!$E$6,MATCH(RAB!C29,'HARGA SATUAN'!$C$7:$C$1492,0),0)))</f>
        <v>Mtr</v>
      </c>
      <c r="F29" s="515">
        <f>F27*1</f>
        <v>1</v>
      </c>
      <c r="G29" s="357">
        <f ca="1">IF(ISERROR(OFFSET('HARGA SATUAN'!$I$6,MATCH(RAB!C29,'HARGA SATUAN'!$C$7:$C$1492,0),0)),0,OFFSET('HARGA SATUAN'!$I$6,MATCH(RAB!C29,'HARGA SATUAN'!$C$7:$C$1492,0),0))</f>
        <v>7789</v>
      </c>
      <c r="H29" s="358">
        <f t="shared" ca="1" si="8"/>
        <v>0</v>
      </c>
      <c r="I29" s="358">
        <f t="shared" ca="1" si="9"/>
        <v>7789</v>
      </c>
      <c r="J29" s="358">
        <f t="shared" ca="1" si="10"/>
        <v>0</v>
      </c>
      <c r="K29" s="359">
        <f t="shared" ca="1" si="11"/>
        <v>7789</v>
      </c>
      <c r="L29" s="339"/>
      <c r="M29" s="339"/>
      <c r="N29" s="366"/>
      <c r="O29" s="341"/>
      <c r="P29" s="394"/>
      <c r="Q29" s="341"/>
    </row>
    <row r="30" spans="1:22" s="362" customFormat="1">
      <c r="A30" s="333"/>
      <c r="B30" s="506">
        <v>3</v>
      </c>
      <c r="C30" s="507" t="s">
        <v>157</v>
      </c>
      <c r="D30" s="355" t="str">
        <f ca="1">IF(ISERROR(OFFSET('HARGA SATUAN'!$D$6,MATCH(RAB!C30,'HARGA SATUAN'!$C$7:$C$1492,0),0)),"",OFFSET('HARGA SATUAN'!$D$6,MATCH(RAB!C30,'HARGA SATUAN'!$C$7:$C$1492,0),0))</f>
        <v>HDW</v>
      </c>
      <c r="E30" s="356" t="str">
        <f ca="1">IF(B30="+","Unit",IF(ISERROR(OFFSET('HARGA SATUAN'!$E$6,MATCH(RAB!C30,'HARGA SATUAN'!$C$7:$C$1492,0),0)),"",OFFSET('HARGA SATUAN'!$E$6,MATCH(RAB!C30,'HARGA SATUAN'!$C$7:$C$1492,0),0)))</f>
        <v>Bh</v>
      </c>
      <c r="F30" s="515">
        <f>F27*2</f>
        <v>2</v>
      </c>
      <c r="G30" s="357">
        <f ca="1">IF(ISERROR(OFFSET('HARGA SATUAN'!$I$6,MATCH(RAB!C30,'HARGA SATUAN'!$C$7:$C$1492,0),0)),0,OFFSET('HARGA SATUAN'!$I$6,MATCH(RAB!C30,'HARGA SATUAN'!$C$7:$C$1492,0),0))</f>
        <v>40000</v>
      </c>
      <c r="H30" s="358">
        <f t="shared" ca="1" si="8"/>
        <v>0</v>
      </c>
      <c r="I30" s="358">
        <f t="shared" ca="1" si="9"/>
        <v>80000</v>
      </c>
      <c r="J30" s="358">
        <f t="shared" ca="1" si="10"/>
        <v>0</v>
      </c>
      <c r="K30" s="359">
        <f t="shared" ca="1" si="11"/>
        <v>80000</v>
      </c>
      <c r="L30" s="339"/>
      <c r="M30" s="339"/>
      <c r="N30" s="366"/>
      <c r="O30" s="341"/>
      <c r="P30" s="394"/>
      <c r="Q30" s="341"/>
    </row>
    <row r="31" spans="1:22" s="362" customFormat="1">
      <c r="A31" s="333"/>
      <c r="B31" s="506">
        <v>4</v>
      </c>
      <c r="C31" s="507" t="s">
        <v>28</v>
      </c>
      <c r="D31" s="355" t="str">
        <f ca="1">IF(ISERROR(OFFSET('HARGA SATUAN'!$D$6,MATCH(RAB!C31,'HARGA SATUAN'!$C$7:$C$1492,0),0)),"",OFFSET('HARGA SATUAN'!$D$6,MATCH(RAB!C31,'HARGA SATUAN'!$C$7:$C$1492,0),0))</f>
        <v>HDW</v>
      </c>
      <c r="E31" s="356" t="str">
        <f ca="1">IF(B31="+","Unit",IF(ISERROR(OFFSET('HARGA SATUAN'!$E$6,MATCH(RAB!C31,'HARGA SATUAN'!$C$7:$C$1492,0),0)),"",OFFSET('HARGA SATUAN'!$E$6,MATCH(RAB!C31,'HARGA SATUAN'!$C$7:$C$1492,0),0)))</f>
        <v>Bh</v>
      </c>
      <c r="F31" s="515">
        <f>F27*1</f>
        <v>1</v>
      </c>
      <c r="G31" s="357">
        <f ca="1">IF(ISERROR(OFFSET('HARGA SATUAN'!$I$6,MATCH(RAB!C31,'HARGA SATUAN'!$C$7:$C$1492,0),0)),0,OFFSET('HARGA SATUAN'!$I$6,MATCH(RAB!C31,'HARGA SATUAN'!$C$7:$C$1492,0),0))</f>
        <v>26500</v>
      </c>
      <c r="H31" s="358">
        <f t="shared" ca="1" si="8"/>
        <v>0</v>
      </c>
      <c r="I31" s="358">
        <f t="shared" ca="1" si="9"/>
        <v>26500</v>
      </c>
      <c r="J31" s="358">
        <f t="shared" ca="1" si="10"/>
        <v>0</v>
      </c>
      <c r="K31" s="359">
        <f t="shared" ca="1" si="11"/>
        <v>26500</v>
      </c>
      <c r="L31" s="339"/>
      <c r="M31" s="339"/>
      <c r="N31" s="366"/>
      <c r="O31" s="341"/>
      <c r="P31" s="394"/>
      <c r="Q31" s="341"/>
    </row>
    <row r="32" spans="1:22" s="362" customFormat="1">
      <c r="A32" s="333"/>
      <c r="B32" s="506">
        <v>5</v>
      </c>
      <c r="C32" s="507" t="s">
        <v>163</v>
      </c>
      <c r="D32" s="355" t="str">
        <f ca="1">IF(ISERROR(OFFSET('HARGA SATUAN'!$D$6,MATCH(RAB!C32,'HARGA SATUAN'!$C$7:$C$1492,0),0)),"",OFFSET('HARGA SATUAN'!$D$6,MATCH(RAB!C32,'HARGA SATUAN'!$C$7:$C$1492,0),0))</f>
        <v>HDW</v>
      </c>
      <c r="E32" s="356" t="str">
        <f ca="1">IF(B32="+","Unit",IF(ISERROR(OFFSET('HARGA SATUAN'!$E$6,MATCH(RAB!C32,'HARGA SATUAN'!$C$7:$C$1492,0),0)),"",OFFSET('HARGA SATUAN'!$E$6,MATCH(RAB!C32,'HARGA SATUAN'!$C$7:$C$1492,0),0)))</f>
        <v>Bh</v>
      </c>
      <c r="F32" s="515">
        <f>F27*4</f>
        <v>4</v>
      </c>
      <c r="G32" s="357">
        <f ca="1">IF(ISERROR(OFFSET('HARGA SATUAN'!$I$6,MATCH(RAB!C32,'HARGA SATUAN'!$C$7:$C$1492,0),0)),0,OFFSET('HARGA SATUAN'!$I$6,MATCH(RAB!C32,'HARGA SATUAN'!$C$7:$C$1492,0),0))</f>
        <v>7938</v>
      </c>
      <c r="H32" s="358">
        <f t="shared" ca="1" si="8"/>
        <v>0</v>
      </c>
      <c r="I32" s="358">
        <f t="shared" ca="1" si="9"/>
        <v>31752</v>
      </c>
      <c r="J32" s="358">
        <f t="shared" ca="1" si="10"/>
        <v>0</v>
      </c>
      <c r="K32" s="359">
        <f t="shared" ca="1" si="11"/>
        <v>31752</v>
      </c>
      <c r="L32" s="339"/>
      <c r="M32" s="339"/>
      <c r="N32" s="366"/>
      <c r="O32" s="341"/>
      <c r="P32" s="394"/>
      <c r="Q32" s="341"/>
    </row>
    <row r="33" spans="1:17" s="362" customFormat="1">
      <c r="A33" s="333"/>
      <c r="B33" s="506">
        <v>6</v>
      </c>
      <c r="C33" s="507" t="s">
        <v>173</v>
      </c>
      <c r="D33" s="355" t="str">
        <f ca="1">IF(ISERROR(OFFSET('HARGA SATUAN'!$D$6,MATCH(RAB!C33,'HARGA SATUAN'!$C$7:$C$1492,0),0)),"",OFFSET('HARGA SATUAN'!$D$6,MATCH(RAB!C33,'HARGA SATUAN'!$C$7:$C$1492,0),0))</f>
        <v>HDW</v>
      </c>
      <c r="E33" s="356" t="str">
        <f ca="1">IF(B33="+","Unit",IF(ISERROR(OFFSET('HARGA SATUAN'!$E$6,MATCH(RAB!C33,'HARGA SATUAN'!$C$7:$C$1492,0),0)),"",OFFSET('HARGA SATUAN'!$E$6,MATCH(RAB!C33,'HARGA SATUAN'!$C$7:$C$1492,0),0)))</f>
        <v>Bh</v>
      </c>
      <c r="F33" s="515">
        <f>F27*4</f>
        <v>4</v>
      </c>
      <c r="G33" s="357">
        <f ca="1">IF(ISERROR(OFFSET('HARGA SATUAN'!$I$6,MATCH(RAB!C33,'HARGA SATUAN'!$C$7:$C$1492,0),0)),0,OFFSET('HARGA SATUAN'!$I$6,MATCH(RAB!C33,'HARGA SATUAN'!$C$7:$C$1492,0),0))</f>
        <v>45000</v>
      </c>
      <c r="H33" s="358">
        <f t="shared" ref="H33:H52" ca="1" si="12">IF(OR(D33="MDU",D33="MDU-KD"),(IF($O$3="RAB NON MDU","PLN KD",G33*F33)),0)</f>
        <v>0</v>
      </c>
      <c r="I33" s="358">
        <f t="shared" ref="I33:I52" ca="1" si="13">IF(D33="HDW",G33*F33,0)</f>
        <v>180000</v>
      </c>
      <c r="J33" s="358">
        <f t="shared" ref="J33:J52" ca="1" si="14">IF(D33="JASA",G33*F33,0)</f>
        <v>0</v>
      </c>
      <c r="K33" s="359">
        <f t="shared" ref="K33:K52" ca="1" si="15">SUM(H33:J33)</f>
        <v>180000</v>
      </c>
      <c r="L33" s="339"/>
      <c r="M33" s="339"/>
      <c r="N33" s="366"/>
      <c r="O33" s="341"/>
      <c r="P33" s="394"/>
      <c r="Q33" s="341"/>
    </row>
    <row r="34" spans="1:17" s="362" customFormat="1">
      <c r="A34" s="333"/>
      <c r="B34" s="506">
        <v>7</v>
      </c>
      <c r="C34" s="507" t="s">
        <v>179</v>
      </c>
      <c r="D34" s="355" t="str">
        <f ca="1">IF(ISERROR(OFFSET('HARGA SATUAN'!$D$6,MATCH(RAB!C34,'HARGA SATUAN'!$C$7:$C$1492,0),0)),"",OFFSET('HARGA SATUAN'!$D$6,MATCH(RAB!C34,'HARGA SATUAN'!$C$7:$C$1492,0),0))</f>
        <v>HDW</v>
      </c>
      <c r="E34" s="356" t="str">
        <f ca="1">IF(B34="+","Unit",IF(ISERROR(OFFSET('HARGA SATUAN'!$E$6,MATCH(RAB!C34,'HARGA SATUAN'!$C$7:$C$1492,0),0)),"",OFFSET('HARGA SATUAN'!$E$6,MATCH(RAB!C34,'HARGA SATUAN'!$C$7:$C$1492,0),0)))</f>
        <v>Bh</v>
      </c>
      <c r="F34" s="515">
        <f>F27*1</f>
        <v>1</v>
      </c>
      <c r="G34" s="357">
        <f ca="1">IF(ISERROR(OFFSET('HARGA SATUAN'!$I$6,MATCH(RAB!C34,'HARGA SATUAN'!$C$7:$C$1492,0),0)),0,OFFSET('HARGA SATUAN'!$I$6,MATCH(RAB!C34,'HARGA SATUAN'!$C$7:$C$1492,0),0))</f>
        <v>15500</v>
      </c>
      <c r="H34" s="358">
        <f t="shared" ca="1" si="12"/>
        <v>0</v>
      </c>
      <c r="I34" s="358">
        <f t="shared" ca="1" si="13"/>
        <v>15500</v>
      </c>
      <c r="J34" s="358">
        <f t="shared" ca="1" si="14"/>
        <v>0</v>
      </c>
      <c r="K34" s="359">
        <f t="shared" ca="1" si="15"/>
        <v>15500</v>
      </c>
      <c r="L34" s="339"/>
      <c r="M34" s="339"/>
      <c r="N34" s="366"/>
      <c r="O34" s="341"/>
      <c r="P34" s="394"/>
      <c r="Q34" s="341"/>
    </row>
    <row r="35" spans="1:17" s="362" customFormat="1">
      <c r="A35" s="333"/>
      <c r="B35" s="506">
        <v>8</v>
      </c>
      <c r="C35" s="507" t="s">
        <v>593</v>
      </c>
      <c r="D35" s="355" t="str">
        <f ca="1">IF(ISERROR(OFFSET('HARGA SATUAN'!$D$6,MATCH(RAB!C35,'HARGA SATUAN'!$C$7:$C$1492,0),0)),"",OFFSET('HARGA SATUAN'!$D$6,MATCH(RAB!C35,'HARGA SATUAN'!$C$7:$C$1492,0),0))</f>
        <v>HDW</v>
      </c>
      <c r="E35" s="356" t="str">
        <f ca="1">IF(B35="+","Unit",IF(ISERROR(OFFSET('HARGA SATUAN'!$E$6,MATCH(RAB!C35,'HARGA SATUAN'!$C$7:$C$1492,0),0)),"",OFFSET('HARGA SATUAN'!$E$6,MATCH(RAB!C35,'HARGA SATUAN'!$C$7:$C$1492,0),0)))</f>
        <v>Bh</v>
      </c>
      <c r="F35" s="515">
        <f>F27*2</f>
        <v>2</v>
      </c>
      <c r="G35" s="357">
        <f ca="1">IF(ISERROR(OFFSET('HARGA SATUAN'!$I$6,MATCH(RAB!C35,'HARGA SATUAN'!$C$7:$C$1492,0),0)),0,OFFSET('HARGA SATUAN'!$I$6,MATCH(RAB!C35,'HARGA SATUAN'!$C$7:$C$1492,0),0))</f>
        <v>380500</v>
      </c>
      <c r="H35" s="358">
        <f t="shared" ca="1" si="12"/>
        <v>0</v>
      </c>
      <c r="I35" s="358">
        <f t="shared" ca="1" si="13"/>
        <v>761000</v>
      </c>
      <c r="J35" s="358">
        <f t="shared" ca="1" si="14"/>
        <v>0</v>
      </c>
      <c r="K35" s="359">
        <f t="shared" ca="1" si="15"/>
        <v>761000</v>
      </c>
      <c r="L35" s="339"/>
      <c r="M35" s="339"/>
      <c r="N35" s="366"/>
      <c r="O35" s="341"/>
      <c r="P35" s="394"/>
      <c r="Q35" s="341"/>
    </row>
    <row r="36" spans="1:17" s="362" customFormat="1">
      <c r="A36" s="333"/>
      <c r="B36" s="506">
        <v>9</v>
      </c>
      <c r="C36" s="507" t="s">
        <v>217</v>
      </c>
      <c r="D36" s="355" t="str">
        <f ca="1">IF(ISERROR(OFFSET('HARGA SATUAN'!$D$6,MATCH(RAB!C36,'HARGA SATUAN'!$C$7:$C$1492,0),0)),"",OFFSET('HARGA SATUAN'!$D$6,MATCH(RAB!C36,'HARGA SATUAN'!$C$7:$C$1492,0),0))</f>
        <v>HDW</v>
      </c>
      <c r="E36" s="356" t="str">
        <f ca="1">IF(B36="+","Unit",IF(ISERROR(OFFSET('HARGA SATUAN'!$E$6,MATCH(RAB!C36,'HARGA SATUAN'!$C$7:$C$1492,0),0)),"",OFFSET('HARGA SATUAN'!$E$6,MATCH(RAB!C36,'HARGA SATUAN'!$C$7:$C$1492,0),0)))</f>
        <v>Bh</v>
      </c>
      <c r="F36" s="515">
        <f>F27*4</f>
        <v>4</v>
      </c>
      <c r="G36" s="357">
        <f ca="1">IF(ISERROR(OFFSET('HARGA SATUAN'!$I$6,MATCH(RAB!C36,'HARGA SATUAN'!$C$7:$C$1492,0),0)),0,OFFSET('HARGA SATUAN'!$I$6,MATCH(RAB!C36,'HARGA SATUAN'!$C$7:$C$1492,0),0))</f>
        <v>11400</v>
      </c>
      <c r="H36" s="358">
        <f t="shared" ca="1" si="12"/>
        <v>0</v>
      </c>
      <c r="I36" s="358">
        <f t="shared" ca="1" si="13"/>
        <v>45600</v>
      </c>
      <c r="J36" s="358">
        <f t="shared" ca="1" si="14"/>
        <v>0</v>
      </c>
      <c r="K36" s="359">
        <f t="shared" ca="1" si="15"/>
        <v>45600</v>
      </c>
      <c r="L36" s="339"/>
      <c r="M36" s="339"/>
      <c r="N36" s="366"/>
      <c r="O36" s="341"/>
      <c r="P36" s="394"/>
      <c r="Q36" s="341"/>
    </row>
    <row r="37" spans="1:17" s="362" customFormat="1">
      <c r="A37" s="333"/>
      <c r="B37" s="506">
        <v>10</v>
      </c>
      <c r="C37" s="507" t="s">
        <v>218</v>
      </c>
      <c r="D37" s="355" t="str">
        <f ca="1">IF(ISERROR(OFFSET('HARGA SATUAN'!$D$6,MATCH(RAB!C37,'HARGA SATUAN'!$C$7:$C$1492,0),0)),"",OFFSET('HARGA SATUAN'!$D$6,MATCH(RAB!C37,'HARGA SATUAN'!$C$7:$C$1492,0),0))</f>
        <v>HDW</v>
      </c>
      <c r="E37" s="356" t="str">
        <f ca="1">IF(B37="+","Unit",IF(ISERROR(OFFSET('HARGA SATUAN'!$E$6,MATCH(RAB!C37,'HARGA SATUAN'!$C$7:$C$1492,0),0)),"",OFFSET('HARGA SATUAN'!$E$6,MATCH(RAB!C37,'HARGA SATUAN'!$C$7:$C$1492,0),0)))</f>
        <v>Bh</v>
      </c>
      <c r="F37" s="515">
        <f>F27*2</f>
        <v>2</v>
      </c>
      <c r="G37" s="357">
        <f ca="1">IF(ISERROR(OFFSET('HARGA SATUAN'!$I$6,MATCH(RAB!C37,'HARGA SATUAN'!$C$7:$C$1492,0),0)),0,OFFSET('HARGA SATUAN'!$I$6,MATCH(RAB!C37,'HARGA SATUAN'!$C$7:$C$1492,0),0))</f>
        <v>29600</v>
      </c>
      <c r="H37" s="358">
        <f t="shared" ca="1" si="12"/>
        <v>0</v>
      </c>
      <c r="I37" s="358">
        <f t="shared" ca="1" si="13"/>
        <v>59200</v>
      </c>
      <c r="J37" s="358">
        <f t="shared" ca="1" si="14"/>
        <v>0</v>
      </c>
      <c r="K37" s="359">
        <f t="shared" ca="1" si="15"/>
        <v>59200</v>
      </c>
      <c r="L37" s="339"/>
      <c r="M37" s="339"/>
      <c r="N37" s="366"/>
      <c r="O37" s="341"/>
      <c r="P37" s="394"/>
      <c r="Q37" s="341"/>
    </row>
    <row r="38" spans="1:17" s="362" customFormat="1">
      <c r="A38" s="333"/>
      <c r="B38" s="506">
        <v>11</v>
      </c>
      <c r="C38" s="507" t="s">
        <v>223</v>
      </c>
      <c r="D38" s="355" t="str">
        <f ca="1">IF(ISERROR(OFFSET('HARGA SATUAN'!$D$6,MATCH(RAB!C38,'HARGA SATUAN'!$C$7:$C$1492,0),0)),"",OFFSET('HARGA SATUAN'!$D$6,MATCH(RAB!C38,'HARGA SATUAN'!$C$7:$C$1492,0),0))</f>
        <v>HDW</v>
      </c>
      <c r="E38" s="356" t="str">
        <f ca="1">IF(B38="+","Unit",IF(ISERROR(OFFSET('HARGA SATUAN'!$E$6,MATCH(RAB!C38,'HARGA SATUAN'!$C$7:$C$1492,0),0)),"",OFFSET('HARGA SATUAN'!$E$6,MATCH(RAB!C38,'HARGA SATUAN'!$C$7:$C$1492,0),0)))</f>
        <v>Bh</v>
      </c>
      <c r="F38" s="515">
        <f>F27*1</f>
        <v>1</v>
      </c>
      <c r="G38" s="357">
        <f ca="1">IF(ISERROR(OFFSET('HARGA SATUAN'!$I$6,MATCH(RAB!C38,'HARGA SATUAN'!$C$7:$C$1492,0),0)),0,OFFSET('HARGA SATUAN'!$I$6,MATCH(RAB!C38,'HARGA SATUAN'!$C$7:$C$1492,0),0))</f>
        <v>27815</v>
      </c>
      <c r="H38" s="358">
        <f t="shared" ca="1" si="12"/>
        <v>0</v>
      </c>
      <c r="I38" s="358">
        <f t="shared" ca="1" si="13"/>
        <v>27815</v>
      </c>
      <c r="J38" s="358">
        <f t="shared" ca="1" si="14"/>
        <v>0</v>
      </c>
      <c r="K38" s="359">
        <f t="shared" ca="1" si="15"/>
        <v>27815</v>
      </c>
      <c r="L38" s="339"/>
      <c r="M38" s="339"/>
      <c r="N38" s="366"/>
      <c r="O38" s="341"/>
      <c r="P38" s="394"/>
      <c r="Q38" s="341"/>
    </row>
    <row r="39" spans="1:17" s="362" customFormat="1">
      <c r="A39" s="333"/>
      <c r="B39" s="506">
        <v>12</v>
      </c>
      <c r="C39" s="507" t="s">
        <v>25</v>
      </c>
      <c r="D39" s="355" t="str">
        <f ca="1">IF(ISERROR(OFFSET('HARGA SATUAN'!$D$6,MATCH(RAB!C39,'HARGA SATUAN'!$C$7:$C$1492,0),0)),"",OFFSET('HARGA SATUAN'!$D$6,MATCH(RAB!C39,'HARGA SATUAN'!$C$7:$C$1492,0),0))</f>
        <v>HDW</v>
      </c>
      <c r="E39" s="356" t="str">
        <f ca="1">IF(B39="+","Unit",IF(ISERROR(OFFSET('HARGA SATUAN'!$E$6,MATCH(RAB!C39,'HARGA SATUAN'!$C$7:$C$1492,0),0)),"",OFFSET('HARGA SATUAN'!$E$6,MATCH(RAB!C39,'HARGA SATUAN'!$C$7:$C$1492,0),0)))</f>
        <v>Bh</v>
      </c>
      <c r="F39" s="515">
        <f>F27*3</f>
        <v>3</v>
      </c>
      <c r="G39" s="357">
        <f ca="1">IF(ISERROR(OFFSET('HARGA SATUAN'!$I$6,MATCH(RAB!C39,'HARGA SATUAN'!$C$7:$C$1492,0),0)),0,OFFSET('HARGA SATUAN'!$I$6,MATCH(RAB!C39,'HARGA SATUAN'!$C$7:$C$1492,0),0))</f>
        <v>23936</v>
      </c>
      <c r="H39" s="358">
        <f t="shared" ca="1" si="12"/>
        <v>0</v>
      </c>
      <c r="I39" s="358">
        <f t="shared" ca="1" si="13"/>
        <v>71808</v>
      </c>
      <c r="J39" s="358">
        <f t="shared" ca="1" si="14"/>
        <v>0</v>
      </c>
      <c r="K39" s="359">
        <f t="shared" ca="1" si="15"/>
        <v>71808</v>
      </c>
      <c r="L39" s="339"/>
      <c r="M39" s="339"/>
      <c r="N39" s="366"/>
      <c r="O39" s="341"/>
      <c r="P39" s="394"/>
      <c r="Q39" s="341"/>
    </row>
    <row r="40" spans="1:17" s="362" customFormat="1">
      <c r="A40" s="333"/>
      <c r="B40" s="506">
        <v>13</v>
      </c>
      <c r="C40" s="507" t="s">
        <v>37</v>
      </c>
      <c r="D40" s="355" t="str">
        <f ca="1">IF(ISERROR(OFFSET('HARGA SATUAN'!$D$6,MATCH(RAB!C40,'HARGA SATUAN'!$C$7:$C$1492,0),0)),"",OFFSET('HARGA SATUAN'!$D$6,MATCH(RAB!C40,'HARGA SATUAN'!$C$7:$C$1492,0),0))</f>
        <v>HDW</v>
      </c>
      <c r="E40" s="356" t="str">
        <f ca="1">IF(B40="+","Unit",IF(ISERROR(OFFSET('HARGA SATUAN'!$E$6,MATCH(RAB!C40,'HARGA SATUAN'!$C$7:$C$1492,0),0)),"",OFFSET('HARGA SATUAN'!$E$6,MATCH(RAB!C40,'HARGA SATUAN'!$C$7:$C$1492,0),0)))</f>
        <v>Bh</v>
      </c>
      <c r="F40" s="515">
        <f>F27*1</f>
        <v>1</v>
      </c>
      <c r="G40" s="357">
        <f ca="1">IF(ISERROR(OFFSET('HARGA SATUAN'!$I$6,MATCH(RAB!C40,'HARGA SATUAN'!$C$7:$C$1492,0),0)),0,OFFSET('HARGA SATUAN'!$I$6,MATCH(RAB!C40,'HARGA SATUAN'!$C$7:$C$1492,0),0))</f>
        <v>63500</v>
      </c>
      <c r="H40" s="358">
        <f t="shared" ca="1" si="12"/>
        <v>0</v>
      </c>
      <c r="I40" s="358">
        <f t="shared" ca="1" si="13"/>
        <v>63500</v>
      </c>
      <c r="J40" s="358">
        <f t="shared" ca="1" si="14"/>
        <v>0</v>
      </c>
      <c r="K40" s="359">
        <f t="shared" ca="1" si="15"/>
        <v>63500</v>
      </c>
      <c r="L40" s="339"/>
      <c r="M40" s="339"/>
      <c r="N40" s="366"/>
      <c r="O40" s="341"/>
      <c r="P40" s="394"/>
      <c r="Q40" s="341"/>
    </row>
    <row r="41" spans="1:17" s="362" customFormat="1">
      <c r="A41" s="333"/>
      <c r="B41" s="509">
        <v>14</v>
      </c>
      <c r="C41" s="510" t="s">
        <v>247</v>
      </c>
      <c r="D41" s="355" t="str">
        <f ca="1">IF(ISERROR(OFFSET('HARGA SATUAN'!$D$6,MATCH(RAB!C41,'HARGA SATUAN'!$C$7:$C$1492,0),0)),"",OFFSET('HARGA SATUAN'!$D$6,MATCH(RAB!C41,'HARGA SATUAN'!$C$7:$C$1492,0),0))</f>
        <v>HDW</v>
      </c>
      <c r="E41" s="356" t="str">
        <f ca="1">IF(B41="+","Unit",IF(ISERROR(OFFSET('HARGA SATUAN'!$E$6,MATCH(RAB!C41,'HARGA SATUAN'!$C$7:$C$1492,0),0)),"",OFFSET('HARGA SATUAN'!$E$6,MATCH(RAB!C41,'HARGA SATUAN'!$C$7:$C$1492,0),0)))</f>
        <v>Bh</v>
      </c>
      <c r="F41" s="515">
        <f>F27*1</f>
        <v>1</v>
      </c>
      <c r="G41" s="357">
        <f ca="1">IF(ISERROR(OFFSET('HARGA SATUAN'!$I$6,MATCH(RAB!C41,'HARGA SATUAN'!$C$7:$C$1492,0),0)),0,OFFSET('HARGA SATUAN'!$I$6,MATCH(RAB!C41,'HARGA SATUAN'!$C$7:$C$1492,0),0))</f>
        <v>57690</v>
      </c>
      <c r="H41" s="358">
        <f t="shared" ca="1" si="12"/>
        <v>0</v>
      </c>
      <c r="I41" s="358">
        <f t="shared" ca="1" si="13"/>
        <v>57690</v>
      </c>
      <c r="J41" s="358">
        <f t="shared" ca="1" si="14"/>
        <v>0</v>
      </c>
      <c r="K41" s="359">
        <f t="shared" ca="1" si="15"/>
        <v>57690</v>
      </c>
      <c r="L41" s="339"/>
      <c r="M41" s="339"/>
      <c r="N41" s="366"/>
      <c r="O41" s="341"/>
      <c r="P41" s="394"/>
      <c r="Q41" s="341"/>
    </row>
    <row r="42" spans="1:17" s="362" customFormat="1">
      <c r="A42" s="333"/>
      <c r="B42" s="509">
        <v>15</v>
      </c>
      <c r="C42" s="510" t="s">
        <v>27</v>
      </c>
      <c r="D42" s="355" t="str">
        <f ca="1">IF(ISERROR(OFFSET('HARGA SATUAN'!$D$6,MATCH(RAB!C42,'HARGA SATUAN'!$C$7:$C$1492,0),0)),"",OFFSET('HARGA SATUAN'!$D$6,MATCH(RAB!C42,'HARGA SATUAN'!$C$7:$C$1492,0),0))</f>
        <v>HDW</v>
      </c>
      <c r="E42" s="356" t="str">
        <f ca="1">IF(B42="+","Unit",IF(ISERROR(OFFSET('HARGA SATUAN'!$E$6,MATCH(RAB!C42,'HARGA SATUAN'!$C$7:$C$1492,0),0)),"",OFFSET('HARGA SATUAN'!$E$6,MATCH(RAB!C42,'HARGA SATUAN'!$C$7:$C$1492,0),0)))</f>
        <v>Bh</v>
      </c>
      <c r="F42" s="515">
        <f>F27*3</f>
        <v>3</v>
      </c>
      <c r="G42" s="357">
        <f ca="1">IF(ISERROR(OFFSET('HARGA SATUAN'!$I$6,MATCH(RAB!C42,'HARGA SATUAN'!$C$7:$C$1492,0),0)),0,OFFSET('HARGA SATUAN'!$I$6,MATCH(RAB!C42,'HARGA SATUAN'!$C$7:$C$1492,0),0))</f>
        <v>16000</v>
      </c>
      <c r="H42" s="358">
        <f t="shared" ca="1" si="12"/>
        <v>0</v>
      </c>
      <c r="I42" s="358">
        <f t="shared" ca="1" si="13"/>
        <v>48000</v>
      </c>
      <c r="J42" s="358">
        <f t="shared" ca="1" si="14"/>
        <v>0</v>
      </c>
      <c r="K42" s="359">
        <f t="shared" ca="1" si="15"/>
        <v>48000</v>
      </c>
      <c r="L42" s="339"/>
      <c r="M42" s="339"/>
      <c r="N42" s="366"/>
      <c r="O42" s="341"/>
      <c r="P42" s="394"/>
      <c r="Q42" s="341"/>
    </row>
    <row r="43" spans="1:17" s="362" customFormat="1">
      <c r="A43" s="333"/>
      <c r="B43" s="509">
        <v>16</v>
      </c>
      <c r="C43" s="510" t="s">
        <v>265</v>
      </c>
      <c r="D43" s="355" t="str">
        <f ca="1">IF(ISERROR(OFFSET('HARGA SATUAN'!$D$6,MATCH(RAB!C43,'HARGA SATUAN'!$C$7:$C$1492,0),0)),"",OFFSET('HARGA SATUAN'!$D$6,MATCH(RAB!C43,'HARGA SATUAN'!$C$7:$C$1492,0),0))</f>
        <v>HDW</v>
      </c>
      <c r="E43" s="356" t="str">
        <f ca="1">IF(B43="+","Unit",IF(ISERROR(OFFSET('HARGA SATUAN'!$E$6,MATCH(RAB!C43,'HARGA SATUAN'!$C$7:$C$1492,0),0)),"",OFFSET('HARGA SATUAN'!$E$6,MATCH(RAB!C43,'HARGA SATUAN'!$C$7:$C$1492,0),0)))</f>
        <v>Bh</v>
      </c>
      <c r="F43" s="515">
        <f>F27*1</f>
        <v>1</v>
      </c>
      <c r="G43" s="357">
        <f ca="1">IF(ISERROR(OFFSET('HARGA SATUAN'!$I$6,MATCH(RAB!C43,'HARGA SATUAN'!$C$7:$C$1492,0),0)),0,OFFSET('HARGA SATUAN'!$I$6,MATCH(RAB!C43,'HARGA SATUAN'!$C$7:$C$1492,0),0))</f>
        <v>33501.866666666669</v>
      </c>
      <c r="H43" s="358">
        <f t="shared" ca="1" si="12"/>
        <v>0</v>
      </c>
      <c r="I43" s="358">
        <f t="shared" ca="1" si="13"/>
        <v>33501.866666666669</v>
      </c>
      <c r="J43" s="358">
        <f t="shared" ca="1" si="14"/>
        <v>0</v>
      </c>
      <c r="K43" s="359">
        <f t="shared" ca="1" si="15"/>
        <v>33501.866666666669</v>
      </c>
      <c r="L43" s="339"/>
      <c r="M43" s="339"/>
      <c r="N43" s="366"/>
      <c r="O43" s="341"/>
      <c r="P43" s="394"/>
      <c r="Q43" s="341"/>
    </row>
    <row r="44" spans="1:17" s="362" customFormat="1">
      <c r="A44" s="333"/>
      <c r="B44" s="509">
        <v>17</v>
      </c>
      <c r="C44" s="510" t="s">
        <v>26</v>
      </c>
      <c r="D44" s="355" t="str">
        <f ca="1">IF(ISERROR(OFFSET('HARGA SATUAN'!$D$6,MATCH(RAB!C44,'HARGA SATUAN'!$C$7:$C$1492,0),0)),"",OFFSET('HARGA SATUAN'!$D$6,MATCH(RAB!C44,'HARGA SATUAN'!$C$7:$C$1492,0),0))</f>
        <v>HDW</v>
      </c>
      <c r="E44" s="356" t="str">
        <f ca="1">IF(B44="+","Unit",IF(ISERROR(OFFSET('HARGA SATUAN'!$E$6,MATCH(RAB!C44,'HARGA SATUAN'!$C$7:$C$1492,0),0)),"",OFFSET('HARGA SATUAN'!$E$6,MATCH(RAB!C44,'HARGA SATUAN'!$C$7:$C$1492,0),0)))</f>
        <v>Bh</v>
      </c>
      <c r="F44" s="515">
        <f>F27*11</f>
        <v>11</v>
      </c>
      <c r="G44" s="357">
        <f ca="1">IF(ISERROR(OFFSET('HARGA SATUAN'!$I$6,MATCH(RAB!C44,'HARGA SATUAN'!$C$7:$C$1492,0),0)),0,OFFSET('HARGA SATUAN'!$I$6,MATCH(RAB!C44,'HARGA SATUAN'!$C$7:$C$1492,0),0))</f>
        <v>2500</v>
      </c>
      <c r="H44" s="358">
        <f t="shared" ca="1" si="12"/>
        <v>0</v>
      </c>
      <c r="I44" s="358">
        <f t="shared" ca="1" si="13"/>
        <v>27500</v>
      </c>
      <c r="J44" s="358">
        <f t="shared" ca="1" si="14"/>
        <v>0</v>
      </c>
      <c r="K44" s="359">
        <f t="shared" ca="1" si="15"/>
        <v>27500</v>
      </c>
      <c r="L44" s="339"/>
      <c r="M44" s="339"/>
      <c r="N44" s="366"/>
      <c r="O44" s="341"/>
      <c r="P44" s="394"/>
      <c r="Q44" s="341"/>
    </row>
    <row r="45" spans="1:17" s="362" customFormat="1">
      <c r="A45" s="333"/>
      <c r="B45" s="509">
        <v>18</v>
      </c>
      <c r="C45" s="510" t="s">
        <v>703</v>
      </c>
      <c r="D45" s="355" t="str">
        <f ca="1">IF(ISERROR(OFFSET('HARGA SATUAN'!$D$6,MATCH(RAB!C45,'HARGA SATUAN'!$C$7:$C$1492,0),0)),"",OFFSET('HARGA SATUAN'!$D$6,MATCH(RAB!C45,'HARGA SATUAN'!$C$7:$C$1492,0),0))</f>
        <v>JASA</v>
      </c>
      <c r="E45" s="356" t="str">
        <f ca="1">IF(B45="+","Unit",IF(ISERROR(OFFSET('HARGA SATUAN'!$E$6,MATCH(RAB!C45,'HARGA SATUAN'!$C$7:$C$1492,0),0)),"",OFFSET('HARGA SATUAN'!$E$6,MATCH(RAB!C45,'HARGA SATUAN'!$C$7:$C$1492,0),0)))</f>
        <v>Unit</v>
      </c>
      <c r="F45" s="515">
        <f>F27*1</f>
        <v>1</v>
      </c>
      <c r="G45" s="357">
        <f ca="1">IF(ISERROR(OFFSET('HARGA SATUAN'!$I$6,MATCH(RAB!C45,'HARGA SATUAN'!$C$7:$C$1492,0),0)),0,OFFSET('HARGA SATUAN'!$I$6,MATCH(RAB!C45,'HARGA SATUAN'!$C$7:$C$1492,0),0))</f>
        <v>134700</v>
      </c>
      <c r="H45" s="358">
        <f t="shared" ca="1" si="12"/>
        <v>0</v>
      </c>
      <c r="I45" s="358">
        <f t="shared" ca="1" si="13"/>
        <v>0</v>
      </c>
      <c r="J45" s="358">
        <f t="shared" ca="1" si="14"/>
        <v>134700</v>
      </c>
      <c r="K45" s="359">
        <f t="shared" ca="1" si="15"/>
        <v>134700</v>
      </c>
      <c r="L45" s="339"/>
      <c r="M45" s="339"/>
      <c r="N45" s="366"/>
      <c r="O45" s="341"/>
      <c r="P45" s="394"/>
      <c r="Q45" s="341"/>
    </row>
    <row r="46" spans="1:17" s="362" customFormat="1">
      <c r="A46" s="333"/>
      <c r="B46" s="506"/>
      <c r="C46" s="507"/>
      <c r="D46" s="355" t="str">
        <f ca="1">IF(ISERROR(OFFSET('HARGA SATUAN'!$D$6,MATCH(RAB!C46,'HARGA SATUAN'!$C$7:$C$1492,0),0)),"",OFFSET('HARGA SATUAN'!$D$6,MATCH(RAB!C46,'HARGA SATUAN'!$C$7:$C$1492,0),0))</f>
        <v/>
      </c>
      <c r="E46" s="356" t="str">
        <f ca="1">IF(B46="+","Unit",IF(ISERROR(OFFSET('HARGA SATUAN'!$E$6,MATCH(RAB!C46,'HARGA SATUAN'!$C$7:$C$1492,0),0)),"",OFFSET('HARGA SATUAN'!$E$6,MATCH(RAB!C46,'HARGA SATUAN'!$C$7:$C$1492,0),0)))</f>
        <v/>
      </c>
      <c r="F46" s="494"/>
      <c r="G46" s="357">
        <f ca="1">IF(ISERROR(OFFSET('HARGA SATUAN'!$I$6,MATCH(RAB!C46,'HARGA SATUAN'!$C$7:$C$1492,0),0)),0,OFFSET('HARGA SATUAN'!$I$6,MATCH(RAB!C46,'HARGA SATUAN'!$C$7:$C$1492,0),0))</f>
        <v>0</v>
      </c>
      <c r="H46" s="358">
        <f t="shared" ca="1" si="12"/>
        <v>0</v>
      </c>
      <c r="I46" s="358">
        <f t="shared" ca="1" si="13"/>
        <v>0</v>
      </c>
      <c r="J46" s="358">
        <f t="shared" ca="1" si="14"/>
        <v>0</v>
      </c>
      <c r="K46" s="359">
        <f t="shared" ca="1" si="15"/>
        <v>0</v>
      </c>
      <c r="L46" s="339"/>
      <c r="M46" s="339"/>
      <c r="N46" s="366"/>
      <c r="O46" s="341"/>
      <c r="P46" s="394"/>
      <c r="Q46" s="341"/>
    </row>
    <row r="47" spans="1:17" s="362" customFormat="1">
      <c r="A47" s="333"/>
      <c r="B47" s="532" t="s">
        <v>1035</v>
      </c>
      <c r="C47" s="533" t="s">
        <v>1641</v>
      </c>
      <c r="D47" s="355" t="str">
        <f ca="1">IF(ISERROR(OFFSET('HARGA SATUAN'!$D$6,MATCH(RAB!C47,'HARGA SATUAN'!$C$7:$C$1492,0),0)),"",OFFSET('HARGA SATUAN'!$D$6,MATCH(RAB!C47,'HARGA SATUAN'!$C$7:$C$1492,0),0))</f>
        <v/>
      </c>
      <c r="E47" s="356" t="str">
        <f ca="1">IF(B47="+","Unit",IF(ISERROR(OFFSET('HARGA SATUAN'!$E$6,MATCH(RAB!C47,'HARGA SATUAN'!$C$7:$C$1492,0),0)),"",OFFSET('HARGA SATUAN'!$E$6,MATCH(RAB!C47,'HARGA SATUAN'!$C$7:$C$1492,0),0)))</f>
        <v>Unit</v>
      </c>
      <c r="F47" s="494">
        <v>9</v>
      </c>
      <c r="G47" s="357">
        <f ca="1">IF(ISERROR(OFFSET('HARGA SATUAN'!$I$6,MATCH(RAB!C47,'HARGA SATUAN'!$C$7:$C$1492,0),0)),0,OFFSET('HARGA SATUAN'!$I$6,MATCH(RAB!C47,'HARGA SATUAN'!$C$7:$C$1492,0),0))</f>
        <v>0</v>
      </c>
      <c r="H47" s="358">
        <f t="shared" ca="1" si="12"/>
        <v>0</v>
      </c>
      <c r="I47" s="358">
        <f t="shared" ca="1" si="13"/>
        <v>0</v>
      </c>
      <c r="J47" s="358">
        <f t="shared" ca="1" si="14"/>
        <v>0</v>
      </c>
      <c r="K47" s="359">
        <f t="shared" ca="1" si="15"/>
        <v>0</v>
      </c>
      <c r="L47" s="339"/>
      <c r="M47" s="339"/>
      <c r="N47" s="366"/>
      <c r="O47" s="341"/>
      <c r="P47" s="394"/>
      <c r="Q47" s="341"/>
    </row>
    <row r="48" spans="1:17" s="362" customFormat="1">
      <c r="A48" s="333"/>
      <c r="B48" s="532">
        <v>1</v>
      </c>
      <c r="C48" s="109" t="s">
        <v>1129</v>
      </c>
      <c r="D48" s="355" t="str">
        <f ca="1">IF(ISERROR(OFFSET('HARGA SATUAN'!$D$6,MATCH(RAB!C48,'HARGA SATUAN'!$C$7:$C$1492,0),0)),"",OFFSET('HARGA SATUAN'!$D$6,MATCH(RAB!C48,'HARGA SATUAN'!$C$7:$C$1492,0),0))</f>
        <v>MDU-KD</v>
      </c>
      <c r="E48" s="356" t="str">
        <f ca="1">IF(B48="+","Unit",IF(ISERROR(OFFSET('HARGA SATUAN'!$E$6,MATCH(RAB!C48,'HARGA SATUAN'!$C$7:$C$1492,0),0)),"",OFFSET('HARGA SATUAN'!$E$6,MATCH(RAB!C48,'HARGA SATUAN'!$C$7:$C$1492,0),0)))</f>
        <v>Bh</v>
      </c>
      <c r="F48" s="494">
        <f>F47*1</f>
        <v>9</v>
      </c>
      <c r="G48" s="357">
        <f ca="1">IF(ISERROR(OFFSET('HARGA SATUAN'!$I$6,MATCH(RAB!C48,'HARGA SATUAN'!$C$7:$C$1492,0),0)),0,OFFSET('HARGA SATUAN'!$I$6,MATCH(RAB!C48,'HARGA SATUAN'!$C$7:$C$1492,0),0))</f>
        <v>176900</v>
      </c>
      <c r="H48" s="358">
        <f t="shared" ca="1" si="12"/>
        <v>1592100</v>
      </c>
      <c r="I48" s="358">
        <f t="shared" ca="1" si="13"/>
        <v>0</v>
      </c>
      <c r="J48" s="358">
        <f t="shared" ca="1" si="14"/>
        <v>0</v>
      </c>
      <c r="K48" s="359">
        <f t="shared" ca="1" si="15"/>
        <v>1592100</v>
      </c>
      <c r="L48" s="339"/>
      <c r="M48" s="339"/>
      <c r="N48" s="366"/>
      <c r="O48" s="341"/>
      <c r="P48" s="394"/>
      <c r="Q48" s="341"/>
    </row>
    <row r="49" spans="1:17" s="362" customFormat="1">
      <c r="A49" s="333"/>
      <c r="B49" s="532">
        <v>2</v>
      </c>
      <c r="C49" s="109" t="s">
        <v>1129</v>
      </c>
      <c r="D49" s="355" t="str">
        <f ca="1">IF(ISERROR(OFFSET('HARGA SATUAN'!$D$6,MATCH(RAB!C49,'HARGA SATUAN'!$C$7:$C$1492,0),0)),"",OFFSET('HARGA SATUAN'!$D$6,MATCH(RAB!C49,'HARGA SATUAN'!$C$7:$C$1492,0),0))</f>
        <v>MDU-KD</v>
      </c>
      <c r="E49" s="356" t="str">
        <f ca="1">IF(B49="+","Unit",IF(ISERROR(OFFSET('HARGA SATUAN'!$E$6,MATCH(RAB!C49,'HARGA SATUAN'!$C$7:$C$1492,0),0)),"",OFFSET('HARGA SATUAN'!$E$6,MATCH(RAB!C49,'HARGA SATUAN'!$C$7:$C$1492,0),0)))</f>
        <v>Bh</v>
      </c>
      <c r="F49" s="494">
        <f>F47*2</f>
        <v>18</v>
      </c>
      <c r="G49" s="357">
        <f ca="1">IF(ISERROR(OFFSET('HARGA SATUAN'!$I$6,MATCH(RAB!C49,'HARGA SATUAN'!$C$7:$C$1492,0),0)),0,OFFSET('HARGA SATUAN'!$I$6,MATCH(RAB!C49,'HARGA SATUAN'!$C$7:$C$1492,0),0))</f>
        <v>176900</v>
      </c>
      <c r="H49" s="358">
        <f t="shared" ca="1" si="12"/>
        <v>3184200</v>
      </c>
      <c r="I49" s="358">
        <f t="shared" ca="1" si="13"/>
        <v>0</v>
      </c>
      <c r="J49" s="358">
        <f t="shared" ca="1" si="14"/>
        <v>0</v>
      </c>
      <c r="K49" s="359">
        <f t="shared" ca="1" si="15"/>
        <v>3184200</v>
      </c>
      <c r="L49" s="339"/>
      <c r="M49" s="339"/>
      <c r="N49" s="366"/>
      <c r="O49" s="341"/>
      <c r="P49" s="394"/>
      <c r="Q49" s="341"/>
    </row>
    <row r="50" spans="1:17" s="362" customFormat="1">
      <c r="A50" s="333"/>
      <c r="B50" s="532">
        <v>3</v>
      </c>
      <c r="C50" s="533" t="s">
        <v>28</v>
      </c>
      <c r="D50" s="355" t="str">
        <f ca="1">IF(ISERROR(OFFSET('HARGA SATUAN'!$D$6,MATCH(RAB!C50,'HARGA SATUAN'!$C$7:$C$1492,0),0)),"",OFFSET('HARGA SATUAN'!$D$6,MATCH(RAB!C50,'HARGA SATUAN'!$C$7:$C$1492,0),0))</f>
        <v>HDW</v>
      </c>
      <c r="E50" s="356" t="str">
        <f ca="1">IF(B50="+","Unit",IF(ISERROR(OFFSET('HARGA SATUAN'!$E$6,MATCH(RAB!C50,'HARGA SATUAN'!$C$7:$C$1492,0),0)),"",OFFSET('HARGA SATUAN'!$E$6,MATCH(RAB!C50,'HARGA SATUAN'!$C$7:$C$1492,0),0)))</f>
        <v>Bh</v>
      </c>
      <c r="F50" s="494">
        <f>F47*3</f>
        <v>27</v>
      </c>
      <c r="G50" s="357">
        <f ca="1">IF(ISERROR(OFFSET('HARGA SATUAN'!$I$6,MATCH(RAB!C50,'HARGA SATUAN'!$C$7:$C$1492,0),0)),0,OFFSET('HARGA SATUAN'!$I$6,MATCH(RAB!C50,'HARGA SATUAN'!$C$7:$C$1492,0),0))</f>
        <v>26500</v>
      </c>
      <c r="H50" s="358">
        <f t="shared" ca="1" si="12"/>
        <v>0</v>
      </c>
      <c r="I50" s="358">
        <f t="shared" ca="1" si="13"/>
        <v>715500</v>
      </c>
      <c r="J50" s="358">
        <f t="shared" ca="1" si="14"/>
        <v>0</v>
      </c>
      <c r="K50" s="359">
        <f t="shared" ca="1" si="15"/>
        <v>715500</v>
      </c>
      <c r="L50" s="339"/>
      <c r="M50" s="339"/>
      <c r="N50" s="366"/>
      <c r="O50" s="341"/>
      <c r="P50" s="394"/>
      <c r="Q50" s="341"/>
    </row>
    <row r="51" spans="1:17" s="362" customFormat="1">
      <c r="A51" s="333"/>
      <c r="B51" s="532">
        <v>4</v>
      </c>
      <c r="C51" s="533" t="s">
        <v>163</v>
      </c>
      <c r="D51" s="355" t="str">
        <f ca="1">IF(ISERROR(OFFSET('HARGA SATUAN'!$D$6,MATCH(RAB!C51,'HARGA SATUAN'!$C$7:$C$1492,0),0)),"",OFFSET('HARGA SATUAN'!$D$6,MATCH(RAB!C51,'HARGA SATUAN'!$C$7:$C$1492,0),0))</f>
        <v>HDW</v>
      </c>
      <c r="E51" s="356" t="str">
        <f ca="1">IF(B51="+","Unit",IF(ISERROR(OFFSET('HARGA SATUAN'!$E$6,MATCH(RAB!C51,'HARGA SATUAN'!$C$7:$C$1492,0),0)),"",OFFSET('HARGA SATUAN'!$E$6,MATCH(RAB!C51,'HARGA SATUAN'!$C$7:$C$1492,0),0)))</f>
        <v>Bh</v>
      </c>
      <c r="F51" s="494">
        <f>F47*2</f>
        <v>18</v>
      </c>
      <c r="G51" s="357">
        <f ca="1">IF(ISERROR(OFFSET('HARGA SATUAN'!$I$6,MATCH(RAB!C51,'HARGA SATUAN'!$C$7:$C$1492,0),0)),0,OFFSET('HARGA SATUAN'!$I$6,MATCH(RAB!C51,'HARGA SATUAN'!$C$7:$C$1492,0),0))</f>
        <v>7938</v>
      </c>
      <c r="H51" s="358">
        <f t="shared" ca="1" si="12"/>
        <v>0</v>
      </c>
      <c r="I51" s="358">
        <f t="shared" ca="1" si="13"/>
        <v>142884</v>
      </c>
      <c r="J51" s="358">
        <f t="shared" ca="1" si="14"/>
        <v>0</v>
      </c>
      <c r="K51" s="359">
        <f t="shared" ca="1" si="15"/>
        <v>142884</v>
      </c>
      <c r="L51" s="339"/>
      <c r="M51" s="339"/>
      <c r="N51" s="366"/>
      <c r="O51" s="341"/>
      <c r="P51" s="394"/>
      <c r="Q51" s="341"/>
    </row>
    <row r="52" spans="1:17" s="362" customFormat="1">
      <c r="A52" s="333"/>
      <c r="B52" s="532">
        <v>5</v>
      </c>
      <c r="C52" s="533" t="s">
        <v>168</v>
      </c>
      <c r="D52" s="355" t="str">
        <f ca="1">IF(ISERROR(OFFSET('HARGA SATUAN'!$D$6,MATCH(RAB!C52,'HARGA SATUAN'!$C$7:$C$1492,0),0)),"",OFFSET('HARGA SATUAN'!$D$6,MATCH(RAB!C52,'HARGA SATUAN'!$C$7:$C$1492,0),0))</f>
        <v>HDW</v>
      </c>
      <c r="E52" s="356" t="str">
        <f ca="1">IF(B52="+","Unit",IF(ISERROR(OFFSET('HARGA SATUAN'!$E$6,MATCH(RAB!C52,'HARGA SATUAN'!$C$7:$C$1492,0),0)),"",OFFSET('HARGA SATUAN'!$E$6,MATCH(RAB!C52,'HARGA SATUAN'!$C$7:$C$1492,0),0)))</f>
        <v>Bh</v>
      </c>
      <c r="F52" s="494">
        <f>F47*1</f>
        <v>9</v>
      </c>
      <c r="G52" s="357">
        <f ca="1">IF(ISERROR(OFFSET('HARGA SATUAN'!$I$6,MATCH(RAB!C52,'HARGA SATUAN'!$C$7:$C$1492,0),0)),0,OFFSET('HARGA SATUAN'!$I$6,MATCH(RAB!C52,'HARGA SATUAN'!$C$7:$C$1492,0),0))</f>
        <v>33600</v>
      </c>
      <c r="H52" s="358">
        <f t="shared" ca="1" si="12"/>
        <v>0</v>
      </c>
      <c r="I52" s="358">
        <f t="shared" ca="1" si="13"/>
        <v>302400</v>
      </c>
      <c r="J52" s="358">
        <f t="shared" ca="1" si="14"/>
        <v>0</v>
      </c>
      <c r="K52" s="359">
        <f t="shared" ca="1" si="15"/>
        <v>302400</v>
      </c>
      <c r="L52" s="339"/>
      <c r="M52" s="339"/>
      <c r="N52" s="366"/>
      <c r="O52" s="341"/>
      <c r="P52" s="394"/>
      <c r="Q52" s="341"/>
    </row>
    <row r="53" spans="1:17" s="362" customFormat="1">
      <c r="A53" s="333"/>
      <c r="B53" s="532">
        <v>6</v>
      </c>
      <c r="C53" s="533" t="s">
        <v>173</v>
      </c>
      <c r="D53" s="355" t="str">
        <f ca="1">IF(ISERROR(OFFSET('HARGA SATUAN'!$D$6,MATCH(RAB!C53,'HARGA SATUAN'!$C$7:$C$1492,0),0)),"",OFFSET('HARGA SATUAN'!$D$6,MATCH(RAB!C53,'HARGA SATUAN'!$C$7:$C$1492,0),0))</f>
        <v>HDW</v>
      </c>
      <c r="E53" s="356" t="str">
        <f ca="1">IF(B53="+","Unit",IF(ISERROR(OFFSET('HARGA SATUAN'!$E$6,MATCH(RAB!C53,'HARGA SATUAN'!$C$7:$C$1492,0),0)),"",OFFSET('HARGA SATUAN'!$E$6,MATCH(RAB!C53,'HARGA SATUAN'!$C$7:$C$1492,0),0)))</f>
        <v>Bh</v>
      </c>
      <c r="F53" s="494">
        <f>F47*2</f>
        <v>18</v>
      </c>
      <c r="G53" s="357">
        <f ca="1">IF(ISERROR(OFFSET('HARGA SATUAN'!$I$6,MATCH(RAB!C53,'HARGA SATUAN'!$C$7:$C$1492,0),0)),0,OFFSET('HARGA SATUAN'!$I$6,MATCH(RAB!C53,'HARGA SATUAN'!$C$7:$C$1492,0),0))</f>
        <v>45000</v>
      </c>
      <c r="H53" s="358">
        <f t="shared" ref="H53:H72" ca="1" si="16">IF(OR(D53="MDU",D53="MDU-KD"),(IF($O$3="RAB NON MDU","PLN KD",G53*F53)),0)</f>
        <v>0</v>
      </c>
      <c r="I53" s="358">
        <f t="shared" ref="I53:I72" ca="1" si="17">IF(D53="HDW",G53*F53,0)</f>
        <v>810000</v>
      </c>
      <c r="J53" s="358">
        <f t="shared" ref="J53:J72" ca="1" si="18">IF(D53="JASA",G53*F53,0)</f>
        <v>0</v>
      </c>
      <c r="K53" s="359">
        <f t="shared" ref="K53:K72" ca="1" si="19">SUM(H53:J53)</f>
        <v>810000</v>
      </c>
      <c r="L53" s="339"/>
      <c r="M53" s="339"/>
      <c r="N53" s="366"/>
      <c r="O53" s="341"/>
      <c r="P53" s="394"/>
      <c r="Q53" s="341"/>
    </row>
    <row r="54" spans="1:17" s="362" customFormat="1">
      <c r="A54" s="333"/>
      <c r="B54" s="532">
        <v>7</v>
      </c>
      <c r="C54" s="533" t="s">
        <v>178</v>
      </c>
      <c r="D54" s="355" t="str">
        <f ca="1">IF(ISERROR(OFFSET('HARGA SATUAN'!$D$6,MATCH(RAB!C54,'HARGA SATUAN'!$C$7:$C$1492,0),0)),"",OFFSET('HARGA SATUAN'!$D$6,MATCH(RAB!C54,'HARGA SATUAN'!$C$7:$C$1492,0),0))</f>
        <v>HDW</v>
      </c>
      <c r="E54" s="356" t="str">
        <f ca="1">IF(B54="+","Unit",IF(ISERROR(OFFSET('HARGA SATUAN'!$E$6,MATCH(RAB!C54,'HARGA SATUAN'!$C$7:$C$1492,0),0)),"",OFFSET('HARGA SATUAN'!$E$6,MATCH(RAB!C54,'HARGA SATUAN'!$C$7:$C$1492,0),0)))</f>
        <v>Bh</v>
      </c>
      <c r="F54" s="494">
        <f>F47*1</f>
        <v>9</v>
      </c>
      <c r="G54" s="357">
        <f ca="1">IF(ISERROR(OFFSET('HARGA SATUAN'!$I$6,MATCH(RAB!C54,'HARGA SATUAN'!$C$7:$C$1492,0),0)),0,OFFSET('HARGA SATUAN'!$I$6,MATCH(RAB!C54,'HARGA SATUAN'!$C$7:$C$1492,0),0))</f>
        <v>95000</v>
      </c>
      <c r="H54" s="358">
        <f t="shared" ca="1" si="16"/>
        <v>0</v>
      </c>
      <c r="I54" s="358">
        <f t="shared" ca="1" si="17"/>
        <v>855000</v>
      </c>
      <c r="J54" s="358">
        <f t="shared" ca="1" si="18"/>
        <v>0</v>
      </c>
      <c r="K54" s="359">
        <f t="shared" ca="1" si="19"/>
        <v>855000</v>
      </c>
      <c r="L54" s="339"/>
      <c r="M54" s="339"/>
      <c r="N54" s="366"/>
      <c r="O54" s="341"/>
      <c r="P54" s="394"/>
      <c r="Q54" s="341"/>
    </row>
    <row r="55" spans="1:17" s="362" customFormat="1">
      <c r="A55" s="333"/>
      <c r="B55" s="532">
        <v>8</v>
      </c>
      <c r="C55" s="533" t="s">
        <v>593</v>
      </c>
      <c r="D55" s="355" t="str">
        <f ca="1">IF(ISERROR(OFFSET('HARGA SATUAN'!$D$6,MATCH(RAB!C55,'HARGA SATUAN'!$C$7:$C$1492,0),0)),"",OFFSET('HARGA SATUAN'!$D$6,MATCH(RAB!C55,'HARGA SATUAN'!$C$7:$C$1492,0),0))</f>
        <v>HDW</v>
      </c>
      <c r="E55" s="356" t="str">
        <f ca="1">IF(B55="+","Unit",IF(ISERROR(OFFSET('HARGA SATUAN'!$E$6,MATCH(RAB!C55,'HARGA SATUAN'!$C$7:$C$1492,0),0)),"",OFFSET('HARGA SATUAN'!$E$6,MATCH(RAB!C55,'HARGA SATUAN'!$C$7:$C$1492,0),0)))</f>
        <v>Bh</v>
      </c>
      <c r="F55" s="494">
        <f>F47*1</f>
        <v>9</v>
      </c>
      <c r="G55" s="357">
        <f ca="1">IF(ISERROR(OFFSET('HARGA SATUAN'!$I$6,MATCH(RAB!C55,'HARGA SATUAN'!$C$7:$C$1492,0),0)),0,OFFSET('HARGA SATUAN'!$I$6,MATCH(RAB!C55,'HARGA SATUAN'!$C$7:$C$1492,0),0))</f>
        <v>380500</v>
      </c>
      <c r="H55" s="358">
        <f t="shared" ca="1" si="16"/>
        <v>0</v>
      </c>
      <c r="I55" s="358">
        <f t="shared" ca="1" si="17"/>
        <v>3424500</v>
      </c>
      <c r="J55" s="358">
        <f t="shared" ca="1" si="18"/>
        <v>0</v>
      </c>
      <c r="K55" s="359">
        <f t="shared" ca="1" si="19"/>
        <v>3424500</v>
      </c>
      <c r="L55" s="339"/>
      <c r="M55" s="339"/>
      <c r="N55" s="366"/>
      <c r="O55" s="341"/>
      <c r="P55" s="394"/>
      <c r="Q55" s="341"/>
    </row>
    <row r="56" spans="1:17" s="362" customFormat="1">
      <c r="A56" s="333"/>
      <c r="B56" s="532">
        <v>9</v>
      </c>
      <c r="C56" s="533" t="s">
        <v>217</v>
      </c>
      <c r="D56" s="355" t="str">
        <f ca="1">IF(ISERROR(OFFSET('HARGA SATUAN'!$D$6,MATCH(RAB!C56,'HARGA SATUAN'!$C$7:$C$1492,0),0)),"",OFFSET('HARGA SATUAN'!$D$6,MATCH(RAB!C56,'HARGA SATUAN'!$C$7:$C$1492,0),0))</f>
        <v>HDW</v>
      </c>
      <c r="E56" s="356" t="str">
        <f ca="1">IF(B56="+","Unit",IF(ISERROR(OFFSET('HARGA SATUAN'!$E$6,MATCH(RAB!C56,'HARGA SATUAN'!$C$7:$C$1492,0),0)),"",OFFSET('HARGA SATUAN'!$E$6,MATCH(RAB!C56,'HARGA SATUAN'!$C$7:$C$1492,0),0)))</f>
        <v>Bh</v>
      </c>
      <c r="F56" s="494">
        <f>F47*4</f>
        <v>36</v>
      </c>
      <c r="G56" s="357">
        <f ca="1">IF(ISERROR(OFFSET('HARGA SATUAN'!$I$6,MATCH(RAB!C56,'HARGA SATUAN'!$C$7:$C$1492,0),0)),0,OFFSET('HARGA SATUAN'!$I$6,MATCH(RAB!C56,'HARGA SATUAN'!$C$7:$C$1492,0),0))</f>
        <v>11400</v>
      </c>
      <c r="H56" s="358">
        <f t="shared" ca="1" si="16"/>
        <v>0</v>
      </c>
      <c r="I56" s="358">
        <f t="shared" ca="1" si="17"/>
        <v>410400</v>
      </c>
      <c r="J56" s="358">
        <f t="shared" ca="1" si="18"/>
        <v>0</v>
      </c>
      <c r="K56" s="359">
        <f t="shared" ca="1" si="19"/>
        <v>410400</v>
      </c>
      <c r="L56" s="339"/>
      <c r="M56" s="339"/>
      <c r="N56" s="366"/>
      <c r="O56" s="341"/>
      <c r="P56" s="394"/>
      <c r="Q56" s="341"/>
    </row>
    <row r="57" spans="1:17" s="362" customFormat="1">
      <c r="A57" s="333"/>
      <c r="B57" s="532">
        <v>10</v>
      </c>
      <c r="C57" s="533" t="s">
        <v>247</v>
      </c>
      <c r="D57" s="355" t="str">
        <f ca="1">IF(ISERROR(OFFSET('HARGA SATUAN'!$D$6,MATCH(RAB!C57,'HARGA SATUAN'!$C$7:$C$1492,0),0)),"",OFFSET('HARGA SATUAN'!$D$6,MATCH(RAB!C57,'HARGA SATUAN'!$C$7:$C$1492,0),0))</f>
        <v>HDW</v>
      </c>
      <c r="E57" s="356" t="str">
        <f ca="1">IF(B57="+","Unit",IF(ISERROR(OFFSET('HARGA SATUAN'!$E$6,MATCH(RAB!C57,'HARGA SATUAN'!$C$7:$C$1492,0),0)),"",OFFSET('HARGA SATUAN'!$E$6,MATCH(RAB!C57,'HARGA SATUAN'!$C$7:$C$1492,0),0)))</f>
        <v>Bh</v>
      </c>
      <c r="F57" s="494">
        <f>F47*1</f>
        <v>9</v>
      </c>
      <c r="G57" s="357">
        <f ca="1">IF(ISERROR(OFFSET('HARGA SATUAN'!$I$6,MATCH(RAB!C57,'HARGA SATUAN'!$C$7:$C$1492,0),0)),0,OFFSET('HARGA SATUAN'!$I$6,MATCH(RAB!C57,'HARGA SATUAN'!$C$7:$C$1492,0),0))</f>
        <v>57690</v>
      </c>
      <c r="H57" s="358">
        <f t="shared" ca="1" si="16"/>
        <v>0</v>
      </c>
      <c r="I57" s="358">
        <f t="shared" ca="1" si="17"/>
        <v>519210</v>
      </c>
      <c r="J57" s="358">
        <f t="shared" ca="1" si="18"/>
        <v>0</v>
      </c>
      <c r="K57" s="359">
        <f t="shared" ca="1" si="19"/>
        <v>519210</v>
      </c>
      <c r="L57" s="339"/>
      <c r="M57" s="339"/>
      <c r="N57" s="366"/>
      <c r="O57" s="341"/>
      <c r="P57" s="394"/>
      <c r="Q57" s="341"/>
    </row>
    <row r="58" spans="1:17" s="362" customFormat="1">
      <c r="A58" s="333"/>
      <c r="B58" s="532">
        <v>11</v>
      </c>
      <c r="C58" s="533" t="s">
        <v>264</v>
      </c>
      <c r="D58" s="355" t="str">
        <f ca="1">IF(ISERROR(OFFSET('HARGA SATUAN'!$D$6,MATCH(RAB!C58,'HARGA SATUAN'!$C$7:$C$1492,0),0)),"",OFFSET('HARGA SATUAN'!$D$6,MATCH(RAB!C58,'HARGA SATUAN'!$C$7:$C$1492,0),0))</f>
        <v>HDW</v>
      </c>
      <c r="E58" s="356" t="str">
        <f ca="1">IF(B58="+","Unit",IF(ISERROR(OFFSET('HARGA SATUAN'!$E$6,MATCH(RAB!C58,'HARGA SATUAN'!$C$7:$C$1492,0),0)),"",OFFSET('HARGA SATUAN'!$E$6,MATCH(RAB!C58,'HARGA SATUAN'!$C$7:$C$1492,0),0)))</f>
        <v>Bh</v>
      </c>
      <c r="F58" s="494">
        <f>F47*1</f>
        <v>9</v>
      </c>
      <c r="G58" s="357">
        <f ca="1">IF(ISERROR(OFFSET('HARGA SATUAN'!$I$6,MATCH(RAB!C58,'HARGA SATUAN'!$C$7:$C$1492,0),0)),0,OFFSET('HARGA SATUAN'!$I$6,MATCH(RAB!C58,'HARGA SATUAN'!$C$7:$C$1492,0),0))</f>
        <v>28000</v>
      </c>
      <c r="H58" s="358">
        <f t="shared" ca="1" si="16"/>
        <v>0</v>
      </c>
      <c r="I58" s="358">
        <f t="shared" ca="1" si="17"/>
        <v>252000</v>
      </c>
      <c r="J58" s="358">
        <f t="shared" ca="1" si="18"/>
        <v>0</v>
      </c>
      <c r="K58" s="359">
        <f t="shared" ca="1" si="19"/>
        <v>252000</v>
      </c>
      <c r="L58" s="339"/>
      <c r="M58" s="339"/>
      <c r="N58" s="366"/>
      <c r="O58" s="341"/>
      <c r="P58" s="394"/>
      <c r="Q58" s="341"/>
    </row>
    <row r="59" spans="1:17" s="362" customFormat="1">
      <c r="A59" s="333"/>
      <c r="B59" s="532">
        <v>12</v>
      </c>
      <c r="C59" s="533" t="s">
        <v>38</v>
      </c>
      <c r="D59" s="355" t="str">
        <f ca="1">IF(ISERROR(OFFSET('HARGA SATUAN'!$D$6,MATCH(RAB!C59,'HARGA SATUAN'!$C$7:$C$1492,0),0)),"",OFFSET('HARGA SATUAN'!$D$6,MATCH(RAB!C59,'HARGA SATUAN'!$C$7:$C$1492,0),0))</f>
        <v>HDW</v>
      </c>
      <c r="E59" s="356" t="str">
        <f ca="1">IF(B59="+","Unit",IF(ISERROR(OFFSET('HARGA SATUAN'!$E$6,MATCH(RAB!C59,'HARGA SATUAN'!$C$7:$C$1492,0),0)),"",OFFSET('HARGA SATUAN'!$E$6,MATCH(RAB!C59,'HARGA SATUAN'!$C$7:$C$1492,0),0)))</f>
        <v>Mtr</v>
      </c>
      <c r="F59" s="494">
        <f>6.2*F47</f>
        <v>55.800000000000004</v>
      </c>
      <c r="G59" s="357">
        <f ca="1">IF(ISERROR(OFFSET('HARGA SATUAN'!$I$6,MATCH(RAB!C59,'HARGA SATUAN'!$C$7:$C$1492,0),0)),0,OFFSET('HARGA SATUAN'!$I$6,MATCH(RAB!C59,'HARGA SATUAN'!$C$7:$C$1492,0),0))</f>
        <v>8550</v>
      </c>
      <c r="H59" s="358">
        <f t="shared" ca="1" si="16"/>
        <v>0</v>
      </c>
      <c r="I59" s="358">
        <f t="shared" ca="1" si="17"/>
        <v>477090.00000000006</v>
      </c>
      <c r="J59" s="358">
        <f t="shared" ca="1" si="18"/>
        <v>0</v>
      </c>
      <c r="K59" s="359">
        <f t="shared" ca="1" si="19"/>
        <v>477090.00000000006</v>
      </c>
      <c r="L59" s="339"/>
      <c r="M59" s="339"/>
      <c r="N59" s="366"/>
      <c r="O59" s="341"/>
      <c r="P59" s="394"/>
      <c r="Q59" s="341"/>
    </row>
    <row r="60" spans="1:17" s="362" customFormat="1">
      <c r="A60" s="333"/>
      <c r="B60" s="532">
        <v>13</v>
      </c>
      <c r="C60" s="533" t="s">
        <v>26</v>
      </c>
      <c r="D60" s="355" t="str">
        <f ca="1">IF(ISERROR(OFFSET('HARGA SATUAN'!$D$6,MATCH(RAB!C60,'HARGA SATUAN'!$C$7:$C$1492,0),0)),"",OFFSET('HARGA SATUAN'!$D$6,MATCH(RAB!C60,'HARGA SATUAN'!$C$7:$C$1492,0),0))</f>
        <v>HDW</v>
      </c>
      <c r="E60" s="356" t="str">
        <f ca="1">IF(B60="+","Unit",IF(ISERROR(OFFSET('HARGA SATUAN'!$E$6,MATCH(RAB!C60,'HARGA SATUAN'!$C$7:$C$1492,0),0)),"",OFFSET('HARGA SATUAN'!$E$6,MATCH(RAB!C60,'HARGA SATUAN'!$C$7:$C$1492,0),0)))</f>
        <v>Bh</v>
      </c>
      <c r="F60" s="494">
        <f>F47*5</f>
        <v>45</v>
      </c>
      <c r="G60" s="357">
        <f ca="1">IF(ISERROR(OFFSET('HARGA SATUAN'!$I$6,MATCH(RAB!C60,'HARGA SATUAN'!$C$7:$C$1492,0),0)),0,OFFSET('HARGA SATUAN'!$I$6,MATCH(RAB!C60,'HARGA SATUAN'!$C$7:$C$1492,0),0))</f>
        <v>2500</v>
      </c>
      <c r="H60" s="358">
        <f t="shared" ca="1" si="16"/>
        <v>0</v>
      </c>
      <c r="I60" s="358">
        <f t="shared" ca="1" si="17"/>
        <v>112500</v>
      </c>
      <c r="J60" s="358">
        <f t="shared" ca="1" si="18"/>
        <v>0</v>
      </c>
      <c r="K60" s="359">
        <f t="shared" ca="1" si="19"/>
        <v>112500</v>
      </c>
      <c r="L60" s="339"/>
      <c r="M60" s="339"/>
      <c r="N60" s="366"/>
      <c r="O60" s="341"/>
      <c r="P60" s="394"/>
      <c r="Q60" s="341"/>
    </row>
    <row r="61" spans="1:17" s="362" customFormat="1">
      <c r="A61" s="333"/>
      <c r="B61" s="532">
        <v>14</v>
      </c>
      <c r="C61" s="533" t="s">
        <v>687</v>
      </c>
      <c r="D61" s="355" t="str">
        <f ca="1">IF(ISERROR(OFFSET('HARGA SATUAN'!$D$6,MATCH(RAB!C61,'HARGA SATUAN'!$C$7:$C$1492,0),0)),"",OFFSET('HARGA SATUAN'!$D$6,MATCH(RAB!C61,'HARGA SATUAN'!$C$7:$C$1492,0),0))</f>
        <v>JASA</v>
      </c>
      <c r="E61" s="356" t="str">
        <f ca="1">IF(B61="+","Unit",IF(ISERROR(OFFSET('HARGA SATUAN'!$E$6,MATCH(RAB!C61,'HARGA SATUAN'!$C$7:$C$1492,0),0)),"",OFFSET('HARGA SATUAN'!$E$6,MATCH(RAB!C61,'HARGA SATUAN'!$C$7:$C$1492,0),0)))</f>
        <v>Unit</v>
      </c>
      <c r="F61" s="494">
        <f>F47*1</f>
        <v>9</v>
      </c>
      <c r="G61" s="357">
        <f ca="1">IF(ISERROR(OFFSET('HARGA SATUAN'!$I$6,MATCH(RAB!C61,'HARGA SATUAN'!$C$7:$C$1492,0),0)),0,OFFSET('HARGA SATUAN'!$I$6,MATCH(RAB!C61,'HARGA SATUAN'!$C$7:$C$1492,0),0))</f>
        <v>111000</v>
      </c>
      <c r="H61" s="358">
        <f t="shared" ca="1" si="16"/>
        <v>0</v>
      </c>
      <c r="I61" s="358">
        <f t="shared" ca="1" si="17"/>
        <v>0</v>
      </c>
      <c r="J61" s="358">
        <f t="shared" ca="1" si="18"/>
        <v>999000</v>
      </c>
      <c r="K61" s="359">
        <f t="shared" ca="1" si="19"/>
        <v>999000</v>
      </c>
      <c r="L61" s="339"/>
      <c r="M61" s="339"/>
      <c r="N61" s="366"/>
      <c r="O61" s="341"/>
      <c r="P61" s="394"/>
      <c r="Q61" s="341"/>
    </row>
    <row r="62" spans="1:17" s="362" customFormat="1">
      <c r="A62" s="333"/>
      <c r="B62" s="509"/>
      <c r="C62" s="510"/>
      <c r="D62" s="355" t="str">
        <f ca="1">IF(ISERROR(OFFSET('HARGA SATUAN'!$D$6,MATCH(RAB!C62,'HARGA SATUAN'!$C$7:$C$1492,0),0)),"",OFFSET('HARGA SATUAN'!$D$6,MATCH(RAB!C62,'HARGA SATUAN'!$C$7:$C$1492,0),0))</f>
        <v/>
      </c>
      <c r="E62" s="356" t="str">
        <f ca="1">IF(B62="+","Unit",IF(ISERROR(OFFSET('HARGA SATUAN'!$E$6,MATCH(RAB!C62,'HARGA SATUAN'!$C$7:$C$1492,0),0)),"",OFFSET('HARGA SATUAN'!$E$6,MATCH(RAB!C62,'HARGA SATUAN'!$C$7:$C$1492,0),0)))</f>
        <v/>
      </c>
      <c r="F62" s="515"/>
      <c r="G62" s="357">
        <f ca="1">IF(ISERROR(OFFSET('HARGA SATUAN'!$I$6,MATCH(RAB!C62,'HARGA SATUAN'!$C$7:$C$1492,0),0)),0,OFFSET('HARGA SATUAN'!$I$6,MATCH(RAB!C62,'HARGA SATUAN'!$C$7:$C$1492,0),0))</f>
        <v>0</v>
      </c>
      <c r="H62" s="358">
        <f t="shared" ca="1" si="16"/>
        <v>0</v>
      </c>
      <c r="I62" s="358">
        <f t="shared" ca="1" si="17"/>
        <v>0</v>
      </c>
      <c r="J62" s="358">
        <f t="shared" ca="1" si="18"/>
        <v>0</v>
      </c>
      <c r="K62" s="359">
        <f t="shared" ca="1" si="19"/>
        <v>0</v>
      </c>
      <c r="L62" s="339"/>
      <c r="M62" s="339"/>
      <c r="N62" s="366"/>
      <c r="O62" s="341"/>
      <c r="P62" s="394"/>
      <c r="Q62" s="341"/>
    </row>
    <row r="63" spans="1:17" s="362" customFormat="1">
      <c r="A63" s="333"/>
      <c r="B63" s="532" t="s">
        <v>1035</v>
      </c>
      <c r="C63" s="533" t="s">
        <v>1639</v>
      </c>
      <c r="D63" s="355" t="str">
        <f ca="1">IF(ISERROR(OFFSET('HARGA SATUAN'!$D$6,MATCH(RAB!C63,'HARGA SATUAN'!$C$7:$C$1492,0),0)),"",OFFSET('HARGA SATUAN'!$D$6,MATCH(RAB!C63,'HARGA SATUAN'!$C$7:$C$1492,0),0))</f>
        <v/>
      </c>
      <c r="E63" s="356" t="str">
        <f ca="1">IF(B63="+","Unit",IF(ISERROR(OFFSET('HARGA SATUAN'!$E$6,MATCH(RAB!C63,'HARGA SATUAN'!$C$7:$C$1492,0),0)),"",OFFSET('HARGA SATUAN'!$E$6,MATCH(RAB!C63,'HARGA SATUAN'!$C$7:$C$1492,0),0)))</f>
        <v>Unit</v>
      </c>
      <c r="F63" s="494">
        <v>1</v>
      </c>
      <c r="G63" s="357">
        <f ca="1">IF(ISERROR(OFFSET('HARGA SATUAN'!$I$6,MATCH(RAB!C63,'HARGA SATUAN'!$C$7:$C$1492,0),0)),0,OFFSET('HARGA SATUAN'!$I$6,MATCH(RAB!C63,'HARGA SATUAN'!$C$7:$C$1492,0),0))</f>
        <v>0</v>
      </c>
      <c r="H63" s="358">
        <f t="shared" ca="1" si="16"/>
        <v>0</v>
      </c>
      <c r="I63" s="358">
        <f t="shared" ca="1" si="17"/>
        <v>0</v>
      </c>
      <c r="J63" s="358">
        <f t="shared" ca="1" si="18"/>
        <v>0</v>
      </c>
      <c r="K63" s="359">
        <f t="shared" ca="1" si="19"/>
        <v>0</v>
      </c>
      <c r="L63" s="339"/>
      <c r="M63" s="339"/>
      <c r="N63" s="366"/>
      <c r="O63" s="341"/>
      <c r="P63" s="394"/>
      <c r="Q63" s="341"/>
    </row>
    <row r="64" spans="1:17" s="362" customFormat="1">
      <c r="A64" s="333"/>
      <c r="B64" s="532">
        <v>1</v>
      </c>
      <c r="C64" s="109" t="s">
        <v>1129</v>
      </c>
      <c r="D64" s="355" t="str">
        <f ca="1">IF(ISERROR(OFFSET('HARGA SATUAN'!$D$6,MATCH(RAB!C64,'HARGA SATUAN'!$C$7:$C$1492,0),0)),"",OFFSET('HARGA SATUAN'!$D$6,MATCH(RAB!C64,'HARGA SATUAN'!$C$7:$C$1492,0),0))</f>
        <v>MDU-KD</v>
      </c>
      <c r="E64" s="356" t="str">
        <f ca="1">IF(B64="+","Unit",IF(ISERROR(OFFSET('HARGA SATUAN'!$E$6,MATCH(RAB!C64,'HARGA SATUAN'!$C$7:$C$1492,0),0)),"",OFFSET('HARGA SATUAN'!$E$6,MATCH(RAB!C64,'HARGA SATUAN'!$C$7:$C$1492,0),0)))</f>
        <v>Bh</v>
      </c>
      <c r="F64" s="494">
        <f>F63*1</f>
        <v>1</v>
      </c>
      <c r="G64" s="357">
        <f ca="1">IF(ISERROR(OFFSET('HARGA SATUAN'!$I$6,MATCH(RAB!C64,'HARGA SATUAN'!$C$7:$C$1492,0),0)),0,OFFSET('HARGA SATUAN'!$I$6,MATCH(RAB!C64,'HARGA SATUAN'!$C$7:$C$1492,0),0))</f>
        <v>176900</v>
      </c>
      <c r="H64" s="358">
        <f t="shared" ca="1" si="16"/>
        <v>176900</v>
      </c>
      <c r="I64" s="358">
        <f t="shared" ca="1" si="17"/>
        <v>0</v>
      </c>
      <c r="J64" s="358">
        <f t="shared" ca="1" si="18"/>
        <v>0</v>
      </c>
      <c r="K64" s="359">
        <f t="shared" ca="1" si="19"/>
        <v>176900</v>
      </c>
      <c r="L64" s="339"/>
      <c r="M64" s="339"/>
      <c r="N64" s="366"/>
      <c r="O64" s="341"/>
      <c r="P64" s="394"/>
      <c r="Q64" s="341"/>
    </row>
    <row r="65" spans="1:17" s="362" customFormat="1">
      <c r="A65" s="333"/>
      <c r="B65" s="532">
        <v>2</v>
      </c>
      <c r="C65" s="109" t="s">
        <v>1129</v>
      </c>
      <c r="D65" s="355" t="str">
        <f ca="1">IF(ISERROR(OFFSET('HARGA SATUAN'!$D$6,MATCH(RAB!C65,'HARGA SATUAN'!$C$7:$C$1492,0),0)),"",OFFSET('HARGA SATUAN'!$D$6,MATCH(RAB!C65,'HARGA SATUAN'!$C$7:$C$1492,0),0))</f>
        <v>MDU-KD</v>
      </c>
      <c r="E65" s="356" t="str">
        <f ca="1">IF(B65="+","Unit",IF(ISERROR(OFFSET('HARGA SATUAN'!$E$6,MATCH(RAB!C65,'HARGA SATUAN'!$C$7:$C$1492,0),0)),"",OFFSET('HARGA SATUAN'!$E$6,MATCH(RAB!C65,'HARGA SATUAN'!$C$7:$C$1492,0),0)))</f>
        <v>Bh</v>
      </c>
      <c r="F65" s="494">
        <f>F63*2</f>
        <v>2</v>
      </c>
      <c r="G65" s="357">
        <f ca="1">IF(ISERROR(OFFSET('HARGA SATUAN'!$I$6,MATCH(RAB!C65,'HARGA SATUAN'!$C$7:$C$1492,0),0)),0,OFFSET('HARGA SATUAN'!$I$6,MATCH(RAB!C65,'HARGA SATUAN'!$C$7:$C$1492,0),0))</f>
        <v>176900</v>
      </c>
      <c r="H65" s="358">
        <f t="shared" ca="1" si="16"/>
        <v>353800</v>
      </c>
      <c r="I65" s="358">
        <f t="shared" ca="1" si="17"/>
        <v>0</v>
      </c>
      <c r="J65" s="358">
        <f t="shared" ca="1" si="18"/>
        <v>0</v>
      </c>
      <c r="K65" s="359">
        <f t="shared" ca="1" si="19"/>
        <v>353800</v>
      </c>
      <c r="L65" s="339"/>
      <c r="M65" s="339"/>
      <c r="N65" s="366"/>
      <c r="O65" s="341"/>
      <c r="P65" s="394"/>
      <c r="Q65" s="341"/>
    </row>
    <row r="66" spans="1:17" s="362" customFormat="1">
      <c r="A66" s="333"/>
      <c r="B66" s="532">
        <v>3</v>
      </c>
      <c r="C66" s="507" t="s">
        <v>1566</v>
      </c>
      <c r="D66" s="355" t="str">
        <f ca="1">IF(ISERROR(OFFSET('HARGA SATUAN'!$D$6,MATCH(RAB!C66,'HARGA SATUAN'!$C$7:$C$1492,0),0)),"",OFFSET('HARGA SATUAN'!$D$6,MATCH(RAB!C66,'HARGA SATUAN'!$C$7:$C$1492,0),0))</f>
        <v>MDU-KD</v>
      </c>
      <c r="E66" s="356" t="str">
        <f ca="1">IF(B66="+","Unit",IF(ISERROR(OFFSET('HARGA SATUAN'!$E$6,MATCH(RAB!C66,'HARGA SATUAN'!$C$7:$C$1492,0),0)),"",OFFSET('HARGA SATUAN'!$E$6,MATCH(RAB!C66,'HARGA SATUAN'!$C$7:$C$1492,0),0)))</f>
        <v>Set</v>
      </c>
      <c r="F66" s="536">
        <f>F63*6</f>
        <v>6</v>
      </c>
      <c r="G66" s="357">
        <f ca="1">IF(ISERROR(OFFSET('HARGA SATUAN'!$I$6,MATCH(RAB!C66,'HARGA SATUAN'!$C$7:$C$1492,0),0)),0,OFFSET('HARGA SATUAN'!$I$6,MATCH(RAB!C66,'HARGA SATUAN'!$C$7:$C$1492,0),0))</f>
        <v>205700</v>
      </c>
      <c r="H66" s="358">
        <f t="shared" ca="1" si="16"/>
        <v>1234200</v>
      </c>
      <c r="I66" s="358">
        <f t="shared" ca="1" si="17"/>
        <v>0</v>
      </c>
      <c r="J66" s="358">
        <f t="shared" ca="1" si="18"/>
        <v>0</v>
      </c>
      <c r="K66" s="359">
        <f t="shared" ca="1" si="19"/>
        <v>1234200</v>
      </c>
      <c r="L66" s="339"/>
      <c r="M66" s="339"/>
      <c r="N66" s="366"/>
      <c r="O66" s="341"/>
      <c r="P66" s="394"/>
      <c r="Q66" s="341"/>
    </row>
    <row r="67" spans="1:17" s="362" customFormat="1">
      <c r="A67" s="333"/>
      <c r="B67" s="532">
        <v>4</v>
      </c>
      <c r="C67" s="533" t="s">
        <v>152</v>
      </c>
      <c r="D67" s="355" t="str">
        <f ca="1">IF(ISERROR(OFFSET('HARGA SATUAN'!$D$6,MATCH(RAB!C67,'HARGA SATUAN'!$C$7:$C$1492,0),0)),"",OFFSET('HARGA SATUAN'!$D$6,MATCH(RAB!C67,'HARGA SATUAN'!$C$7:$C$1492,0),0))</f>
        <v>HDW</v>
      </c>
      <c r="E67" s="356" t="str">
        <f ca="1">IF(B67="+","Unit",IF(ISERROR(OFFSET('HARGA SATUAN'!$E$6,MATCH(RAB!C67,'HARGA SATUAN'!$C$7:$C$1492,0),0)),"",OFFSET('HARGA SATUAN'!$E$6,MATCH(RAB!C67,'HARGA SATUAN'!$C$7:$C$1492,0),0)))</f>
        <v>Mtr</v>
      </c>
      <c r="F67" s="494">
        <f>F63*2</f>
        <v>2</v>
      </c>
      <c r="G67" s="357">
        <f ca="1">IF(ISERROR(OFFSET('HARGA SATUAN'!$I$6,MATCH(RAB!C67,'HARGA SATUAN'!$C$7:$C$1492,0),0)),0,OFFSET('HARGA SATUAN'!$I$6,MATCH(RAB!C67,'HARGA SATUAN'!$C$7:$C$1492,0),0))</f>
        <v>7789</v>
      </c>
      <c r="H67" s="358">
        <f t="shared" ca="1" si="16"/>
        <v>0</v>
      </c>
      <c r="I67" s="358">
        <f t="shared" ca="1" si="17"/>
        <v>15578</v>
      </c>
      <c r="J67" s="358">
        <f t="shared" ca="1" si="18"/>
        <v>0</v>
      </c>
      <c r="K67" s="359">
        <f t="shared" ca="1" si="19"/>
        <v>15578</v>
      </c>
      <c r="L67" s="339"/>
      <c r="M67" s="339"/>
      <c r="N67" s="366"/>
      <c r="O67" s="341"/>
      <c r="P67" s="394"/>
      <c r="Q67" s="341"/>
    </row>
    <row r="68" spans="1:17" s="362" customFormat="1">
      <c r="A68" s="333"/>
      <c r="B68" s="534">
        <v>5</v>
      </c>
      <c r="C68" s="535" t="s">
        <v>157</v>
      </c>
      <c r="D68" s="355" t="str">
        <f ca="1">IF(ISERROR(OFFSET('HARGA SATUAN'!$D$6,MATCH(RAB!C68,'HARGA SATUAN'!$C$7:$C$1492,0),0)),"",OFFSET('HARGA SATUAN'!$D$6,MATCH(RAB!C68,'HARGA SATUAN'!$C$7:$C$1492,0),0))</f>
        <v>HDW</v>
      </c>
      <c r="E68" s="356" t="str">
        <f ca="1">IF(B68="+","Unit",IF(ISERROR(OFFSET('HARGA SATUAN'!$E$6,MATCH(RAB!C68,'HARGA SATUAN'!$C$7:$C$1492,0),0)),"",OFFSET('HARGA SATUAN'!$E$6,MATCH(RAB!C68,'HARGA SATUAN'!$C$7:$C$1492,0),0)))</f>
        <v>Bh</v>
      </c>
      <c r="F68" s="537">
        <f>F63*2</f>
        <v>2</v>
      </c>
      <c r="G68" s="357">
        <f ca="1">IF(ISERROR(OFFSET('HARGA SATUAN'!$I$6,MATCH(RAB!C68,'HARGA SATUAN'!$C$7:$C$1492,0),0)),0,OFFSET('HARGA SATUAN'!$I$6,MATCH(RAB!C68,'HARGA SATUAN'!$C$7:$C$1492,0),0))</f>
        <v>40000</v>
      </c>
      <c r="H68" s="358">
        <f t="shared" ca="1" si="16"/>
        <v>0</v>
      </c>
      <c r="I68" s="358">
        <f t="shared" ca="1" si="17"/>
        <v>80000</v>
      </c>
      <c r="J68" s="358">
        <f t="shared" ca="1" si="18"/>
        <v>0</v>
      </c>
      <c r="K68" s="359">
        <f t="shared" ca="1" si="19"/>
        <v>80000</v>
      </c>
      <c r="L68" s="339"/>
      <c r="M68" s="339"/>
      <c r="N68" s="366"/>
      <c r="O68" s="341"/>
      <c r="P68" s="394"/>
      <c r="Q68" s="341"/>
    </row>
    <row r="69" spans="1:17" s="362" customFormat="1">
      <c r="A69" s="333"/>
      <c r="B69" s="534">
        <v>6</v>
      </c>
      <c r="C69" s="535" t="s">
        <v>28</v>
      </c>
      <c r="D69" s="355" t="str">
        <f ca="1">IF(ISERROR(OFFSET('HARGA SATUAN'!$D$6,MATCH(RAB!C69,'HARGA SATUAN'!$C$7:$C$1492,0),0)),"",OFFSET('HARGA SATUAN'!$D$6,MATCH(RAB!C69,'HARGA SATUAN'!$C$7:$C$1492,0),0))</f>
        <v>HDW</v>
      </c>
      <c r="E69" s="356" t="str">
        <f ca="1">IF(B69="+","Unit",IF(ISERROR(OFFSET('HARGA SATUAN'!$E$6,MATCH(RAB!C69,'HARGA SATUAN'!$C$7:$C$1492,0),0)),"",OFFSET('HARGA SATUAN'!$E$6,MATCH(RAB!C69,'HARGA SATUAN'!$C$7:$C$1492,0),0)))</f>
        <v>Bh</v>
      </c>
      <c r="F69" s="537">
        <f>F63*3</f>
        <v>3</v>
      </c>
      <c r="G69" s="357">
        <f ca="1">IF(ISERROR(OFFSET('HARGA SATUAN'!$I$6,MATCH(RAB!C69,'HARGA SATUAN'!$C$7:$C$1492,0),0)),0,OFFSET('HARGA SATUAN'!$I$6,MATCH(RAB!C69,'HARGA SATUAN'!$C$7:$C$1492,0),0))</f>
        <v>26500</v>
      </c>
      <c r="H69" s="358">
        <f t="shared" ca="1" si="16"/>
        <v>0</v>
      </c>
      <c r="I69" s="358">
        <f t="shared" ca="1" si="17"/>
        <v>79500</v>
      </c>
      <c r="J69" s="358">
        <f t="shared" ca="1" si="18"/>
        <v>0</v>
      </c>
      <c r="K69" s="359">
        <f t="shared" ca="1" si="19"/>
        <v>79500</v>
      </c>
      <c r="L69" s="339"/>
      <c r="M69" s="339"/>
      <c r="N69" s="366"/>
      <c r="O69" s="341"/>
      <c r="P69" s="394"/>
      <c r="Q69" s="341"/>
    </row>
    <row r="70" spans="1:17" s="362" customFormat="1">
      <c r="A70" s="333"/>
      <c r="B70" s="534">
        <v>7</v>
      </c>
      <c r="C70" s="535" t="s">
        <v>163</v>
      </c>
      <c r="D70" s="355" t="str">
        <f ca="1">IF(ISERROR(OFFSET('HARGA SATUAN'!$D$6,MATCH(RAB!C70,'HARGA SATUAN'!$C$7:$C$1492,0),0)),"",OFFSET('HARGA SATUAN'!$D$6,MATCH(RAB!C70,'HARGA SATUAN'!$C$7:$C$1492,0),0))</f>
        <v>HDW</v>
      </c>
      <c r="E70" s="356" t="str">
        <f ca="1">IF(B70="+","Unit",IF(ISERROR(OFFSET('HARGA SATUAN'!$E$6,MATCH(RAB!C70,'HARGA SATUAN'!$C$7:$C$1492,0),0)),"",OFFSET('HARGA SATUAN'!$E$6,MATCH(RAB!C70,'HARGA SATUAN'!$C$7:$C$1492,0),0)))</f>
        <v>Bh</v>
      </c>
      <c r="F70" s="537">
        <f>F63*4</f>
        <v>4</v>
      </c>
      <c r="G70" s="357">
        <f ca="1">IF(ISERROR(OFFSET('HARGA SATUAN'!$I$6,MATCH(RAB!C70,'HARGA SATUAN'!$C$7:$C$1492,0),0)),0,OFFSET('HARGA SATUAN'!$I$6,MATCH(RAB!C70,'HARGA SATUAN'!$C$7:$C$1492,0),0))</f>
        <v>7938</v>
      </c>
      <c r="H70" s="358">
        <f t="shared" ca="1" si="16"/>
        <v>0</v>
      </c>
      <c r="I70" s="358">
        <f t="shared" ca="1" si="17"/>
        <v>31752</v>
      </c>
      <c r="J70" s="358">
        <f t="shared" ca="1" si="18"/>
        <v>0</v>
      </c>
      <c r="K70" s="359">
        <f t="shared" ca="1" si="19"/>
        <v>31752</v>
      </c>
      <c r="L70" s="339"/>
      <c r="M70" s="339"/>
      <c r="N70" s="366"/>
      <c r="O70" s="341"/>
      <c r="P70" s="394"/>
      <c r="Q70" s="341"/>
    </row>
    <row r="71" spans="1:17" s="362" customFormat="1">
      <c r="A71" s="333"/>
      <c r="B71" s="534">
        <v>8</v>
      </c>
      <c r="C71" s="535" t="s">
        <v>173</v>
      </c>
      <c r="D71" s="355" t="str">
        <f ca="1">IF(ISERROR(OFFSET('HARGA SATUAN'!$D$6,MATCH(RAB!C71,'HARGA SATUAN'!$C$7:$C$1492,0),0)),"",OFFSET('HARGA SATUAN'!$D$6,MATCH(RAB!C71,'HARGA SATUAN'!$C$7:$C$1492,0),0))</f>
        <v>HDW</v>
      </c>
      <c r="E71" s="356" t="str">
        <f ca="1">IF(B71="+","Unit",IF(ISERROR(OFFSET('HARGA SATUAN'!$E$6,MATCH(RAB!C71,'HARGA SATUAN'!$C$7:$C$1492,0),0)),"",OFFSET('HARGA SATUAN'!$E$6,MATCH(RAB!C71,'HARGA SATUAN'!$C$7:$C$1492,0),0)))</f>
        <v>Bh</v>
      </c>
      <c r="F71" s="537">
        <f>F63*4</f>
        <v>4</v>
      </c>
      <c r="G71" s="357">
        <f ca="1">IF(ISERROR(OFFSET('HARGA SATUAN'!$I$6,MATCH(RAB!C71,'HARGA SATUAN'!$C$7:$C$1492,0),0)),0,OFFSET('HARGA SATUAN'!$I$6,MATCH(RAB!C71,'HARGA SATUAN'!$C$7:$C$1492,0),0))</f>
        <v>45000</v>
      </c>
      <c r="H71" s="358">
        <f t="shared" ca="1" si="16"/>
        <v>0</v>
      </c>
      <c r="I71" s="358">
        <f t="shared" ca="1" si="17"/>
        <v>180000</v>
      </c>
      <c r="J71" s="358">
        <f t="shared" ca="1" si="18"/>
        <v>0</v>
      </c>
      <c r="K71" s="359">
        <f t="shared" ca="1" si="19"/>
        <v>180000</v>
      </c>
      <c r="L71" s="339"/>
      <c r="M71" s="339"/>
      <c r="N71" s="366"/>
      <c r="O71" s="341"/>
      <c r="P71" s="394"/>
      <c r="Q71" s="341"/>
    </row>
    <row r="72" spans="1:17" s="362" customFormat="1">
      <c r="A72" s="333"/>
      <c r="B72" s="534">
        <v>9</v>
      </c>
      <c r="C72" s="535" t="s">
        <v>178</v>
      </c>
      <c r="D72" s="355" t="str">
        <f ca="1">IF(ISERROR(OFFSET('HARGA SATUAN'!$D$6,MATCH(RAB!C72,'HARGA SATUAN'!$C$7:$C$1492,0),0)),"",OFFSET('HARGA SATUAN'!$D$6,MATCH(RAB!C72,'HARGA SATUAN'!$C$7:$C$1492,0),0))</f>
        <v>HDW</v>
      </c>
      <c r="E72" s="356" t="str">
        <f ca="1">IF(B72="+","Unit",IF(ISERROR(OFFSET('HARGA SATUAN'!$E$6,MATCH(RAB!C72,'HARGA SATUAN'!$C$7:$C$1492,0),0)),"",OFFSET('HARGA SATUAN'!$E$6,MATCH(RAB!C72,'HARGA SATUAN'!$C$7:$C$1492,0),0)))</f>
        <v>Bh</v>
      </c>
      <c r="F72" s="537">
        <f>F63*1</f>
        <v>1</v>
      </c>
      <c r="G72" s="357">
        <f ca="1">IF(ISERROR(OFFSET('HARGA SATUAN'!$I$6,MATCH(RAB!C72,'HARGA SATUAN'!$C$7:$C$1492,0),0)),0,OFFSET('HARGA SATUAN'!$I$6,MATCH(RAB!C72,'HARGA SATUAN'!$C$7:$C$1492,0),0))</f>
        <v>95000</v>
      </c>
      <c r="H72" s="358">
        <f t="shared" ca="1" si="16"/>
        <v>0</v>
      </c>
      <c r="I72" s="358">
        <f t="shared" ca="1" si="17"/>
        <v>95000</v>
      </c>
      <c r="J72" s="358">
        <f t="shared" ca="1" si="18"/>
        <v>0</v>
      </c>
      <c r="K72" s="359">
        <f t="shared" ca="1" si="19"/>
        <v>95000</v>
      </c>
      <c r="L72" s="339"/>
      <c r="M72" s="339"/>
      <c r="N72" s="366"/>
      <c r="O72" s="341"/>
      <c r="P72" s="394"/>
      <c r="Q72" s="341"/>
    </row>
    <row r="73" spans="1:17" s="362" customFormat="1">
      <c r="A73" s="333"/>
      <c r="B73" s="534">
        <v>10</v>
      </c>
      <c r="C73" s="535" t="s">
        <v>179</v>
      </c>
      <c r="D73" s="355" t="str">
        <f ca="1">IF(ISERROR(OFFSET('HARGA SATUAN'!$D$6,MATCH(RAB!C73,'HARGA SATUAN'!$C$7:$C$1492,0),0)),"",OFFSET('HARGA SATUAN'!$D$6,MATCH(RAB!C73,'HARGA SATUAN'!$C$7:$C$1492,0),0))</f>
        <v>HDW</v>
      </c>
      <c r="E73" s="356" t="str">
        <f ca="1">IF(B73="+","Unit",IF(ISERROR(OFFSET('HARGA SATUAN'!$E$6,MATCH(RAB!C73,'HARGA SATUAN'!$C$7:$C$1492,0),0)),"",OFFSET('HARGA SATUAN'!$E$6,MATCH(RAB!C73,'HARGA SATUAN'!$C$7:$C$1492,0),0)))</f>
        <v>Bh</v>
      </c>
      <c r="F73" s="537">
        <f>F63*2</f>
        <v>2</v>
      </c>
      <c r="G73" s="357">
        <f ca="1">IF(ISERROR(OFFSET('HARGA SATUAN'!$I$6,MATCH(RAB!C73,'HARGA SATUAN'!$C$7:$C$1492,0),0)),0,OFFSET('HARGA SATUAN'!$I$6,MATCH(RAB!C73,'HARGA SATUAN'!$C$7:$C$1492,0),0))</f>
        <v>15500</v>
      </c>
      <c r="H73" s="358">
        <f t="shared" ref="H73:H92" ca="1" si="20">IF(OR(D73="MDU",D73="MDU-KD"),(IF($O$3="RAB NON MDU","PLN KD",G73*F73)),0)</f>
        <v>0</v>
      </c>
      <c r="I73" s="358">
        <f t="shared" ref="I73:I92" ca="1" si="21">IF(D73="HDW",G73*F73,0)</f>
        <v>31000</v>
      </c>
      <c r="J73" s="358">
        <f t="shared" ref="J73:J92" ca="1" si="22">IF(D73="JASA",G73*F73,0)</f>
        <v>0</v>
      </c>
      <c r="K73" s="359">
        <f t="shared" ref="K73:K92" ca="1" si="23">SUM(H73:J73)</f>
        <v>31000</v>
      </c>
      <c r="L73" s="339"/>
      <c r="M73" s="339"/>
      <c r="N73" s="366"/>
      <c r="O73" s="341"/>
      <c r="P73" s="394"/>
      <c r="Q73" s="341"/>
    </row>
    <row r="74" spans="1:17" s="362" customFormat="1">
      <c r="A74" s="333"/>
      <c r="B74" s="534">
        <v>11</v>
      </c>
      <c r="C74" s="535" t="s">
        <v>181</v>
      </c>
      <c r="D74" s="355" t="str">
        <f ca="1">IF(ISERROR(OFFSET('HARGA SATUAN'!$D$6,MATCH(RAB!C74,'HARGA SATUAN'!$C$7:$C$1492,0),0)),"",OFFSET('HARGA SATUAN'!$D$6,MATCH(RAB!C74,'HARGA SATUAN'!$C$7:$C$1492,0),0))</f>
        <v>HDW</v>
      </c>
      <c r="E74" s="356" t="str">
        <f ca="1">IF(B74="+","Unit",IF(ISERROR(OFFSET('HARGA SATUAN'!$E$6,MATCH(RAB!C74,'HARGA SATUAN'!$C$7:$C$1492,0),0)),"",OFFSET('HARGA SATUAN'!$E$6,MATCH(RAB!C74,'HARGA SATUAN'!$C$7:$C$1492,0),0)))</f>
        <v>Bh</v>
      </c>
      <c r="F74" s="537">
        <f>F63*4</f>
        <v>4</v>
      </c>
      <c r="G74" s="357">
        <f ca="1">IF(ISERROR(OFFSET('HARGA SATUAN'!$I$6,MATCH(RAB!C74,'HARGA SATUAN'!$C$7:$C$1492,0),0)),0,OFFSET('HARGA SATUAN'!$I$6,MATCH(RAB!C74,'HARGA SATUAN'!$C$7:$C$1492,0),0))</f>
        <v>28100</v>
      </c>
      <c r="H74" s="358">
        <f t="shared" ca="1" si="20"/>
        <v>0</v>
      </c>
      <c r="I74" s="358">
        <f t="shared" ca="1" si="21"/>
        <v>112400</v>
      </c>
      <c r="J74" s="358">
        <f t="shared" ca="1" si="22"/>
        <v>0</v>
      </c>
      <c r="K74" s="359">
        <f t="shared" ca="1" si="23"/>
        <v>112400</v>
      </c>
      <c r="L74" s="339"/>
      <c r="M74" s="339"/>
      <c r="N74" s="366"/>
      <c r="O74" s="341"/>
      <c r="P74" s="394"/>
      <c r="Q74" s="341"/>
    </row>
    <row r="75" spans="1:17" s="362" customFormat="1">
      <c r="A75" s="333"/>
      <c r="B75" s="534">
        <v>12</v>
      </c>
      <c r="C75" s="535" t="s">
        <v>593</v>
      </c>
      <c r="D75" s="355" t="str">
        <f ca="1">IF(ISERROR(OFFSET('HARGA SATUAN'!$D$6,MATCH(RAB!C75,'HARGA SATUAN'!$C$7:$C$1492,0),0)),"",OFFSET('HARGA SATUAN'!$D$6,MATCH(RAB!C75,'HARGA SATUAN'!$C$7:$C$1492,0),0))</f>
        <v>HDW</v>
      </c>
      <c r="E75" s="356" t="str">
        <f ca="1">IF(B75="+","Unit",IF(ISERROR(OFFSET('HARGA SATUAN'!$E$6,MATCH(RAB!C75,'HARGA SATUAN'!$C$7:$C$1492,0),0)),"",OFFSET('HARGA SATUAN'!$E$6,MATCH(RAB!C75,'HARGA SATUAN'!$C$7:$C$1492,0),0)))</f>
        <v>Bh</v>
      </c>
      <c r="F75" s="537">
        <f>F63*2</f>
        <v>2</v>
      </c>
      <c r="G75" s="357">
        <f ca="1">IF(ISERROR(OFFSET('HARGA SATUAN'!$I$6,MATCH(RAB!C75,'HARGA SATUAN'!$C$7:$C$1492,0),0)),0,OFFSET('HARGA SATUAN'!$I$6,MATCH(RAB!C75,'HARGA SATUAN'!$C$7:$C$1492,0),0))</f>
        <v>380500</v>
      </c>
      <c r="H75" s="358">
        <f t="shared" ca="1" si="20"/>
        <v>0</v>
      </c>
      <c r="I75" s="358">
        <f t="shared" ca="1" si="21"/>
        <v>761000</v>
      </c>
      <c r="J75" s="358">
        <f t="shared" ca="1" si="22"/>
        <v>0</v>
      </c>
      <c r="K75" s="359">
        <f t="shared" ca="1" si="23"/>
        <v>761000</v>
      </c>
      <c r="L75" s="339"/>
      <c r="M75" s="339"/>
      <c r="N75" s="366"/>
      <c r="O75" s="341"/>
      <c r="P75" s="394"/>
      <c r="Q75" s="341"/>
    </row>
    <row r="76" spans="1:17" s="362" customFormat="1">
      <c r="A76" s="333"/>
      <c r="B76" s="534">
        <v>13</v>
      </c>
      <c r="C76" s="535" t="s">
        <v>217</v>
      </c>
      <c r="D76" s="355" t="str">
        <f ca="1">IF(ISERROR(OFFSET('HARGA SATUAN'!$D$6,MATCH(RAB!C76,'HARGA SATUAN'!$C$7:$C$1492,0),0)),"",OFFSET('HARGA SATUAN'!$D$6,MATCH(RAB!C76,'HARGA SATUAN'!$C$7:$C$1492,0),0))</f>
        <v>HDW</v>
      </c>
      <c r="E76" s="356" t="str">
        <f ca="1">IF(B76="+","Unit",IF(ISERROR(OFFSET('HARGA SATUAN'!$E$6,MATCH(RAB!C76,'HARGA SATUAN'!$C$7:$C$1492,0),0)),"",OFFSET('HARGA SATUAN'!$E$6,MATCH(RAB!C76,'HARGA SATUAN'!$C$7:$C$1492,0),0)))</f>
        <v>Bh</v>
      </c>
      <c r="F76" s="537">
        <f>F63*3</f>
        <v>3</v>
      </c>
      <c r="G76" s="357">
        <f ca="1">IF(ISERROR(OFFSET('HARGA SATUAN'!$I$6,MATCH(RAB!C76,'HARGA SATUAN'!$C$7:$C$1492,0),0)),0,OFFSET('HARGA SATUAN'!$I$6,MATCH(RAB!C76,'HARGA SATUAN'!$C$7:$C$1492,0),0))</f>
        <v>11400</v>
      </c>
      <c r="H76" s="358">
        <f t="shared" ca="1" si="20"/>
        <v>0</v>
      </c>
      <c r="I76" s="358">
        <f t="shared" ca="1" si="21"/>
        <v>34200</v>
      </c>
      <c r="J76" s="358">
        <f t="shared" ca="1" si="22"/>
        <v>0</v>
      </c>
      <c r="K76" s="359">
        <f t="shared" ca="1" si="23"/>
        <v>34200</v>
      </c>
      <c r="L76" s="339"/>
      <c r="M76" s="339"/>
      <c r="N76" s="366"/>
      <c r="O76" s="341"/>
      <c r="P76" s="394"/>
      <c r="Q76" s="341"/>
    </row>
    <row r="77" spans="1:17" s="362" customFormat="1">
      <c r="A77" s="333"/>
      <c r="B77" s="534">
        <v>14</v>
      </c>
      <c r="C77" s="535" t="s">
        <v>218</v>
      </c>
      <c r="D77" s="355" t="str">
        <f ca="1">IF(ISERROR(OFFSET('HARGA SATUAN'!$D$6,MATCH(RAB!C77,'HARGA SATUAN'!$C$7:$C$1492,0),0)),"",OFFSET('HARGA SATUAN'!$D$6,MATCH(RAB!C77,'HARGA SATUAN'!$C$7:$C$1492,0),0))</f>
        <v>HDW</v>
      </c>
      <c r="E77" s="356" t="str">
        <f ca="1">IF(B77="+","Unit",IF(ISERROR(OFFSET('HARGA SATUAN'!$E$6,MATCH(RAB!C77,'HARGA SATUAN'!$C$7:$C$1492,0),0)),"",OFFSET('HARGA SATUAN'!$E$6,MATCH(RAB!C77,'HARGA SATUAN'!$C$7:$C$1492,0),0)))</f>
        <v>Bh</v>
      </c>
      <c r="F77" s="537">
        <f>F63*4</f>
        <v>4</v>
      </c>
      <c r="G77" s="357">
        <f ca="1">IF(ISERROR(OFFSET('HARGA SATUAN'!$I$6,MATCH(RAB!C77,'HARGA SATUAN'!$C$7:$C$1492,0),0)),0,OFFSET('HARGA SATUAN'!$I$6,MATCH(RAB!C77,'HARGA SATUAN'!$C$7:$C$1492,0),0))</f>
        <v>29600</v>
      </c>
      <c r="H77" s="358">
        <f t="shared" ca="1" si="20"/>
        <v>0</v>
      </c>
      <c r="I77" s="358">
        <f t="shared" ca="1" si="21"/>
        <v>118400</v>
      </c>
      <c r="J77" s="358">
        <f t="shared" ca="1" si="22"/>
        <v>0</v>
      </c>
      <c r="K77" s="359">
        <f t="shared" ca="1" si="23"/>
        <v>118400</v>
      </c>
      <c r="L77" s="339"/>
      <c r="M77" s="339"/>
      <c r="N77" s="366"/>
      <c r="O77" s="341"/>
      <c r="P77" s="394"/>
      <c r="Q77" s="341"/>
    </row>
    <row r="78" spans="1:17" s="362" customFormat="1">
      <c r="A78" s="333"/>
      <c r="B78" s="534">
        <v>15</v>
      </c>
      <c r="C78" s="535" t="s">
        <v>223</v>
      </c>
      <c r="D78" s="355" t="str">
        <f ca="1">IF(ISERROR(OFFSET('HARGA SATUAN'!$D$6,MATCH(RAB!C78,'HARGA SATUAN'!$C$7:$C$1492,0),0)),"",OFFSET('HARGA SATUAN'!$D$6,MATCH(RAB!C78,'HARGA SATUAN'!$C$7:$C$1492,0),0))</f>
        <v>HDW</v>
      </c>
      <c r="E78" s="356" t="str">
        <f ca="1">IF(B78="+","Unit",IF(ISERROR(OFFSET('HARGA SATUAN'!$E$6,MATCH(RAB!C78,'HARGA SATUAN'!$C$7:$C$1492,0),0)),"",OFFSET('HARGA SATUAN'!$E$6,MATCH(RAB!C78,'HARGA SATUAN'!$C$7:$C$1492,0),0)))</f>
        <v>Bh</v>
      </c>
      <c r="F78" s="537">
        <f>F63*3</f>
        <v>3</v>
      </c>
      <c r="G78" s="357">
        <f ca="1">IF(ISERROR(OFFSET('HARGA SATUAN'!$I$6,MATCH(RAB!C78,'HARGA SATUAN'!$C$7:$C$1492,0),0)),0,OFFSET('HARGA SATUAN'!$I$6,MATCH(RAB!C78,'HARGA SATUAN'!$C$7:$C$1492,0),0))</f>
        <v>27815</v>
      </c>
      <c r="H78" s="358">
        <f t="shared" ca="1" si="20"/>
        <v>0</v>
      </c>
      <c r="I78" s="358">
        <f t="shared" ca="1" si="21"/>
        <v>83445</v>
      </c>
      <c r="J78" s="358">
        <f t="shared" ca="1" si="22"/>
        <v>0</v>
      </c>
      <c r="K78" s="359">
        <f t="shared" ca="1" si="23"/>
        <v>83445</v>
      </c>
      <c r="L78" s="339"/>
      <c r="M78" s="339"/>
      <c r="N78" s="366"/>
      <c r="O78" s="341"/>
      <c r="P78" s="394"/>
      <c r="Q78" s="341"/>
    </row>
    <row r="79" spans="1:17" s="362" customFormat="1">
      <c r="A79" s="333"/>
      <c r="B79" s="534">
        <v>16</v>
      </c>
      <c r="C79" s="535" t="s">
        <v>25</v>
      </c>
      <c r="D79" s="355" t="str">
        <f ca="1">IF(ISERROR(OFFSET('HARGA SATUAN'!$D$6,MATCH(RAB!C79,'HARGA SATUAN'!$C$7:$C$1492,0),0)),"",OFFSET('HARGA SATUAN'!$D$6,MATCH(RAB!C79,'HARGA SATUAN'!$C$7:$C$1492,0),0))</f>
        <v>HDW</v>
      </c>
      <c r="E79" s="356" t="str">
        <f ca="1">IF(B79="+","Unit",IF(ISERROR(OFFSET('HARGA SATUAN'!$E$6,MATCH(RAB!C79,'HARGA SATUAN'!$C$7:$C$1492,0),0)),"",OFFSET('HARGA SATUAN'!$E$6,MATCH(RAB!C79,'HARGA SATUAN'!$C$7:$C$1492,0),0)))</f>
        <v>Bh</v>
      </c>
      <c r="F79" s="537">
        <f>F63*9</f>
        <v>9</v>
      </c>
      <c r="G79" s="357">
        <f ca="1">IF(ISERROR(OFFSET('HARGA SATUAN'!$I$6,MATCH(RAB!C79,'HARGA SATUAN'!$C$7:$C$1492,0),0)),0,OFFSET('HARGA SATUAN'!$I$6,MATCH(RAB!C79,'HARGA SATUAN'!$C$7:$C$1492,0),0))</f>
        <v>23936</v>
      </c>
      <c r="H79" s="358">
        <f t="shared" ca="1" si="20"/>
        <v>0</v>
      </c>
      <c r="I79" s="358">
        <f t="shared" ca="1" si="21"/>
        <v>215424</v>
      </c>
      <c r="J79" s="358">
        <f t="shared" ca="1" si="22"/>
        <v>0</v>
      </c>
      <c r="K79" s="359">
        <f t="shared" ca="1" si="23"/>
        <v>215424</v>
      </c>
      <c r="L79" s="339"/>
      <c r="M79" s="339"/>
      <c r="N79" s="366"/>
      <c r="O79" s="341"/>
      <c r="P79" s="394"/>
      <c r="Q79" s="341"/>
    </row>
    <row r="80" spans="1:17" s="362" customFormat="1">
      <c r="A80" s="333"/>
      <c r="B80" s="534">
        <v>17</v>
      </c>
      <c r="C80" s="535" t="s">
        <v>37</v>
      </c>
      <c r="D80" s="355" t="str">
        <f ca="1">IF(ISERROR(OFFSET('HARGA SATUAN'!$D$6,MATCH(RAB!C80,'HARGA SATUAN'!$C$7:$C$1492,0),0)),"",OFFSET('HARGA SATUAN'!$D$6,MATCH(RAB!C80,'HARGA SATUAN'!$C$7:$C$1492,0),0))</f>
        <v>HDW</v>
      </c>
      <c r="E80" s="356" t="str">
        <f ca="1">IF(B80="+","Unit",IF(ISERROR(OFFSET('HARGA SATUAN'!$E$6,MATCH(RAB!C80,'HARGA SATUAN'!$C$7:$C$1492,0),0)),"",OFFSET('HARGA SATUAN'!$E$6,MATCH(RAB!C80,'HARGA SATUAN'!$C$7:$C$1492,0),0)))</f>
        <v>Bh</v>
      </c>
      <c r="F80" s="537">
        <f>F63*1</f>
        <v>1</v>
      </c>
      <c r="G80" s="357">
        <f ca="1">IF(ISERROR(OFFSET('HARGA SATUAN'!$I$6,MATCH(RAB!C80,'HARGA SATUAN'!$C$7:$C$1492,0),0)),0,OFFSET('HARGA SATUAN'!$I$6,MATCH(RAB!C80,'HARGA SATUAN'!$C$7:$C$1492,0),0))</f>
        <v>63500</v>
      </c>
      <c r="H80" s="358">
        <f t="shared" ca="1" si="20"/>
        <v>0</v>
      </c>
      <c r="I80" s="358">
        <f t="shared" ca="1" si="21"/>
        <v>63500</v>
      </c>
      <c r="J80" s="358">
        <f t="shared" ca="1" si="22"/>
        <v>0</v>
      </c>
      <c r="K80" s="359">
        <f t="shared" ca="1" si="23"/>
        <v>63500</v>
      </c>
      <c r="L80" s="339"/>
      <c r="M80" s="339"/>
      <c r="N80" s="366"/>
      <c r="O80" s="341"/>
      <c r="P80" s="394"/>
      <c r="Q80" s="341"/>
    </row>
    <row r="81" spans="1:17" s="362" customFormat="1">
      <c r="A81" s="333"/>
      <c r="B81" s="534">
        <v>18</v>
      </c>
      <c r="C81" s="535" t="s">
        <v>27</v>
      </c>
      <c r="D81" s="355" t="str">
        <f ca="1">IF(ISERROR(OFFSET('HARGA SATUAN'!$D$6,MATCH(RAB!C81,'HARGA SATUAN'!$C$7:$C$1492,0),0)),"",OFFSET('HARGA SATUAN'!$D$6,MATCH(RAB!C81,'HARGA SATUAN'!$C$7:$C$1492,0),0))</f>
        <v>HDW</v>
      </c>
      <c r="E81" s="356" t="str">
        <f ca="1">IF(B81="+","Unit",IF(ISERROR(OFFSET('HARGA SATUAN'!$E$6,MATCH(RAB!C81,'HARGA SATUAN'!$C$7:$C$1492,0),0)),"",OFFSET('HARGA SATUAN'!$E$6,MATCH(RAB!C81,'HARGA SATUAN'!$C$7:$C$1492,0),0)))</f>
        <v>Bh</v>
      </c>
      <c r="F81" s="537">
        <f>F63*8</f>
        <v>8</v>
      </c>
      <c r="G81" s="357">
        <f ca="1">IF(ISERROR(OFFSET('HARGA SATUAN'!$I$6,MATCH(RAB!C81,'HARGA SATUAN'!$C$7:$C$1492,0),0)),0,OFFSET('HARGA SATUAN'!$I$6,MATCH(RAB!C81,'HARGA SATUAN'!$C$7:$C$1492,0),0))</f>
        <v>16000</v>
      </c>
      <c r="H81" s="358">
        <f t="shared" ca="1" si="20"/>
        <v>0</v>
      </c>
      <c r="I81" s="358">
        <f t="shared" ca="1" si="21"/>
        <v>128000</v>
      </c>
      <c r="J81" s="358">
        <f t="shared" ca="1" si="22"/>
        <v>0</v>
      </c>
      <c r="K81" s="359">
        <f t="shared" ca="1" si="23"/>
        <v>128000</v>
      </c>
      <c r="L81" s="339"/>
      <c r="M81" s="339"/>
      <c r="N81" s="366"/>
      <c r="O81" s="341"/>
      <c r="P81" s="394"/>
      <c r="Q81" s="341"/>
    </row>
    <row r="82" spans="1:17" s="362" customFormat="1">
      <c r="A82" s="333"/>
      <c r="B82" s="534">
        <v>19</v>
      </c>
      <c r="C82" s="535" t="s">
        <v>265</v>
      </c>
      <c r="D82" s="355" t="str">
        <f ca="1">IF(ISERROR(OFFSET('HARGA SATUAN'!$D$6,MATCH(RAB!C82,'HARGA SATUAN'!$C$7:$C$1492,0),0)),"",OFFSET('HARGA SATUAN'!$D$6,MATCH(RAB!C82,'HARGA SATUAN'!$C$7:$C$1492,0),0))</f>
        <v>HDW</v>
      </c>
      <c r="E82" s="356" t="str">
        <f ca="1">IF(B82="+","Unit",IF(ISERROR(OFFSET('HARGA SATUAN'!$E$6,MATCH(RAB!C82,'HARGA SATUAN'!$C$7:$C$1492,0),0)),"",OFFSET('HARGA SATUAN'!$E$6,MATCH(RAB!C82,'HARGA SATUAN'!$C$7:$C$1492,0),0)))</f>
        <v>Bh</v>
      </c>
      <c r="F82" s="537">
        <f>F63*2</f>
        <v>2</v>
      </c>
      <c r="G82" s="357">
        <f ca="1">IF(ISERROR(OFFSET('HARGA SATUAN'!$I$6,MATCH(RAB!C82,'HARGA SATUAN'!$C$7:$C$1492,0),0)),0,OFFSET('HARGA SATUAN'!$I$6,MATCH(RAB!C82,'HARGA SATUAN'!$C$7:$C$1492,0),0))</f>
        <v>33501.866666666669</v>
      </c>
      <c r="H82" s="358">
        <f t="shared" ca="1" si="20"/>
        <v>0</v>
      </c>
      <c r="I82" s="358">
        <f t="shared" ca="1" si="21"/>
        <v>67003.733333333337</v>
      </c>
      <c r="J82" s="358">
        <f t="shared" ca="1" si="22"/>
        <v>0</v>
      </c>
      <c r="K82" s="359">
        <f t="shared" ca="1" si="23"/>
        <v>67003.733333333337</v>
      </c>
      <c r="L82" s="339"/>
      <c r="M82" s="339"/>
      <c r="N82" s="366"/>
      <c r="O82" s="341"/>
      <c r="P82" s="394"/>
      <c r="Q82" s="341"/>
    </row>
    <row r="83" spans="1:17" s="362" customFormat="1">
      <c r="A83" s="333"/>
      <c r="B83" s="534">
        <v>20</v>
      </c>
      <c r="C83" s="535" t="s">
        <v>38</v>
      </c>
      <c r="D83" s="355" t="str">
        <f ca="1">IF(ISERROR(OFFSET('HARGA SATUAN'!$D$6,MATCH(RAB!C83,'HARGA SATUAN'!$C$7:$C$1492,0),0)),"",OFFSET('HARGA SATUAN'!$D$6,MATCH(RAB!C83,'HARGA SATUAN'!$C$7:$C$1492,0),0))</f>
        <v>HDW</v>
      </c>
      <c r="E83" s="356" t="str">
        <f ca="1">IF(B83="+","Unit",IF(ISERROR(OFFSET('HARGA SATUAN'!$E$6,MATCH(RAB!C83,'HARGA SATUAN'!$C$7:$C$1492,0),0)),"",OFFSET('HARGA SATUAN'!$E$6,MATCH(RAB!C83,'HARGA SATUAN'!$C$7:$C$1492,0),0)))</f>
        <v>Mtr</v>
      </c>
      <c r="F83" s="537">
        <f>5.4*F63</f>
        <v>5.4</v>
      </c>
      <c r="G83" s="357">
        <f ca="1">IF(ISERROR(OFFSET('HARGA SATUAN'!$I$6,MATCH(RAB!C83,'HARGA SATUAN'!$C$7:$C$1492,0),0)),0,OFFSET('HARGA SATUAN'!$I$6,MATCH(RAB!C83,'HARGA SATUAN'!$C$7:$C$1492,0),0))</f>
        <v>8550</v>
      </c>
      <c r="H83" s="358">
        <f t="shared" ca="1" si="20"/>
        <v>0</v>
      </c>
      <c r="I83" s="358">
        <f t="shared" ca="1" si="21"/>
        <v>46170</v>
      </c>
      <c r="J83" s="358">
        <f t="shared" ca="1" si="22"/>
        <v>0</v>
      </c>
      <c r="K83" s="359">
        <f t="shared" ca="1" si="23"/>
        <v>46170</v>
      </c>
      <c r="L83" s="339"/>
      <c r="M83" s="339"/>
      <c r="N83" s="366"/>
      <c r="O83" s="341"/>
      <c r="P83" s="394"/>
      <c r="Q83" s="341"/>
    </row>
    <row r="84" spans="1:17" s="362" customFormat="1">
      <c r="A84" s="333"/>
      <c r="B84" s="534">
        <v>21</v>
      </c>
      <c r="C84" s="535" t="s">
        <v>26</v>
      </c>
      <c r="D84" s="355" t="str">
        <f ca="1">IF(ISERROR(OFFSET('HARGA SATUAN'!$D$6,MATCH(RAB!C84,'HARGA SATUAN'!$C$7:$C$1492,0),0)),"",OFFSET('HARGA SATUAN'!$D$6,MATCH(RAB!C84,'HARGA SATUAN'!$C$7:$C$1492,0),0))</f>
        <v>HDW</v>
      </c>
      <c r="E84" s="356" t="str">
        <f ca="1">IF(B84="+","Unit",IF(ISERROR(OFFSET('HARGA SATUAN'!$E$6,MATCH(RAB!C84,'HARGA SATUAN'!$C$7:$C$1492,0),0)),"",OFFSET('HARGA SATUAN'!$E$6,MATCH(RAB!C84,'HARGA SATUAN'!$C$7:$C$1492,0),0)))</f>
        <v>Bh</v>
      </c>
      <c r="F84" s="537">
        <f>F63*13</f>
        <v>13</v>
      </c>
      <c r="G84" s="357">
        <f ca="1">IF(ISERROR(OFFSET('HARGA SATUAN'!$I$6,MATCH(RAB!C84,'HARGA SATUAN'!$C$7:$C$1492,0),0)),0,OFFSET('HARGA SATUAN'!$I$6,MATCH(RAB!C84,'HARGA SATUAN'!$C$7:$C$1492,0),0))</f>
        <v>2500</v>
      </c>
      <c r="H84" s="358">
        <f t="shared" ca="1" si="20"/>
        <v>0</v>
      </c>
      <c r="I84" s="358">
        <f t="shared" ca="1" si="21"/>
        <v>32500</v>
      </c>
      <c r="J84" s="358">
        <f t="shared" ca="1" si="22"/>
        <v>0</v>
      </c>
      <c r="K84" s="359">
        <f t="shared" ca="1" si="23"/>
        <v>32500</v>
      </c>
      <c r="L84" s="339"/>
      <c r="M84" s="339"/>
      <c r="N84" s="366"/>
      <c r="O84" s="341"/>
      <c r="P84" s="394"/>
      <c r="Q84" s="341"/>
    </row>
    <row r="85" spans="1:17" s="362" customFormat="1">
      <c r="A85" s="333"/>
      <c r="B85" s="534">
        <v>22</v>
      </c>
      <c r="C85" s="533" t="s">
        <v>708</v>
      </c>
      <c r="D85" s="355" t="str">
        <f ca="1">IF(ISERROR(OFFSET('HARGA SATUAN'!$D$6,MATCH(RAB!C85,'HARGA SATUAN'!$C$7:$C$1492,0),0)),"",OFFSET('HARGA SATUAN'!$D$6,MATCH(RAB!C85,'HARGA SATUAN'!$C$7:$C$1492,0),0))</f>
        <v>JASA</v>
      </c>
      <c r="E85" s="356" t="str">
        <f ca="1">IF(B85="+","Unit",IF(ISERROR(OFFSET('HARGA SATUAN'!$E$6,MATCH(RAB!C85,'HARGA SATUAN'!$C$7:$C$1492,0),0)),"",OFFSET('HARGA SATUAN'!$E$6,MATCH(RAB!C85,'HARGA SATUAN'!$C$7:$C$1492,0),0)))</f>
        <v>Unit</v>
      </c>
      <c r="F85" s="537">
        <f>F63*1</f>
        <v>1</v>
      </c>
      <c r="G85" s="357">
        <f ca="1">IF(ISERROR(OFFSET('HARGA SATUAN'!$I$6,MATCH(RAB!C85,'HARGA SATUAN'!$C$7:$C$1492,0),0)),0,OFFSET('HARGA SATUAN'!$I$6,MATCH(RAB!C85,'HARGA SATUAN'!$C$7:$C$1492,0),0))</f>
        <v>254900</v>
      </c>
      <c r="H85" s="358">
        <f t="shared" ca="1" si="20"/>
        <v>0</v>
      </c>
      <c r="I85" s="358">
        <f t="shared" ca="1" si="21"/>
        <v>0</v>
      </c>
      <c r="J85" s="358">
        <f t="shared" ca="1" si="22"/>
        <v>254900</v>
      </c>
      <c r="K85" s="359">
        <f t="shared" ca="1" si="23"/>
        <v>254900</v>
      </c>
      <c r="L85" s="339"/>
      <c r="M85" s="339"/>
      <c r="N85" s="366"/>
      <c r="O85" s="341"/>
      <c r="P85" s="394"/>
      <c r="Q85" s="341"/>
    </row>
    <row r="86" spans="1:17" s="362" customFormat="1">
      <c r="A86" s="333"/>
      <c r="B86" s="506"/>
      <c r="C86" s="507"/>
      <c r="D86" s="355" t="str">
        <f ca="1">IF(ISERROR(OFFSET('HARGA SATUAN'!$D$6,MATCH(RAB!C86,'HARGA SATUAN'!$C$7:$C$1492,0),0)),"",OFFSET('HARGA SATUAN'!$D$6,MATCH(RAB!C86,'HARGA SATUAN'!$C$7:$C$1492,0),0))</f>
        <v/>
      </c>
      <c r="E86" s="356" t="str">
        <f ca="1">IF(B86="+","Unit",IF(ISERROR(OFFSET('HARGA SATUAN'!$E$6,MATCH(RAB!C86,'HARGA SATUAN'!$C$7:$C$1492,0),0)),"",OFFSET('HARGA SATUAN'!$E$6,MATCH(RAB!C86,'HARGA SATUAN'!$C$7:$C$1492,0),0)))</f>
        <v/>
      </c>
      <c r="F86" s="494"/>
      <c r="G86" s="357">
        <f ca="1">IF(ISERROR(OFFSET('HARGA SATUAN'!$I$6,MATCH(RAB!C86,'HARGA SATUAN'!$C$7:$C$1492,0),0)),0,OFFSET('HARGA SATUAN'!$I$6,MATCH(RAB!C86,'HARGA SATUAN'!$C$7:$C$1492,0),0))</f>
        <v>0</v>
      </c>
      <c r="H86" s="358">
        <f t="shared" ca="1" si="20"/>
        <v>0</v>
      </c>
      <c r="I86" s="358">
        <f t="shared" ca="1" si="21"/>
        <v>0</v>
      </c>
      <c r="J86" s="358">
        <f t="shared" ca="1" si="22"/>
        <v>0</v>
      </c>
      <c r="K86" s="359">
        <f t="shared" ca="1" si="23"/>
        <v>0</v>
      </c>
      <c r="L86" s="339"/>
      <c r="M86" s="339"/>
      <c r="N86" s="366"/>
      <c r="O86" s="341"/>
      <c r="P86" s="394"/>
      <c r="Q86" s="341"/>
    </row>
    <row r="87" spans="1:17" s="362" customFormat="1">
      <c r="A87" s="333"/>
      <c r="B87" s="532" t="s">
        <v>1035</v>
      </c>
      <c r="C87" s="535" t="s">
        <v>1658</v>
      </c>
      <c r="D87" s="355" t="str">
        <f ca="1">IF(ISERROR(OFFSET('HARGA SATUAN'!$D$6,MATCH(RAB!C87,'HARGA SATUAN'!$C$7:$C$1492,0),0)),"",OFFSET('HARGA SATUAN'!$D$6,MATCH(RAB!C87,'HARGA SATUAN'!$C$7:$C$1492,0),0))</f>
        <v/>
      </c>
      <c r="E87" s="356" t="str">
        <f ca="1">IF(B87="+","Unit",IF(ISERROR(OFFSET('HARGA SATUAN'!$E$6,MATCH(RAB!C87,'HARGA SATUAN'!$C$7:$C$1492,0),0)),"",OFFSET('HARGA SATUAN'!$E$6,MATCH(RAB!C87,'HARGA SATUAN'!$C$7:$C$1492,0),0)))</f>
        <v>Unit</v>
      </c>
      <c r="F87" s="537">
        <v>1</v>
      </c>
      <c r="G87" s="357">
        <f ca="1">IF(ISERROR(OFFSET('HARGA SATUAN'!$I$6,MATCH(RAB!C87,'HARGA SATUAN'!$C$7:$C$1492,0),0)),0,OFFSET('HARGA SATUAN'!$I$6,MATCH(RAB!C87,'HARGA SATUAN'!$C$7:$C$1492,0),0))</f>
        <v>0</v>
      </c>
      <c r="H87" s="358">
        <f t="shared" ca="1" si="20"/>
        <v>0</v>
      </c>
      <c r="I87" s="358">
        <f t="shared" ca="1" si="21"/>
        <v>0</v>
      </c>
      <c r="J87" s="358">
        <f t="shared" ca="1" si="22"/>
        <v>0</v>
      </c>
      <c r="K87" s="359">
        <f t="shared" ca="1" si="23"/>
        <v>0</v>
      </c>
      <c r="L87" s="339"/>
      <c r="M87" s="339"/>
      <c r="N87" s="366"/>
      <c r="O87" s="341"/>
      <c r="P87" s="394"/>
      <c r="Q87" s="341"/>
    </row>
    <row r="88" spans="1:17" s="362" customFormat="1">
      <c r="A88" s="333"/>
      <c r="B88" s="534">
        <v>1</v>
      </c>
      <c r="C88" s="109" t="s">
        <v>1129</v>
      </c>
      <c r="D88" s="355" t="str">
        <f ca="1">IF(ISERROR(OFFSET('HARGA SATUAN'!$D$6,MATCH(RAB!C88,'HARGA SATUAN'!$C$7:$C$1492,0),0)),"",OFFSET('HARGA SATUAN'!$D$6,MATCH(RAB!C88,'HARGA SATUAN'!$C$7:$C$1492,0),0))</f>
        <v>MDU-KD</v>
      </c>
      <c r="E88" s="356" t="str">
        <f ca="1">IF(B88="+","Unit",IF(ISERROR(OFFSET('HARGA SATUAN'!$E$6,MATCH(RAB!C88,'HARGA SATUAN'!$C$7:$C$1492,0),0)),"",OFFSET('HARGA SATUAN'!$E$6,MATCH(RAB!C88,'HARGA SATUAN'!$C$7:$C$1492,0),0)))</f>
        <v>Bh</v>
      </c>
      <c r="F88" s="537">
        <f>F87*1</f>
        <v>1</v>
      </c>
      <c r="G88" s="357">
        <f ca="1">IF(ISERROR(OFFSET('HARGA SATUAN'!$I$6,MATCH(RAB!C88,'HARGA SATUAN'!$C$7:$C$1492,0),0)),0,OFFSET('HARGA SATUAN'!$I$6,MATCH(RAB!C88,'HARGA SATUAN'!$C$7:$C$1492,0),0))</f>
        <v>176900</v>
      </c>
      <c r="H88" s="358">
        <f t="shared" ca="1" si="20"/>
        <v>176900</v>
      </c>
      <c r="I88" s="358">
        <f t="shared" ca="1" si="21"/>
        <v>0</v>
      </c>
      <c r="J88" s="358">
        <f t="shared" ca="1" si="22"/>
        <v>0</v>
      </c>
      <c r="K88" s="359">
        <f t="shared" ca="1" si="23"/>
        <v>176900</v>
      </c>
      <c r="L88" s="339"/>
      <c r="M88" s="339"/>
      <c r="N88" s="366"/>
      <c r="O88" s="341"/>
      <c r="P88" s="394"/>
      <c r="Q88" s="341"/>
    </row>
    <row r="89" spans="1:17" s="362" customFormat="1">
      <c r="A89" s="333"/>
      <c r="B89" s="534">
        <v>2</v>
      </c>
      <c r="C89" s="109" t="s">
        <v>1129</v>
      </c>
      <c r="D89" s="355" t="str">
        <f ca="1">IF(ISERROR(OFFSET('HARGA SATUAN'!$D$6,MATCH(RAB!C89,'HARGA SATUAN'!$C$7:$C$1492,0),0)),"",OFFSET('HARGA SATUAN'!$D$6,MATCH(RAB!C89,'HARGA SATUAN'!$C$7:$C$1492,0),0))</f>
        <v>MDU-KD</v>
      </c>
      <c r="E89" s="356" t="str">
        <f ca="1">IF(B89="+","Unit",IF(ISERROR(OFFSET('HARGA SATUAN'!$E$6,MATCH(RAB!C89,'HARGA SATUAN'!$C$7:$C$1492,0),0)),"",OFFSET('HARGA SATUAN'!$E$6,MATCH(RAB!C89,'HARGA SATUAN'!$C$7:$C$1492,0),0)))</f>
        <v>Bh</v>
      </c>
      <c r="F89" s="537">
        <f>F87*1</f>
        <v>1</v>
      </c>
      <c r="G89" s="357">
        <f ca="1">IF(ISERROR(OFFSET('HARGA SATUAN'!$I$6,MATCH(RAB!C89,'HARGA SATUAN'!$C$7:$C$1492,0),0)),0,OFFSET('HARGA SATUAN'!$I$6,MATCH(RAB!C89,'HARGA SATUAN'!$C$7:$C$1492,0),0))</f>
        <v>176900</v>
      </c>
      <c r="H89" s="358">
        <f t="shared" ca="1" si="20"/>
        <v>176900</v>
      </c>
      <c r="I89" s="358">
        <f t="shared" ca="1" si="21"/>
        <v>0</v>
      </c>
      <c r="J89" s="358">
        <f t="shared" ca="1" si="22"/>
        <v>0</v>
      </c>
      <c r="K89" s="359">
        <f t="shared" ca="1" si="23"/>
        <v>176900</v>
      </c>
      <c r="L89" s="339"/>
      <c r="M89" s="339"/>
      <c r="N89" s="366"/>
      <c r="O89" s="341"/>
      <c r="P89" s="394"/>
      <c r="Q89" s="341"/>
    </row>
    <row r="90" spans="1:17" s="362" customFormat="1">
      <c r="A90" s="333"/>
      <c r="B90" s="534">
        <v>3</v>
      </c>
      <c r="C90" s="507" t="s">
        <v>1566</v>
      </c>
      <c r="D90" s="355" t="str">
        <f ca="1">IF(ISERROR(OFFSET('HARGA SATUAN'!$D$6,MATCH(RAB!C90,'HARGA SATUAN'!$C$7:$C$1492,0),0)),"",OFFSET('HARGA SATUAN'!$D$6,MATCH(RAB!C90,'HARGA SATUAN'!$C$7:$C$1492,0),0))</f>
        <v>MDU-KD</v>
      </c>
      <c r="E90" s="356" t="str">
        <f ca="1">IF(B90="+","Unit",IF(ISERROR(OFFSET('HARGA SATUAN'!$E$6,MATCH(RAB!C90,'HARGA SATUAN'!$C$7:$C$1492,0),0)),"",OFFSET('HARGA SATUAN'!$E$6,MATCH(RAB!C90,'HARGA SATUAN'!$C$7:$C$1492,0),0)))</f>
        <v>Set</v>
      </c>
      <c r="F90" s="537">
        <f>F87*6</f>
        <v>6</v>
      </c>
      <c r="G90" s="357">
        <f ca="1">IF(ISERROR(OFFSET('HARGA SATUAN'!$I$6,MATCH(RAB!C90,'HARGA SATUAN'!$C$7:$C$1492,0),0)),0,OFFSET('HARGA SATUAN'!$I$6,MATCH(RAB!C90,'HARGA SATUAN'!$C$7:$C$1492,0),0))</f>
        <v>205700</v>
      </c>
      <c r="H90" s="358">
        <f t="shared" ca="1" si="20"/>
        <v>1234200</v>
      </c>
      <c r="I90" s="358">
        <f t="shared" ca="1" si="21"/>
        <v>0</v>
      </c>
      <c r="J90" s="358">
        <f t="shared" ca="1" si="22"/>
        <v>0</v>
      </c>
      <c r="K90" s="359">
        <f t="shared" ca="1" si="23"/>
        <v>1234200</v>
      </c>
      <c r="L90" s="339"/>
      <c r="M90" s="339"/>
      <c r="N90" s="366"/>
      <c r="O90" s="341"/>
      <c r="P90" s="394"/>
      <c r="Q90" s="341"/>
    </row>
    <row r="91" spans="1:17" s="362" customFormat="1">
      <c r="A91" s="333"/>
      <c r="B91" s="534">
        <v>4</v>
      </c>
      <c r="C91" s="535" t="s">
        <v>152</v>
      </c>
      <c r="D91" s="355" t="str">
        <f ca="1">IF(ISERROR(OFFSET('HARGA SATUAN'!$D$6,MATCH(RAB!C91,'HARGA SATUAN'!$C$7:$C$1492,0),0)),"",OFFSET('HARGA SATUAN'!$D$6,MATCH(RAB!C91,'HARGA SATUAN'!$C$7:$C$1492,0),0))</f>
        <v>HDW</v>
      </c>
      <c r="E91" s="356" t="str">
        <f ca="1">IF(B91="+","Unit",IF(ISERROR(OFFSET('HARGA SATUAN'!$E$6,MATCH(RAB!C91,'HARGA SATUAN'!$C$7:$C$1492,0),0)),"",OFFSET('HARGA SATUAN'!$E$6,MATCH(RAB!C91,'HARGA SATUAN'!$C$7:$C$1492,0),0)))</f>
        <v>Mtr</v>
      </c>
      <c r="F91" s="537">
        <f>F87*2</f>
        <v>2</v>
      </c>
      <c r="G91" s="357">
        <f ca="1">IF(ISERROR(OFFSET('HARGA SATUAN'!$I$6,MATCH(RAB!C91,'HARGA SATUAN'!$C$7:$C$1492,0),0)),0,OFFSET('HARGA SATUAN'!$I$6,MATCH(RAB!C91,'HARGA SATUAN'!$C$7:$C$1492,0),0))</f>
        <v>7789</v>
      </c>
      <c r="H91" s="358">
        <f t="shared" ca="1" si="20"/>
        <v>0</v>
      </c>
      <c r="I91" s="358">
        <f t="shared" ca="1" si="21"/>
        <v>15578</v>
      </c>
      <c r="J91" s="358">
        <f t="shared" ca="1" si="22"/>
        <v>0</v>
      </c>
      <c r="K91" s="359">
        <f t="shared" ca="1" si="23"/>
        <v>15578</v>
      </c>
      <c r="L91" s="339"/>
      <c r="M91" s="339"/>
      <c r="N91" s="366"/>
      <c r="O91" s="341"/>
      <c r="P91" s="394"/>
      <c r="Q91" s="341"/>
    </row>
    <row r="92" spans="1:17" s="362" customFormat="1">
      <c r="A92" s="333"/>
      <c r="B92" s="534">
        <v>5</v>
      </c>
      <c r="C92" s="535" t="s">
        <v>157</v>
      </c>
      <c r="D92" s="355" t="str">
        <f ca="1">IF(ISERROR(OFFSET('HARGA SATUAN'!$D$6,MATCH(RAB!C92,'HARGA SATUAN'!$C$7:$C$1492,0),0)),"",OFFSET('HARGA SATUAN'!$D$6,MATCH(RAB!C92,'HARGA SATUAN'!$C$7:$C$1492,0),0))</f>
        <v>HDW</v>
      </c>
      <c r="E92" s="356" t="str">
        <f ca="1">IF(B92="+","Unit",IF(ISERROR(OFFSET('HARGA SATUAN'!$E$6,MATCH(RAB!C92,'HARGA SATUAN'!$C$7:$C$1492,0),0)),"",OFFSET('HARGA SATUAN'!$E$6,MATCH(RAB!C92,'HARGA SATUAN'!$C$7:$C$1492,0),0)))</f>
        <v>Bh</v>
      </c>
      <c r="F92" s="537">
        <f>F87*4</f>
        <v>4</v>
      </c>
      <c r="G92" s="357">
        <f ca="1">IF(ISERROR(OFFSET('HARGA SATUAN'!$I$6,MATCH(RAB!C92,'HARGA SATUAN'!$C$7:$C$1492,0),0)),0,OFFSET('HARGA SATUAN'!$I$6,MATCH(RAB!C92,'HARGA SATUAN'!$C$7:$C$1492,0),0))</f>
        <v>40000</v>
      </c>
      <c r="H92" s="358">
        <f t="shared" ca="1" si="20"/>
        <v>0</v>
      </c>
      <c r="I92" s="358">
        <f t="shared" ca="1" si="21"/>
        <v>160000</v>
      </c>
      <c r="J92" s="358">
        <f t="shared" ca="1" si="22"/>
        <v>0</v>
      </c>
      <c r="K92" s="359">
        <f t="shared" ca="1" si="23"/>
        <v>160000</v>
      </c>
      <c r="L92" s="339"/>
      <c r="M92" s="339"/>
      <c r="N92" s="366"/>
      <c r="O92" s="341"/>
      <c r="P92" s="394"/>
      <c r="Q92" s="341"/>
    </row>
    <row r="93" spans="1:17" s="362" customFormat="1">
      <c r="A93" s="333"/>
      <c r="B93" s="534">
        <v>6</v>
      </c>
      <c r="C93" s="535" t="s">
        <v>163</v>
      </c>
      <c r="D93" s="355" t="str">
        <f ca="1">IF(ISERROR(OFFSET('HARGA SATUAN'!$D$6,MATCH(RAB!C93,'HARGA SATUAN'!$C$7:$C$1492,0),0)),"",OFFSET('HARGA SATUAN'!$D$6,MATCH(RAB!C93,'HARGA SATUAN'!$C$7:$C$1492,0),0))</f>
        <v>HDW</v>
      </c>
      <c r="E93" s="356" t="str">
        <f ca="1">IF(B93="+","Unit",IF(ISERROR(OFFSET('HARGA SATUAN'!$E$6,MATCH(RAB!C93,'HARGA SATUAN'!$C$7:$C$1492,0),0)),"",OFFSET('HARGA SATUAN'!$E$6,MATCH(RAB!C93,'HARGA SATUAN'!$C$7:$C$1492,0),0)))</f>
        <v>Bh</v>
      </c>
      <c r="F93" s="537">
        <f>F87*8</f>
        <v>8</v>
      </c>
      <c r="G93" s="357">
        <f ca="1">IF(ISERROR(OFFSET('HARGA SATUAN'!$I$6,MATCH(RAB!C93,'HARGA SATUAN'!$C$7:$C$1492,0),0)),0,OFFSET('HARGA SATUAN'!$I$6,MATCH(RAB!C93,'HARGA SATUAN'!$C$7:$C$1492,0),0))</f>
        <v>7938</v>
      </c>
      <c r="H93" s="358">
        <f t="shared" ref="H93:H104" ca="1" si="24">IF(OR(D93="MDU",D93="MDU-KD"),(IF($O$3="RAB NON MDU","PLN KD",G93*F93)),0)</f>
        <v>0</v>
      </c>
      <c r="I93" s="358">
        <f t="shared" ref="I93:I104" ca="1" si="25">IF(D93="HDW",G93*F93,0)</f>
        <v>63504</v>
      </c>
      <c r="J93" s="358">
        <f t="shared" ref="J93:J104" ca="1" si="26">IF(D93="JASA",G93*F93,0)</f>
        <v>0</v>
      </c>
      <c r="K93" s="359">
        <f t="shared" ref="K93:K104" ca="1" si="27">SUM(H93:J93)</f>
        <v>63504</v>
      </c>
      <c r="L93" s="339"/>
      <c r="M93" s="339"/>
      <c r="N93" s="366"/>
      <c r="O93" s="341"/>
      <c r="P93" s="394"/>
      <c r="Q93" s="341"/>
    </row>
    <row r="94" spans="1:17" s="362" customFormat="1">
      <c r="A94" s="333"/>
      <c r="B94" s="534">
        <v>7</v>
      </c>
      <c r="C94" s="535" t="s">
        <v>28</v>
      </c>
      <c r="D94" s="355" t="str">
        <f ca="1">IF(ISERROR(OFFSET('HARGA SATUAN'!$D$6,MATCH(RAB!C94,'HARGA SATUAN'!$C$7:$C$1492,0),0)),"",OFFSET('HARGA SATUAN'!$D$6,MATCH(RAB!C94,'HARGA SATUAN'!$C$7:$C$1492,0),0))</f>
        <v>HDW</v>
      </c>
      <c r="E94" s="356" t="str">
        <f ca="1">IF(B94="+","Unit",IF(ISERROR(OFFSET('HARGA SATUAN'!$E$6,MATCH(RAB!C94,'HARGA SATUAN'!$C$7:$C$1492,0),0)),"",OFFSET('HARGA SATUAN'!$E$6,MATCH(RAB!C94,'HARGA SATUAN'!$C$7:$C$1492,0),0)))</f>
        <v>Bh</v>
      </c>
      <c r="F94" s="537">
        <f>F87*1</f>
        <v>1</v>
      </c>
      <c r="G94" s="357">
        <f ca="1">IF(ISERROR(OFFSET('HARGA SATUAN'!$I$6,MATCH(RAB!C94,'HARGA SATUAN'!$C$7:$C$1492,0),0)),0,OFFSET('HARGA SATUAN'!$I$6,MATCH(RAB!C94,'HARGA SATUAN'!$C$7:$C$1492,0),0))</f>
        <v>26500</v>
      </c>
      <c r="H94" s="358">
        <f t="shared" ca="1" si="24"/>
        <v>0</v>
      </c>
      <c r="I94" s="358">
        <f t="shared" ca="1" si="25"/>
        <v>26500</v>
      </c>
      <c r="J94" s="358">
        <f t="shared" ca="1" si="26"/>
        <v>0</v>
      </c>
      <c r="K94" s="359">
        <f t="shared" ca="1" si="27"/>
        <v>26500</v>
      </c>
      <c r="L94" s="339"/>
      <c r="M94" s="339"/>
      <c r="N94" s="366"/>
      <c r="O94" s="341"/>
      <c r="P94" s="394"/>
      <c r="Q94" s="341"/>
    </row>
    <row r="95" spans="1:17" s="362" customFormat="1">
      <c r="A95" s="333"/>
      <c r="B95" s="534">
        <v>8</v>
      </c>
      <c r="C95" s="535" t="s">
        <v>173</v>
      </c>
      <c r="D95" s="355" t="str">
        <f ca="1">IF(ISERROR(OFFSET('HARGA SATUAN'!$D$6,MATCH(RAB!C95,'HARGA SATUAN'!$C$7:$C$1492,0),0)),"",OFFSET('HARGA SATUAN'!$D$6,MATCH(RAB!C95,'HARGA SATUAN'!$C$7:$C$1492,0),0))</f>
        <v>HDW</v>
      </c>
      <c r="E95" s="356" t="str">
        <f ca="1">IF(B95="+","Unit",IF(ISERROR(OFFSET('HARGA SATUAN'!$E$6,MATCH(RAB!C95,'HARGA SATUAN'!$C$7:$C$1492,0),0)),"",OFFSET('HARGA SATUAN'!$E$6,MATCH(RAB!C95,'HARGA SATUAN'!$C$7:$C$1492,0),0)))</f>
        <v>Bh</v>
      </c>
      <c r="F95" s="537">
        <f>F87*8</f>
        <v>8</v>
      </c>
      <c r="G95" s="357">
        <f ca="1">IF(ISERROR(OFFSET('HARGA SATUAN'!$I$6,MATCH(RAB!C95,'HARGA SATUAN'!$C$7:$C$1492,0),0)),0,OFFSET('HARGA SATUAN'!$I$6,MATCH(RAB!C95,'HARGA SATUAN'!$C$7:$C$1492,0),0))</f>
        <v>45000</v>
      </c>
      <c r="H95" s="358">
        <f t="shared" ca="1" si="24"/>
        <v>0</v>
      </c>
      <c r="I95" s="358">
        <f t="shared" ca="1" si="25"/>
        <v>360000</v>
      </c>
      <c r="J95" s="358">
        <f t="shared" ca="1" si="26"/>
        <v>0</v>
      </c>
      <c r="K95" s="359">
        <f t="shared" ca="1" si="27"/>
        <v>360000</v>
      </c>
      <c r="L95" s="339"/>
      <c r="M95" s="339"/>
      <c r="N95" s="366"/>
      <c r="O95" s="341"/>
      <c r="P95" s="394"/>
      <c r="Q95" s="341"/>
    </row>
    <row r="96" spans="1:17" s="362" customFormat="1">
      <c r="A96" s="333"/>
      <c r="B96" s="534">
        <v>9</v>
      </c>
      <c r="C96" s="535" t="s">
        <v>179</v>
      </c>
      <c r="D96" s="355" t="str">
        <f ca="1">IF(ISERROR(OFFSET('HARGA SATUAN'!$D$6,MATCH(RAB!C96,'HARGA SATUAN'!$C$7:$C$1492,0),0)),"",OFFSET('HARGA SATUAN'!$D$6,MATCH(RAB!C96,'HARGA SATUAN'!$C$7:$C$1492,0),0))</f>
        <v>HDW</v>
      </c>
      <c r="E96" s="356" t="str">
        <f ca="1">IF(B96="+","Unit",IF(ISERROR(OFFSET('HARGA SATUAN'!$E$6,MATCH(RAB!C96,'HARGA SATUAN'!$C$7:$C$1492,0),0)),"",OFFSET('HARGA SATUAN'!$E$6,MATCH(RAB!C96,'HARGA SATUAN'!$C$7:$C$1492,0),0)))</f>
        <v>Bh</v>
      </c>
      <c r="F96" s="537">
        <f>F87*2</f>
        <v>2</v>
      </c>
      <c r="G96" s="357">
        <f ca="1">IF(ISERROR(OFFSET('HARGA SATUAN'!$I$6,MATCH(RAB!C96,'HARGA SATUAN'!$C$7:$C$1492,0),0)),0,OFFSET('HARGA SATUAN'!$I$6,MATCH(RAB!C96,'HARGA SATUAN'!$C$7:$C$1492,0),0))</f>
        <v>15500</v>
      </c>
      <c r="H96" s="358">
        <f t="shared" ca="1" si="24"/>
        <v>0</v>
      </c>
      <c r="I96" s="358">
        <f t="shared" ca="1" si="25"/>
        <v>31000</v>
      </c>
      <c r="J96" s="358">
        <f t="shared" ca="1" si="26"/>
        <v>0</v>
      </c>
      <c r="K96" s="359">
        <f t="shared" ca="1" si="27"/>
        <v>31000</v>
      </c>
      <c r="L96" s="339"/>
      <c r="M96" s="339"/>
      <c r="N96" s="366"/>
      <c r="O96" s="341"/>
      <c r="P96" s="394"/>
      <c r="Q96" s="341"/>
    </row>
    <row r="97" spans="1:17" s="362" customFormat="1">
      <c r="A97" s="333"/>
      <c r="B97" s="534">
        <v>10</v>
      </c>
      <c r="C97" s="535" t="s">
        <v>181</v>
      </c>
      <c r="D97" s="355" t="str">
        <f ca="1">IF(ISERROR(OFFSET('HARGA SATUAN'!$D$6,MATCH(RAB!C97,'HARGA SATUAN'!$C$7:$C$1492,0),0)),"",OFFSET('HARGA SATUAN'!$D$6,MATCH(RAB!C97,'HARGA SATUAN'!$C$7:$C$1492,0),0))</f>
        <v>HDW</v>
      </c>
      <c r="E97" s="356" t="str">
        <f ca="1">IF(B97="+","Unit",IF(ISERROR(OFFSET('HARGA SATUAN'!$E$6,MATCH(RAB!C97,'HARGA SATUAN'!$C$7:$C$1492,0),0)),"",OFFSET('HARGA SATUAN'!$E$6,MATCH(RAB!C97,'HARGA SATUAN'!$C$7:$C$1492,0),0)))</f>
        <v>Bh</v>
      </c>
      <c r="F97" s="537">
        <f>F87*4</f>
        <v>4</v>
      </c>
      <c r="G97" s="357">
        <f ca="1">IF(ISERROR(OFFSET('HARGA SATUAN'!$I$6,MATCH(RAB!C97,'HARGA SATUAN'!$C$7:$C$1492,0),0)),0,OFFSET('HARGA SATUAN'!$I$6,MATCH(RAB!C97,'HARGA SATUAN'!$C$7:$C$1492,0),0))</f>
        <v>28100</v>
      </c>
      <c r="H97" s="358">
        <f t="shared" ca="1" si="24"/>
        <v>0</v>
      </c>
      <c r="I97" s="358">
        <f t="shared" ca="1" si="25"/>
        <v>112400</v>
      </c>
      <c r="J97" s="358">
        <f t="shared" ca="1" si="26"/>
        <v>0</v>
      </c>
      <c r="K97" s="359">
        <f t="shared" ca="1" si="27"/>
        <v>112400</v>
      </c>
      <c r="L97" s="339"/>
      <c r="M97" s="339"/>
      <c r="N97" s="366"/>
      <c r="O97" s="341"/>
      <c r="P97" s="394"/>
      <c r="Q97" s="341"/>
    </row>
    <row r="98" spans="1:17" s="362" customFormat="1">
      <c r="A98" s="333"/>
      <c r="B98" s="534">
        <v>11</v>
      </c>
      <c r="C98" s="535" t="s">
        <v>593</v>
      </c>
      <c r="D98" s="355" t="str">
        <f ca="1">IF(ISERROR(OFFSET('HARGA SATUAN'!$D$6,MATCH(RAB!C98,'HARGA SATUAN'!$C$7:$C$1492,0),0)),"",OFFSET('HARGA SATUAN'!$D$6,MATCH(RAB!C98,'HARGA SATUAN'!$C$7:$C$1492,0),0))</f>
        <v>HDW</v>
      </c>
      <c r="E98" s="356" t="str">
        <f ca="1">IF(B98="+","Unit",IF(ISERROR(OFFSET('HARGA SATUAN'!$E$6,MATCH(RAB!C98,'HARGA SATUAN'!$C$7:$C$1492,0),0)),"",OFFSET('HARGA SATUAN'!$E$6,MATCH(RAB!C98,'HARGA SATUAN'!$C$7:$C$1492,0),0)))</f>
        <v>Bh</v>
      </c>
      <c r="F98" s="537">
        <f>F87*4</f>
        <v>4</v>
      </c>
      <c r="G98" s="357">
        <f ca="1">IF(ISERROR(OFFSET('HARGA SATUAN'!$I$6,MATCH(RAB!C98,'HARGA SATUAN'!$C$7:$C$1492,0),0)),0,OFFSET('HARGA SATUAN'!$I$6,MATCH(RAB!C98,'HARGA SATUAN'!$C$7:$C$1492,0),0))</f>
        <v>380500</v>
      </c>
      <c r="H98" s="358">
        <f t="shared" ca="1" si="24"/>
        <v>0</v>
      </c>
      <c r="I98" s="358">
        <f t="shared" ca="1" si="25"/>
        <v>1522000</v>
      </c>
      <c r="J98" s="358">
        <f t="shared" ca="1" si="26"/>
        <v>0</v>
      </c>
      <c r="K98" s="359">
        <f t="shared" ca="1" si="27"/>
        <v>1522000</v>
      </c>
      <c r="L98" s="339"/>
      <c r="M98" s="339"/>
      <c r="N98" s="366"/>
      <c r="O98" s="341"/>
      <c r="P98" s="394"/>
      <c r="Q98" s="341"/>
    </row>
    <row r="99" spans="1:17" s="362" customFormat="1">
      <c r="A99" s="333"/>
      <c r="B99" s="534">
        <v>12</v>
      </c>
      <c r="C99" s="535" t="s">
        <v>218</v>
      </c>
      <c r="D99" s="355" t="str">
        <f ca="1">IF(ISERROR(OFFSET('HARGA SATUAN'!$D$6,MATCH(RAB!C99,'HARGA SATUAN'!$C$7:$C$1492,0),0)),"",OFFSET('HARGA SATUAN'!$D$6,MATCH(RAB!C99,'HARGA SATUAN'!$C$7:$C$1492,0),0))</f>
        <v>HDW</v>
      </c>
      <c r="E99" s="356" t="str">
        <f ca="1">IF(B99="+","Unit",IF(ISERROR(OFFSET('HARGA SATUAN'!$E$6,MATCH(RAB!C99,'HARGA SATUAN'!$C$7:$C$1492,0),0)),"",OFFSET('HARGA SATUAN'!$E$6,MATCH(RAB!C99,'HARGA SATUAN'!$C$7:$C$1492,0),0)))</f>
        <v>Bh</v>
      </c>
      <c r="F99" s="537">
        <f>F87*4</f>
        <v>4</v>
      </c>
      <c r="G99" s="357">
        <f ca="1">IF(ISERROR(OFFSET('HARGA SATUAN'!$I$6,MATCH(RAB!C99,'HARGA SATUAN'!$C$7:$C$1492,0),0)),0,OFFSET('HARGA SATUAN'!$I$6,MATCH(RAB!C99,'HARGA SATUAN'!$C$7:$C$1492,0),0))</f>
        <v>29600</v>
      </c>
      <c r="H99" s="358">
        <f t="shared" ca="1" si="24"/>
        <v>0</v>
      </c>
      <c r="I99" s="358">
        <f t="shared" ca="1" si="25"/>
        <v>118400</v>
      </c>
      <c r="J99" s="358">
        <f t="shared" ca="1" si="26"/>
        <v>0</v>
      </c>
      <c r="K99" s="359">
        <f t="shared" ca="1" si="27"/>
        <v>118400</v>
      </c>
      <c r="L99" s="339"/>
      <c r="M99" s="339"/>
      <c r="N99" s="366"/>
      <c r="O99" s="341"/>
      <c r="P99" s="394"/>
      <c r="Q99" s="341"/>
    </row>
    <row r="100" spans="1:17" s="362" customFormat="1">
      <c r="A100" s="333"/>
      <c r="B100" s="534">
        <v>13</v>
      </c>
      <c r="C100" s="535" t="s">
        <v>217</v>
      </c>
      <c r="D100" s="355" t="str">
        <f ca="1">IF(ISERROR(OFFSET('HARGA SATUAN'!$D$6,MATCH(RAB!C100,'HARGA SATUAN'!$C$7:$C$1492,0),0)),"",OFFSET('HARGA SATUAN'!$D$6,MATCH(RAB!C100,'HARGA SATUAN'!$C$7:$C$1492,0),0))</f>
        <v>HDW</v>
      </c>
      <c r="E100" s="356" t="str">
        <f ca="1">IF(B100="+","Unit",IF(ISERROR(OFFSET('HARGA SATUAN'!$E$6,MATCH(RAB!C100,'HARGA SATUAN'!$C$7:$C$1492,0),0)),"",OFFSET('HARGA SATUAN'!$E$6,MATCH(RAB!C100,'HARGA SATUAN'!$C$7:$C$1492,0),0)))</f>
        <v>Bh</v>
      </c>
      <c r="F100" s="537">
        <f>F87*9</f>
        <v>9</v>
      </c>
      <c r="G100" s="357">
        <f ca="1">IF(ISERROR(OFFSET('HARGA SATUAN'!$I$6,MATCH(RAB!C100,'HARGA SATUAN'!$C$7:$C$1492,0),0)),0,OFFSET('HARGA SATUAN'!$I$6,MATCH(RAB!C100,'HARGA SATUAN'!$C$7:$C$1492,0),0))</f>
        <v>11400</v>
      </c>
      <c r="H100" s="358">
        <f t="shared" ca="1" si="24"/>
        <v>0</v>
      </c>
      <c r="I100" s="358">
        <f t="shared" ca="1" si="25"/>
        <v>102600</v>
      </c>
      <c r="J100" s="358">
        <f t="shared" ca="1" si="26"/>
        <v>0</v>
      </c>
      <c r="K100" s="359">
        <f t="shared" ca="1" si="27"/>
        <v>102600</v>
      </c>
      <c r="L100" s="339"/>
      <c r="M100" s="339"/>
      <c r="N100" s="366"/>
      <c r="O100" s="341"/>
      <c r="P100" s="394"/>
      <c r="Q100" s="341"/>
    </row>
    <row r="101" spans="1:17" s="362" customFormat="1">
      <c r="A101" s="333"/>
      <c r="B101" s="534">
        <v>14</v>
      </c>
      <c r="C101" s="535" t="s">
        <v>223</v>
      </c>
      <c r="D101" s="355" t="str">
        <f ca="1">IF(ISERROR(OFFSET('HARGA SATUAN'!$D$6,MATCH(RAB!C101,'HARGA SATUAN'!$C$7:$C$1492,0),0)),"",OFFSET('HARGA SATUAN'!$D$6,MATCH(RAB!C101,'HARGA SATUAN'!$C$7:$C$1492,0),0))</f>
        <v>HDW</v>
      </c>
      <c r="E101" s="356" t="str">
        <f ca="1">IF(B101="+","Unit",IF(ISERROR(OFFSET('HARGA SATUAN'!$E$6,MATCH(RAB!C101,'HARGA SATUAN'!$C$7:$C$1492,0),0)),"",OFFSET('HARGA SATUAN'!$E$6,MATCH(RAB!C101,'HARGA SATUAN'!$C$7:$C$1492,0),0)))</f>
        <v>Bh</v>
      </c>
      <c r="F101" s="537">
        <f>F87*2</f>
        <v>2</v>
      </c>
      <c r="G101" s="357">
        <f ca="1">IF(ISERROR(OFFSET('HARGA SATUAN'!$I$6,MATCH(RAB!C101,'HARGA SATUAN'!$C$7:$C$1492,0),0)),0,OFFSET('HARGA SATUAN'!$I$6,MATCH(RAB!C101,'HARGA SATUAN'!$C$7:$C$1492,0),0))</f>
        <v>27815</v>
      </c>
      <c r="H101" s="358">
        <f t="shared" ca="1" si="24"/>
        <v>0</v>
      </c>
      <c r="I101" s="358">
        <f t="shared" ca="1" si="25"/>
        <v>55630</v>
      </c>
      <c r="J101" s="358">
        <f t="shared" ca="1" si="26"/>
        <v>0</v>
      </c>
      <c r="K101" s="359">
        <f t="shared" ca="1" si="27"/>
        <v>55630</v>
      </c>
      <c r="L101" s="339"/>
      <c r="M101" s="339"/>
      <c r="N101" s="366"/>
      <c r="O101" s="341"/>
      <c r="P101" s="394"/>
      <c r="Q101" s="341"/>
    </row>
    <row r="102" spans="1:17" s="362" customFormat="1">
      <c r="A102" s="333"/>
      <c r="B102" s="534">
        <v>15</v>
      </c>
      <c r="C102" s="535" t="s">
        <v>25</v>
      </c>
      <c r="D102" s="355" t="str">
        <f ca="1">IF(ISERROR(OFFSET('HARGA SATUAN'!$D$6,MATCH(RAB!C102,'HARGA SATUAN'!$C$7:$C$1492,0),0)),"",OFFSET('HARGA SATUAN'!$D$6,MATCH(RAB!C102,'HARGA SATUAN'!$C$7:$C$1492,0),0))</f>
        <v>HDW</v>
      </c>
      <c r="E102" s="356" t="str">
        <f ca="1">IF(B102="+","Unit",IF(ISERROR(OFFSET('HARGA SATUAN'!$E$6,MATCH(RAB!C102,'HARGA SATUAN'!$C$7:$C$1492,0),0)),"",OFFSET('HARGA SATUAN'!$E$6,MATCH(RAB!C102,'HARGA SATUAN'!$C$7:$C$1492,0),0)))</f>
        <v>Bh</v>
      </c>
      <c r="F102" s="537">
        <f>F87*6</f>
        <v>6</v>
      </c>
      <c r="G102" s="357">
        <f ca="1">IF(ISERROR(OFFSET('HARGA SATUAN'!$I$6,MATCH(RAB!C102,'HARGA SATUAN'!$C$7:$C$1492,0),0)),0,OFFSET('HARGA SATUAN'!$I$6,MATCH(RAB!C102,'HARGA SATUAN'!$C$7:$C$1492,0),0))</f>
        <v>23936</v>
      </c>
      <c r="H102" s="358">
        <f t="shared" ca="1" si="24"/>
        <v>0</v>
      </c>
      <c r="I102" s="358">
        <f t="shared" ca="1" si="25"/>
        <v>143616</v>
      </c>
      <c r="J102" s="358">
        <f t="shared" ca="1" si="26"/>
        <v>0</v>
      </c>
      <c r="K102" s="359">
        <f t="shared" ca="1" si="27"/>
        <v>143616</v>
      </c>
      <c r="L102" s="339"/>
      <c r="M102" s="339"/>
      <c r="N102" s="366"/>
      <c r="O102" s="341"/>
      <c r="P102" s="394"/>
      <c r="Q102" s="341"/>
    </row>
    <row r="103" spans="1:17" s="362" customFormat="1">
      <c r="A103" s="333"/>
      <c r="B103" s="534">
        <v>16</v>
      </c>
      <c r="C103" s="535" t="s">
        <v>37</v>
      </c>
      <c r="D103" s="355" t="str">
        <f ca="1">IF(ISERROR(OFFSET('HARGA SATUAN'!$D$6,MATCH(RAB!C103,'HARGA SATUAN'!$C$7:$C$1492,0),0)),"",OFFSET('HARGA SATUAN'!$D$6,MATCH(RAB!C103,'HARGA SATUAN'!$C$7:$C$1492,0),0))</f>
        <v>HDW</v>
      </c>
      <c r="E103" s="356" t="str">
        <f ca="1">IF(B103="+","Unit",IF(ISERROR(OFFSET('HARGA SATUAN'!$E$6,MATCH(RAB!C103,'HARGA SATUAN'!$C$7:$C$1492,0),0)),"",OFFSET('HARGA SATUAN'!$E$6,MATCH(RAB!C103,'HARGA SATUAN'!$C$7:$C$1492,0),0)))</f>
        <v>Bh</v>
      </c>
      <c r="F103" s="537">
        <f>F87*3</f>
        <v>3</v>
      </c>
      <c r="G103" s="357">
        <f ca="1">IF(ISERROR(OFFSET('HARGA SATUAN'!$I$6,MATCH(RAB!C103,'HARGA SATUAN'!$C$7:$C$1492,0),0)),0,OFFSET('HARGA SATUAN'!$I$6,MATCH(RAB!C103,'HARGA SATUAN'!$C$7:$C$1492,0),0))</f>
        <v>63500</v>
      </c>
      <c r="H103" s="358">
        <f t="shared" ca="1" si="24"/>
        <v>0</v>
      </c>
      <c r="I103" s="358">
        <f t="shared" ca="1" si="25"/>
        <v>190500</v>
      </c>
      <c r="J103" s="358">
        <f t="shared" ca="1" si="26"/>
        <v>0</v>
      </c>
      <c r="K103" s="359">
        <f t="shared" ca="1" si="27"/>
        <v>190500</v>
      </c>
      <c r="L103" s="339"/>
      <c r="M103" s="339"/>
      <c r="N103" s="366"/>
      <c r="O103" s="341"/>
      <c r="P103" s="394"/>
      <c r="Q103" s="341"/>
    </row>
    <row r="104" spans="1:17" s="362" customFormat="1">
      <c r="A104" s="333"/>
      <c r="B104" s="534">
        <v>17</v>
      </c>
      <c r="C104" s="535" t="s">
        <v>247</v>
      </c>
      <c r="D104" s="355" t="str">
        <f ca="1">IF(ISERROR(OFFSET('HARGA SATUAN'!$D$6,MATCH(RAB!C104,'HARGA SATUAN'!$C$7:$C$1492,0),0)),"",OFFSET('HARGA SATUAN'!$D$6,MATCH(RAB!C104,'HARGA SATUAN'!$C$7:$C$1492,0),0))</f>
        <v>HDW</v>
      </c>
      <c r="E104" s="356" t="str">
        <f ca="1">IF(B104="+","Unit",IF(ISERROR(OFFSET('HARGA SATUAN'!$E$6,MATCH(RAB!C104,'HARGA SATUAN'!$C$7:$C$1492,0),0)),"",OFFSET('HARGA SATUAN'!$E$6,MATCH(RAB!C104,'HARGA SATUAN'!$C$7:$C$1492,0),0)))</f>
        <v>Bh</v>
      </c>
      <c r="F104" s="537">
        <f>F87*3</f>
        <v>3</v>
      </c>
      <c r="G104" s="357">
        <f ca="1">IF(ISERROR(OFFSET('HARGA SATUAN'!$I$6,MATCH(RAB!C104,'HARGA SATUAN'!$C$7:$C$1492,0),0)),0,OFFSET('HARGA SATUAN'!$I$6,MATCH(RAB!C104,'HARGA SATUAN'!$C$7:$C$1492,0),0))</f>
        <v>57690</v>
      </c>
      <c r="H104" s="358">
        <f t="shared" ca="1" si="24"/>
        <v>0</v>
      </c>
      <c r="I104" s="358">
        <f t="shared" ca="1" si="25"/>
        <v>173070</v>
      </c>
      <c r="J104" s="358">
        <f t="shared" ca="1" si="26"/>
        <v>0</v>
      </c>
      <c r="K104" s="359">
        <f t="shared" ca="1" si="27"/>
        <v>173070</v>
      </c>
      <c r="L104" s="339"/>
      <c r="M104" s="339"/>
      <c r="N104" s="366"/>
      <c r="O104" s="341"/>
      <c r="P104" s="394"/>
      <c r="Q104" s="341"/>
    </row>
    <row r="105" spans="1:17" s="362" customFormat="1">
      <c r="A105" s="333"/>
      <c r="B105" s="534">
        <v>18</v>
      </c>
      <c r="C105" s="535" t="s">
        <v>27</v>
      </c>
      <c r="D105" s="355" t="str">
        <f ca="1">IF(ISERROR(OFFSET('HARGA SATUAN'!$D$6,MATCH(RAB!C105,'HARGA SATUAN'!$C$7:$C$1492,0),0)),"",OFFSET('HARGA SATUAN'!$D$6,MATCH(RAB!C105,'HARGA SATUAN'!$C$7:$C$1492,0),0))</f>
        <v>HDW</v>
      </c>
      <c r="E105" s="356" t="str">
        <f ca="1">IF(B105="+","Unit",IF(ISERROR(OFFSET('HARGA SATUAN'!$E$6,MATCH(RAB!C105,'HARGA SATUAN'!$C$7:$C$1492,0),0)),"",OFFSET('HARGA SATUAN'!$E$6,MATCH(RAB!C105,'HARGA SATUAN'!$C$7:$C$1492,0),0)))</f>
        <v>Bh</v>
      </c>
      <c r="F105" s="537">
        <f>F87*6</f>
        <v>6</v>
      </c>
      <c r="G105" s="357">
        <f ca="1">IF(ISERROR(OFFSET('HARGA SATUAN'!$I$6,MATCH(RAB!C105,'HARGA SATUAN'!$C$7:$C$1492,0),0)),0,OFFSET('HARGA SATUAN'!$I$6,MATCH(RAB!C105,'HARGA SATUAN'!$C$7:$C$1492,0),0))</f>
        <v>16000</v>
      </c>
      <c r="H105" s="358">
        <f t="shared" ref="H105:H111" ca="1" si="28">IF(OR(D105="MDU",D105="MDU-KD"),(IF($O$3="RAB NON MDU","PLN KD",G105*F105)),0)</f>
        <v>0</v>
      </c>
      <c r="I105" s="358">
        <f t="shared" ref="I105:I111" ca="1" si="29">IF(D105="HDW",G105*F105,0)</f>
        <v>96000</v>
      </c>
      <c r="J105" s="358">
        <f t="shared" ref="J105:J111" ca="1" si="30">IF(D105="JASA",G105*F105,0)</f>
        <v>0</v>
      </c>
      <c r="K105" s="359">
        <f t="shared" ref="K105:K111" ca="1" si="31">SUM(H105:J105)</f>
        <v>96000</v>
      </c>
      <c r="L105" s="339"/>
      <c r="M105" s="339"/>
      <c r="N105" s="366"/>
      <c r="O105" s="341"/>
      <c r="P105" s="394"/>
      <c r="Q105" s="341"/>
    </row>
    <row r="106" spans="1:17" s="362" customFormat="1">
      <c r="A106" s="333"/>
      <c r="B106" s="534">
        <v>19</v>
      </c>
      <c r="C106" s="535" t="s">
        <v>265</v>
      </c>
      <c r="D106" s="355" t="str">
        <f ca="1">IF(ISERROR(OFFSET('HARGA SATUAN'!$D$6,MATCH(RAB!C106,'HARGA SATUAN'!$C$7:$C$1492,0),0)),"",OFFSET('HARGA SATUAN'!$D$6,MATCH(RAB!C106,'HARGA SATUAN'!$C$7:$C$1492,0),0))</f>
        <v>HDW</v>
      </c>
      <c r="E106" s="356" t="str">
        <f ca="1">IF(B106="+","Unit",IF(ISERROR(OFFSET('HARGA SATUAN'!$E$6,MATCH(RAB!C106,'HARGA SATUAN'!$C$7:$C$1492,0),0)),"",OFFSET('HARGA SATUAN'!$E$6,MATCH(RAB!C106,'HARGA SATUAN'!$C$7:$C$1492,0),0)))</f>
        <v>Bh</v>
      </c>
      <c r="F106" s="537">
        <f>F87*2</f>
        <v>2</v>
      </c>
      <c r="G106" s="357">
        <f ca="1">IF(ISERROR(OFFSET('HARGA SATUAN'!$I$6,MATCH(RAB!C106,'HARGA SATUAN'!$C$7:$C$1492,0),0)),0,OFFSET('HARGA SATUAN'!$I$6,MATCH(RAB!C106,'HARGA SATUAN'!$C$7:$C$1492,0),0))</f>
        <v>33501.866666666669</v>
      </c>
      <c r="H106" s="358">
        <f t="shared" ca="1" si="28"/>
        <v>0</v>
      </c>
      <c r="I106" s="358">
        <f t="shared" ca="1" si="29"/>
        <v>67003.733333333337</v>
      </c>
      <c r="J106" s="358">
        <f t="shared" ca="1" si="30"/>
        <v>0</v>
      </c>
      <c r="K106" s="359">
        <f t="shared" ca="1" si="31"/>
        <v>67003.733333333337</v>
      </c>
      <c r="L106" s="339"/>
      <c r="M106" s="339"/>
      <c r="N106" s="366"/>
      <c r="O106" s="341"/>
      <c r="P106" s="394"/>
      <c r="Q106" s="341"/>
    </row>
    <row r="107" spans="1:17" s="362" customFormat="1">
      <c r="A107" s="333"/>
      <c r="B107" s="534">
        <v>20</v>
      </c>
      <c r="C107" s="535" t="s">
        <v>38</v>
      </c>
      <c r="D107" s="355" t="str">
        <f ca="1">IF(ISERROR(OFFSET('HARGA SATUAN'!$D$6,MATCH(RAB!C107,'HARGA SATUAN'!$C$7:$C$1492,0),0)),"",OFFSET('HARGA SATUAN'!$D$6,MATCH(RAB!C107,'HARGA SATUAN'!$C$7:$C$1492,0),0))</f>
        <v>HDW</v>
      </c>
      <c r="E107" s="356" t="str">
        <f ca="1">IF(B107="+","Unit",IF(ISERROR(OFFSET('HARGA SATUAN'!$E$6,MATCH(RAB!C107,'HARGA SATUAN'!$C$7:$C$1492,0),0)),"",OFFSET('HARGA SATUAN'!$E$6,MATCH(RAB!C107,'HARGA SATUAN'!$C$7:$C$1492,0),0)))</f>
        <v>Mtr</v>
      </c>
      <c r="F107" s="537">
        <f>3.6*F87</f>
        <v>3.6</v>
      </c>
      <c r="G107" s="357">
        <f ca="1">IF(ISERROR(OFFSET('HARGA SATUAN'!$I$6,MATCH(RAB!C107,'HARGA SATUAN'!$C$7:$C$1492,0),0)),0,OFFSET('HARGA SATUAN'!$I$6,MATCH(RAB!C107,'HARGA SATUAN'!$C$7:$C$1492,0),0))</f>
        <v>8550</v>
      </c>
      <c r="H107" s="358">
        <f t="shared" ca="1" si="28"/>
        <v>0</v>
      </c>
      <c r="I107" s="358">
        <f t="shared" ca="1" si="29"/>
        <v>30780</v>
      </c>
      <c r="J107" s="358">
        <f t="shared" ca="1" si="30"/>
        <v>0</v>
      </c>
      <c r="K107" s="359">
        <f t="shared" ca="1" si="31"/>
        <v>30780</v>
      </c>
      <c r="L107" s="339"/>
      <c r="M107" s="339"/>
      <c r="N107" s="366"/>
      <c r="O107" s="341"/>
      <c r="P107" s="394"/>
      <c r="Q107" s="341"/>
    </row>
    <row r="108" spans="1:17" s="362" customFormat="1">
      <c r="A108" s="333"/>
      <c r="B108" s="534">
        <v>21</v>
      </c>
      <c r="C108" s="535" t="s">
        <v>26</v>
      </c>
      <c r="D108" s="355" t="str">
        <f ca="1">IF(ISERROR(OFFSET('HARGA SATUAN'!$D$6,MATCH(RAB!C108,'HARGA SATUAN'!$C$7:$C$1492,0),0)),"",OFFSET('HARGA SATUAN'!$D$6,MATCH(RAB!C108,'HARGA SATUAN'!$C$7:$C$1492,0),0))</f>
        <v>HDW</v>
      </c>
      <c r="E108" s="356" t="str">
        <f ca="1">IF(B108="+","Unit",IF(ISERROR(OFFSET('HARGA SATUAN'!$E$6,MATCH(RAB!C108,'HARGA SATUAN'!$C$7:$C$1492,0),0)),"",OFFSET('HARGA SATUAN'!$E$6,MATCH(RAB!C108,'HARGA SATUAN'!$C$7:$C$1492,0),0)))</f>
        <v>Bh</v>
      </c>
      <c r="F108" s="537">
        <f>F87*22</f>
        <v>22</v>
      </c>
      <c r="G108" s="357">
        <f ca="1">IF(ISERROR(OFFSET('HARGA SATUAN'!$I$6,MATCH(RAB!C108,'HARGA SATUAN'!$C$7:$C$1492,0),0)),0,OFFSET('HARGA SATUAN'!$I$6,MATCH(RAB!C108,'HARGA SATUAN'!$C$7:$C$1492,0),0))</f>
        <v>2500</v>
      </c>
      <c r="H108" s="358">
        <f t="shared" ca="1" si="28"/>
        <v>0</v>
      </c>
      <c r="I108" s="358">
        <f t="shared" ca="1" si="29"/>
        <v>55000</v>
      </c>
      <c r="J108" s="358">
        <f t="shared" ca="1" si="30"/>
        <v>0</v>
      </c>
      <c r="K108" s="359">
        <f t="shared" ca="1" si="31"/>
        <v>55000</v>
      </c>
      <c r="L108" s="339"/>
      <c r="M108" s="339"/>
      <c r="N108" s="366"/>
      <c r="O108" s="341"/>
      <c r="P108" s="394"/>
      <c r="Q108" s="341"/>
    </row>
    <row r="109" spans="1:17" s="362" customFormat="1">
      <c r="A109" s="333"/>
      <c r="B109" s="534">
        <v>22</v>
      </c>
      <c r="C109" s="533" t="s">
        <v>709</v>
      </c>
      <c r="D109" s="355" t="str">
        <f ca="1">IF(ISERROR(OFFSET('HARGA SATUAN'!$D$6,MATCH(RAB!C109,'HARGA SATUAN'!$C$7:$C$1492,0),0)),"",OFFSET('HARGA SATUAN'!$D$6,MATCH(RAB!C109,'HARGA SATUAN'!$C$7:$C$1492,0),0))</f>
        <v>JASA</v>
      </c>
      <c r="E109" s="356" t="str">
        <f ca="1">IF(B109="+","Unit",IF(ISERROR(OFFSET('HARGA SATUAN'!$E$6,MATCH(RAB!C109,'HARGA SATUAN'!$C$7:$C$1492,0),0)),"",OFFSET('HARGA SATUAN'!$E$6,MATCH(RAB!C109,'HARGA SATUAN'!$C$7:$C$1492,0),0)))</f>
        <v>Unit</v>
      </c>
      <c r="F109" s="537">
        <f>F87*1</f>
        <v>1</v>
      </c>
      <c r="G109" s="357">
        <f ca="1">IF(ISERROR(OFFSET('HARGA SATUAN'!$I$6,MATCH(RAB!C109,'HARGA SATUAN'!$C$7:$C$1492,0),0)),0,OFFSET('HARGA SATUAN'!$I$6,MATCH(RAB!C109,'HARGA SATUAN'!$C$7:$C$1492,0),0))</f>
        <v>197500</v>
      </c>
      <c r="H109" s="358">
        <f t="shared" ca="1" si="28"/>
        <v>0</v>
      </c>
      <c r="I109" s="358">
        <f t="shared" ca="1" si="29"/>
        <v>0</v>
      </c>
      <c r="J109" s="358">
        <f t="shared" ca="1" si="30"/>
        <v>197500</v>
      </c>
      <c r="K109" s="359">
        <f t="shared" ca="1" si="31"/>
        <v>197500</v>
      </c>
      <c r="L109" s="339"/>
      <c r="M109" s="339"/>
      <c r="N109" s="366"/>
      <c r="O109" s="341"/>
      <c r="P109" s="394"/>
      <c r="Q109" s="341"/>
    </row>
    <row r="110" spans="1:17" s="362" customFormat="1">
      <c r="A110" s="333"/>
      <c r="B110" s="509"/>
      <c r="C110" s="510"/>
      <c r="D110" s="355" t="str">
        <f ca="1">IF(ISERROR(OFFSET('HARGA SATUAN'!$D$6,MATCH(RAB!C110,'HARGA SATUAN'!$C$7:$C$1492,0),0)),"",OFFSET('HARGA SATUAN'!$D$6,MATCH(RAB!C110,'HARGA SATUAN'!$C$7:$C$1492,0),0))</f>
        <v/>
      </c>
      <c r="E110" s="356" t="str">
        <f ca="1">IF(B110="+","Unit",IF(ISERROR(OFFSET('HARGA SATUAN'!$E$6,MATCH(RAB!C110,'HARGA SATUAN'!$C$7:$C$1492,0),0)),"",OFFSET('HARGA SATUAN'!$E$6,MATCH(RAB!C110,'HARGA SATUAN'!$C$7:$C$1492,0),0)))</f>
        <v/>
      </c>
      <c r="F110" s="515"/>
      <c r="G110" s="357">
        <f ca="1">IF(ISERROR(OFFSET('HARGA SATUAN'!$I$6,MATCH(RAB!C110,'HARGA SATUAN'!$C$7:$C$1492,0),0)),0,OFFSET('HARGA SATUAN'!$I$6,MATCH(RAB!C110,'HARGA SATUAN'!$C$7:$C$1492,0),0))</f>
        <v>0</v>
      </c>
      <c r="H110" s="358">
        <f t="shared" ca="1" si="28"/>
        <v>0</v>
      </c>
      <c r="I110" s="358">
        <f t="shared" ca="1" si="29"/>
        <v>0</v>
      </c>
      <c r="J110" s="358">
        <f t="shared" ca="1" si="30"/>
        <v>0</v>
      </c>
      <c r="K110" s="359">
        <f t="shared" ca="1" si="31"/>
        <v>0</v>
      </c>
      <c r="L110" s="339"/>
      <c r="M110" s="339"/>
      <c r="N110" s="366"/>
      <c r="O110" s="341"/>
      <c r="P110" s="394"/>
      <c r="Q110" s="341"/>
    </row>
    <row r="111" spans="1:17" s="362" customFormat="1">
      <c r="A111" s="333"/>
      <c r="B111" s="509"/>
      <c r="C111" s="505" t="s">
        <v>1659</v>
      </c>
      <c r="D111" s="355" t="str">
        <f ca="1">IF(ISERROR(OFFSET('HARGA SATUAN'!$D$6,MATCH(RAB!C111,'HARGA SATUAN'!$C$7:$C$1492,0),0)),"",OFFSET('HARGA SATUAN'!$D$6,MATCH(RAB!C111,'HARGA SATUAN'!$C$7:$C$1492,0),0))</f>
        <v/>
      </c>
      <c r="E111" s="356" t="str">
        <f ca="1">IF(B111="+","Unit",IF(ISERROR(OFFSET('HARGA SATUAN'!$E$6,MATCH(RAB!C111,'HARGA SATUAN'!$C$7:$C$1492,0),0)),"",OFFSET('HARGA SATUAN'!$E$6,MATCH(RAB!C111,'HARGA SATUAN'!$C$7:$C$1492,0),0)))</f>
        <v/>
      </c>
      <c r="F111" s="515"/>
      <c r="G111" s="357">
        <f ca="1">IF(ISERROR(OFFSET('HARGA SATUAN'!$I$6,MATCH(RAB!C111,'HARGA SATUAN'!$C$7:$C$1492,0),0)),0,OFFSET('HARGA SATUAN'!$I$6,MATCH(RAB!C111,'HARGA SATUAN'!$C$7:$C$1492,0),0))</f>
        <v>0</v>
      </c>
      <c r="H111" s="358">
        <f t="shared" ca="1" si="28"/>
        <v>0</v>
      </c>
      <c r="I111" s="358">
        <f t="shared" ca="1" si="29"/>
        <v>0</v>
      </c>
      <c r="J111" s="358">
        <f t="shared" ca="1" si="30"/>
        <v>0</v>
      </c>
      <c r="K111" s="359">
        <f t="shared" ca="1" si="31"/>
        <v>0</v>
      </c>
      <c r="L111" s="339"/>
      <c r="M111" s="339"/>
      <c r="N111" s="366"/>
      <c r="O111" s="341"/>
      <c r="P111" s="394"/>
      <c r="Q111" s="341"/>
    </row>
    <row r="112" spans="1:17" s="362" customFormat="1">
      <c r="A112" s="333"/>
      <c r="B112" s="509"/>
      <c r="C112" s="510"/>
      <c r="D112" s="355" t="str">
        <f ca="1">IF(ISERROR(OFFSET('HARGA SATUAN'!$D$6,MATCH(RAB!C112,'HARGA SATUAN'!$C$7:$C$1492,0),0)),"",OFFSET('HARGA SATUAN'!$D$6,MATCH(RAB!C112,'HARGA SATUAN'!$C$7:$C$1492,0),0))</f>
        <v/>
      </c>
      <c r="E112" s="356" t="str">
        <f ca="1">IF(B112="+","Unit",IF(ISERROR(OFFSET('HARGA SATUAN'!$E$6,MATCH(RAB!C112,'HARGA SATUAN'!$C$7:$C$1492,0),0)),"",OFFSET('HARGA SATUAN'!$E$6,MATCH(RAB!C112,'HARGA SATUAN'!$C$7:$C$1492,0),0)))</f>
        <v/>
      </c>
      <c r="F112" s="515"/>
      <c r="G112" s="357">
        <f ca="1">IF(ISERROR(OFFSET('HARGA SATUAN'!$I$6,MATCH(RAB!C112,'HARGA SATUAN'!$C$7:$C$1492,0),0)),0,OFFSET('HARGA SATUAN'!$I$6,MATCH(RAB!C112,'HARGA SATUAN'!$C$7:$C$1492,0),0))</f>
        <v>0</v>
      </c>
      <c r="H112" s="358">
        <f t="shared" ref="H112:H132" ca="1" si="32">IF(OR(D112="MDU",D112="MDU-KD"),(IF($O$3="RAB NON MDU","PLN KD",G112*F112)),0)</f>
        <v>0</v>
      </c>
      <c r="I112" s="358">
        <f t="shared" ref="I112:I132" ca="1" si="33">IF(D112="HDW",G112*F112,0)</f>
        <v>0</v>
      </c>
      <c r="J112" s="358">
        <f t="shared" ref="J112:J132" ca="1" si="34">IF(D112="JASA",G112*F112,0)</f>
        <v>0</v>
      </c>
      <c r="K112" s="359">
        <f t="shared" ref="K112:K132" ca="1" si="35">SUM(H112:J112)</f>
        <v>0</v>
      </c>
      <c r="L112" s="339"/>
      <c r="M112" s="339"/>
      <c r="N112" s="366"/>
      <c r="O112" s="341"/>
      <c r="P112" s="394"/>
      <c r="Q112" s="341"/>
    </row>
    <row r="113" spans="1:17" s="362" customFormat="1">
      <c r="A113" s="333"/>
      <c r="B113" s="532" t="s">
        <v>1035</v>
      </c>
      <c r="C113" s="498" t="s">
        <v>1640</v>
      </c>
      <c r="D113" s="355" t="str">
        <f ca="1">IF(ISERROR(OFFSET('HARGA SATUAN'!$D$6,MATCH(RAB!C113,'HARGA SATUAN'!$C$7:$C$1492,0),0)),"",OFFSET('HARGA SATUAN'!$D$6,MATCH(RAB!C113,'HARGA SATUAN'!$C$7:$C$1492,0),0))</f>
        <v/>
      </c>
      <c r="E113" s="356" t="str">
        <f ca="1">IF(B113="+","Unit",IF(ISERROR(OFFSET('HARGA SATUAN'!$E$6,MATCH(RAB!C113,'HARGA SATUAN'!$C$7:$C$1492,0),0)),"",OFFSET('HARGA SATUAN'!$E$6,MATCH(RAB!C113,'HARGA SATUAN'!$C$7:$C$1492,0),0)))</f>
        <v>Unit</v>
      </c>
      <c r="F113" s="536">
        <v>1</v>
      </c>
      <c r="G113" s="357">
        <f ca="1">IF(ISERROR(OFFSET('HARGA SATUAN'!$I$6,MATCH(RAB!C113,'HARGA SATUAN'!$C$7:$C$1492,0),0)),0,OFFSET('HARGA SATUAN'!$I$6,MATCH(RAB!C113,'HARGA SATUAN'!$C$7:$C$1492,0),0))</f>
        <v>0</v>
      </c>
      <c r="H113" s="358">
        <f t="shared" ca="1" si="32"/>
        <v>0</v>
      </c>
      <c r="I113" s="358">
        <f t="shared" ca="1" si="33"/>
        <v>0</v>
      </c>
      <c r="J113" s="358">
        <f t="shared" ca="1" si="34"/>
        <v>0</v>
      </c>
      <c r="K113" s="359">
        <f t="shared" ca="1" si="35"/>
        <v>0</v>
      </c>
      <c r="L113" s="339"/>
      <c r="M113" s="339"/>
      <c r="N113" s="366"/>
      <c r="O113" s="341"/>
      <c r="P113" s="394"/>
      <c r="Q113" s="341"/>
    </row>
    <row r="114" spans="1:17" s="362" customFormat="1">
      <c r="A114" s="333"/>
      <c r="B114" s="532">
        <v>1</v>
      </c>
      <c r="C114" s="507" t="s">
        <v>1566</v>
      </c>
      <c r="D114" s="355" t="str">
        <f ca="1">IF(ISERROR(OFFSET('HARGA SATUAN'!$D$6,MATCH(RAB!C114,'HARGA SATUAN'!$C$7:$C$1492,0),0)),"",OFFSET('HARGA SATUAN'!$D$6,MATCH(RAB!C114,'HARGA SATUAN'!$C$7:$C$1492,0),0))</f>
        <v>MDU-KD</v>
      </c>
      <c r="E114" s="356" t="str">
        <f ca="1">IF(B114="+","Unit",IF(ISERROR(OFFSET('HARGA SATUAN'!$E$6,MATCH(RAB!C114,'HARGA SATUAN'!$C$7:$C$1492,0),0)),"",OFFSET('HARGA SATUAN'!$E$6,MATCH(RAB!C114,'HARGA SATUAN'!$C$7:$C$1492,0),0)))</f>
        <v>Set</v>
      </c>
      <c r="F114" s="536">
        <f>F113*1</f>
        <v>1</v>
      </c>
      <c r="G114" s="357">
        <f ca="1">IF(ISERROR(OFFSET('HARGA SATUAN'!$I$6,MATCH(RAB!C114,'HARGA SATUAN'!$C$7:$C$1492,0),0)),0,OFFSET('HARGA SATUAN'!$I$6,MATCH(RAB!C114,'HARGA SATUAN'!$C$7:$C$1492,0),0))</f>
        <v>205700</v>
      </c>
      <c r="H114" s="358">
        <f t="shared" ca="1" si="32"/>
        <v>205700</v>
      </c>
      <c r="I114" s="358">
        <f t="shared" ca="1" si="33"/>
        <v>0</v>
      </c>
      <c r="J114" s="358">
        <f t="shared" ca="1" si="34"/>
        <v>0</v>
      </c>
      <c r="K114" s="359">
        <f t="shared" ca="1" si="35"/>
        <v>205700</v>
      </c>
      <c r="L114" s="339"/>
      <c r="M114" s="339"/>
      <c r="N114" s="366"/>
      <c r="O114" s="341"/>
      <c r="P114" s="394"/>
      <c r="Q114" s="341"/>
    </row>
    <row r="115" spans="1:17" s="362" customFormat="1">
      <c r="A115" s="333"/>
      <c r="B115" s="532">
        <v>2</v>
      </c>
      <c r="C115" s="498" t="s">
        <v>152</v>
      </c>
      <c r="D115" s="355" t="str">
        <f ca="1">IF(ISERROR(OFFSET('HARGA SATUAN'!$D$6,MATCH(RAB!C115,'HARGA SATUAN'!$C$7:$C$1492,0),0)),"",OFFSET('HARGA SATUAN'!$D$6,MATCH(RAB!C115,'HARGA SATUAN'!$C$7:$C$1492,0),0))</f>
        <v>HDW</v>
      </c>
      <c r="E115" s="356" t="str">
        <f ca="1">IF(B115="+","Unit",IF(ISERROR(OFFSET('HARGA SATUAN'!$E$6,MATCH(RAB!C115,'HARGA SATUAN'!$C$7:$C$1492,0),0)),"",OFFSET('HARGA SATUAN'!$E$6,MATCH(RAB!C115,'HARGA SATUAN'!$C$7:$C$1492,0),0)))</f>
        <v>Mtr</v>
      </c>
      <c r="F115" s="536">
        <f>F113*1</f>
        <v>1</v>
      </c>
      <c r="G115" s="357">
        <f ca="1">IF(ISERROR(OFFSET('HARGA SATUAN'!$I$6,MATCH(RAB!C115,'HARGA SATUAN'!$C$7:$C$1492,0),0)),0,OFFSET('HARGA SATUAN'!$I$6,MATCH(RAB!C115,'HARGA SATUAN'!$C$7:$C$1492,0),0))</f>
        <v>7789</v>
      </c>
      <c r="H115" s="358">
        <f t="shared" ca="1" si="32"/>
        <v>0</v>
      </c>
      <c r="I115" s="358">
        <f t="shared" ca="1" si="33"/>
        <v>7789</v>
      </c>
      <c r="J115" s="358">
        <f t="shared" ca="1" si="34"/>
        <v>0</v>
      </c>
      <c r="K115" s="359">
        <f t="shared" ca="1" si="35"/>
        <v>7789</v>
      </c>
      <c r="L115" s="339"/>
      <c r="M115" s="339"/>
      <c r="N115" s="366"/>
      <c r="O115" s="341"/>
      <c r="P115" s="394"/>
      <c r="Q115" s="341"/>
    </row>
    <row r="116" spans="1:17" s="362" customFormat="1">
      <c r="A116" s="333"/>
      <c r="B116" s="532">
        <v>3</v>
      </c>
      <c r="C116" s="498" t="s">
        <v>179</v>
      </c>
      <c r="D116" s="355" t="str">
        <f ca="1">IF(ISERROR(OFFSET('HARGA SATUAN'!$D$6,MATCH(RAB!C116,'HARGA SATUAN'!$C$7:$C$1492,0),0)),"",OFFSET('HARGA SATUAN'!$D$6,MATCH(RAB!C116,'HARGA SATUAN'!$C$7:$C$1492,0),0))</f>
        <v>HDW</v>
      </c>
      <c r="E116" s="356" t="str">
        <f ca="1">IF(B116="+","Unit",IF(ISERROR(OFFSET('HARGA SATUAN'!$E$6,MATCH(RAB!C116,'HARGA SATUAN'!$C$7:$C$1492,0),0)),"",OFFSET('HARGA SATUAN'!$E$6,MATCH(RAB!C116,'HARGA SATUAN'!$C$7:$C$1492,0),0)))</f>
        <v>Bh</v>
      </c>
      <c r="F116" s="536">
        <f>F113*1</f>
        <v>1</v>
      </c>
      <c r="G116" s="357">
        <f ca="1">IF(ISERROR(OFFSET('HARGA SATUAN'!$I$6,MATCH(RAB!C116,'HARGA SATUAN'!$C$7:$C$1492,0),0)),0,OFFSET('HARGA SATUAN'!$I$6,MATCH(RAB!C116,'HARGA SATUAN'!$C$7:$C$1492,0),0))</f>
        <v>15500</v>
      </c>
      <c r="H116" s="358">
        <f t="shared" ca="1" si="32"/>
        <v>0</v>
      </c>
      <c r="I116" s="358">
        <f t="shared" ca="1" si="33"/>
        <v>15500</v>
      </c>
      <c r="J116" s="358">
        <f t="shared" ca="1" si="34"/>
        <v>0</v>
      </c>
      <c r="K116" s="359">
        <f t="shared" ca="1" si="35"/>
        <v>15500</v>
      </c>
      <c r="L116" s="339"/>
      <c r="M116" s="339"/>
      <c r="N116" s="366"/>
      <c r="O116" s="341"/>
      <c r="P116" s="394"/>
      <c r="Q116" s="341"/>
    </row>
    <row r="117" spans="1:17" s="362" customFormat="1">
      <c r="A117" s="333"/>
      <c r="B117" s="532">
        <v>4</v>
      </c>
      <c r="C117" s="498" t="s">
        <v>217</v>
      </c>
      <c r="D117" s="355" t="str">
        <f ca="1">IF(ISERROR(OFFSET('HARGA SATUAN'!$D$6,MATCH(RAB!C117,'HARGA SATUAN'!$C$7:$C$1492,0),0)),"",OFFSET('HARGA SATUAN'!$D$6,MATCH(RAB!C117,'HARGA SATUAN'!$C$7:$C$1492,0),0))</f>
        <v>HDW</v>
      </c>
      <c r="E117" s="356" t="str">
        <f ca="1">IF(B117="+","Unit",IF(ISERROR(OFFSET('HARGA SATUAN'!$E$6,MATCH(RAB!C117,'HARGA SATUAN'!$C$7:$C$1492,0),0)),"",OFFSET('HARGA SATUAN'!$E$6,MATCH(RAB!C117,'HARGA SATUAN'!$C$7:$C$1492,0),0)))</f>
        <v>Bh</v>
      </c>
      <c r="F117" s="536">
        <f>F113*2</f>
        <v>2</v>
      </c>
      <c r="G117" s="357">
        <f ca="1">IF(ISERROR(OFFSET('HARGA SATUAN'!$I$6,MATCH(RAB!C117,'HARGA SATUAN'!$C$7:$C$1492,0),0)),0,OFFSET('HARGA SATUAN'!$I$6,MATCH(RAB!C117,'HARGA SATUAN'!$C$7:$C$1492,0),0))</f>
        <v>11400</v>
      </c>
      <c r="H117" s="358">
        <f t="shared" ca="1" si="32"/>
        <v>0</v>
      </c>
      <c r="I117" s="358">
        <f t="shared" ca="1" si="33"/>
        <v>22800</v>
      </c>
      <c r="J117" s="358">
        <f t="shared" ca="1" si="34"/>
        <v>0</v>
      </c>
      <c r="K117" s="359">
        <f t="shared" ca="1" si="35"/>
        <v>22800</v>
      </c>
      <c r="L117" s="339"/>
      <c r="M117" s="339"/>
      <c r="N117" s="366"/>
      <c r="O117" s="341"/>
      <c r="P117" s="394"/>
      <c r="Q117" s="341"/>
    </row>
    <row r="118" spans="1:17" s="362" customFormat="1">
      <c r="A118" s="333"/>
      <c r="B118" s="532">
        <v>5</v>
      </c>
      <c r="C118" s="498" t="s">
        <v>218</v>
      </c>
      <c r="D118" s="355" t="str">
        <f ca="1">IF(ISERROR(OFFSET('HARGA SATUAN'!$D$6,MATCH(RAB!C118,'HARGA SATUAN'!$C$7:$C$1492,0),0)),"",OFFSET('HARGA SATUAN'!$D$6,MATCH(RAB!C118,'HARGA SATUAN'!$C$7:$C$1492,0),0))</f>
        <v>HDW</v>
      </c>
      <c r="E118" s="356" t="str">
        <f ca="1">IF(B118="+","Unit",IF(ISERROR(OFFSET('HARGA SATUAN'!$E$6,MATCH(RAB!C118,'HARGA SATUAN'!$C$7:$C$1492,0),0)),"",OFFSET('HARGA SATUAN'!$E$6,MATCH(RAB!C118,'HARGA SATUAN'!$C$7:$C$1492,0),0)))</f>
        <v>Bh</v>
      </c>
      <c r="F118" s="536">
        <f>F113*2</f>
        <v>2</v>
      </c>
      <c r="G118" s="357">
        <f ca="1">IF(ISERROR(OFFSET('HARGA SATUAN'!$I$6,MATCH(RAB!C118,'HARGA SATUAN'!$C$7:$C$1492,0),0)),0,OFFSET('HARGA SATUAN'!$I$6,MATCH(RAB!C118,'HARGA SATUAN'!$C$7:$C$1492,0),0))</f>
        <v>29600</v>
      </c>
      <c r="H118" s="358">
        <f t="shared" ca="1" si="32"/>
        <v>0</v>
      </c>
      <c r="I118" s="358">
        <f t="shared" ca="1" si="33"/>
        <v>59200</v>
      </c>
      <c r="J118" s="358">
        <f t="shared" ca="1" si="34"/>
        <v>0</v>
      </c>
      <c r="K118" s="359">
        <f t="shared" ca="1" si="35"/>
        <v>59200</v>
      </c>
      <c r="L118" s="339"/>
      <c r="M118" s="339"/>
      <c r="N118" s="366"/>
      <c r="O118" s="341"/>
      <c r="P118" s="394"/>
      <c r="Q118" s="341"/>
    </row>
    <row r="119" spans="1:17" s="362" customFormat="1">
      <c r="A119" s="333"/>
      <c r="B119" s="532">
        <v>6</v>
      </c>
      <c r="C119" s="498" t="s">
        <v>223</v>
      </c>
      <c r="D119" s="355" t="str">
        <f ca="1">IF(ISERROR(OFFSET('HARGA SATUAN'!$D$6,MATCH(RAB!C119,'HARGA SATUAN'!$C$7:$C$1492,0),0)),"",OFFSET('HARGA SATUAN'!$D$6,MATCH(RAB!C119,'HARGA SATUAN'!$C$7:$C$1492,0),0))</f>
        <v>HDW</v>
      </c>
      <c r="E119" s="356" t="str">
        <f ca="1">IF(B119="+","Unit",IF(ISERROR(OFFSET('HARGA SATUAN'!$E$6,MATCH(RAB!C119,'HARGA SATUAN'!$C$7:$C$1492,0),0)),"",OFFSET('HARGA SATUAN'!$E$6,MATCH(RAB!C119,'HARGA SATUAN'!$C$7:$C$1492,0),0)))</f>
        <v>Bh</v>
      </c>
      <c r="F119" s="536">
        <f>F113*2</f>
        <v>2</v>
      </c>
      <c r="G119" s="357">
        <f ca="1">IF(ISERROR(OFFSET('HARGA SATUAN'!$I$6,MATCH(RAB!C119,'HARGA SATUAN'!$C$7:$C$1492,0),0)),0,OFFSET('HARGA SATUAN'!$I$6,MATCH(RAB!C119,'HARGA SATUAN'!$C$7:$C$1492,0),0))</f>
        <v>27815</v>
      </c>
      <c r="H119" s="358">
        <f t="shared" ca="1" si="32"/>
        <v>0</v>
      </c>
      <c r="I119" s="358">
        <f t="shared" ca="1" si="33"/>
        <v>55630</v>
      </c>
      <c r="J119" s="358">
        <f t="shared" ca="1" si="34"/>
        <v>0</v>
      </c>
      <c r="K119" s="359">
        <f t="shared" ca="1" si="35"/>
        <v>55630</v>
      </c>
      <c r="L119" s="339"/>
      <c r="M119" s="339"/>
      <c r="N119" s="366"/>
      <c r="O119" s="341"/>
      <c r="P119" s="394"/>
      <c r="Q119" s="341"/>
    </row>
    <row r="120" spans="1:17" s="362" customFormat="1">
      <c r="A120" s="333"/>
      <c r="B120" s="532">
        <v>7</v>
      </c>
      <c r="C120" s="498" t="s">
        <v>27</v>
      </c>
      <c r="D120" s="355" t="str">
        <f ca="1">IF(ISERROR(OFFSET('HARGA SATUAN'!$D$6,MATCH(RAB!C120,'HARGA SATUAN'!$C$7:$C$1492,0),0)),"",OFFSET('HARGA SATUAN'!$D$6,MATCH(RAB!C120,'HARGA SATUAN'!$C$7:$C$1492,0),0))</f>
        <v>HDW</v>
      </c>
      <c r="E120" s="356" t="str">
        <f ca="1">IF(B120="+","Unit",IF(ISERROR(OFFSET('HARGA SATUAN'!$E$6,MATCH(RAB!C120,'HARGA SATUAN'!$C$7:$C$1492,0),0)),"",OFFSET('HARGA SATUAN'!$E$6,MATCH(RAB!C120,'HARGA SATUAN'!$C$7:$C$1492,0),0)))</f>
        <v>Bh</v>
      </c>
      <c r="F120" s="536">
        <f>F113*1</f>
        <v>1</v>
      </c>
      <c r="G120" s="357">
        <f ca="1">IF(ISERROR(OFFSET('HARGA SATUAN'!$I$6,MATCH(RAB!C120,'HARGA SATUAN'!$C$7:$C$1492,0),0)),0,OFFSET('HARGA SATUAN'!$I$6,MATCH(RAB!C120,'HARGA SATUAN'!$C$7:$C$1492,0),0))</f>
        <v>16000</v>
      </c>
      <c r="H120" s="358">
        <f t="shared" ca="1" si="32"/>
        <v>0</v>
      </c>
      <c r="I120" s="358">
        <f t="shared" ca="1" si="33"/>
        <v>16000</v>
      </c>
      <c r="J120" s="358">
        <f t="shared" ca="1" si="34"/>
        <v>0</v>
      </c>
      <c r="K120" s="359">
        <f t="shared" ca="1" si="35"/>
        <v>16000</v>
      </c>
      <c r="L120" s="339"/>
      <c r="M120" s="339"/>
      <c r="N120" s="366"/>
      <c r="O120" s="341"/>
      <c r="P120" s="394"/>
      <c r="Q120" s="341"/>
    </row>
    <row r="121" spans="1:17" s="362" customFormat="1">
      <c r="A121" s="333"/>
      <c r="B121" s="532">
        <v>8</v>
      </c>
      <c r="C121" s="498" t="s">
        <v>265</v>
      </c>
      <c r="D121" s="355" t="str">
        <f ca="1">IF(ISERROR(OFFSET('HARGA SATUAN'!$D$6,MATCH(RAB!C121,'HARGA SATUAN'!$C$7:$C$1492,0),0)),"",OFFSET('HARGA SATUAN'!$D$6,MATCH(RAB!C121,'HARGA SATUAN'!$C$7:$C$1492,0),0))</f>
        <v>HDW</v>
      </c>
      <c r="E121" s="356" t="str">
        <f ca="1">IF(B121="+","Unit",IF(ISERROR(OFFSET('HARGA SATUAN'!$E$6,MATCH(RAB!C121,'HARGA SATUAN'!$C$7:$C$1492,0),0)),"",OFFSET('HARGA SATUAN'!$E$6,MATCH(RAB!C121,'HARGA SATUAN'!$C$7:$C$1492,0),0)))</f>
        <v>Bh</v>
      </c>
      <c r="F121" s="536">
        <f>F113*1</f>
        <v>1</v>
      </c>
      <c r="G121" s="357">
        <f ca="1">IF(ISERROR(OFFSET('HARGA SATUAN'!$I$6,MATCH(RAB!C121,'HARGA SATUAN'!$C$7:$C$1492,0),0)),0,OFFSET('HARGA SATUAN'!$I$6,MATCH(RAB!C121,'HARGA SATUAN'!$C$7:$C$1492,0),0))</f>
        <v>33501.866666666669</v>
      </c>
      <c r="H121" s="358">
        <f t="shared" ca="1" si="32"/>
        <v>0</v>
      </c>
      <c r="I121" s="358">
        <f t="shared" ca="1" si="33"/>
        <v>33501.866666666669</v>
      </c>
      <c r="J121" s="358">
        <f t="shared" ca="1" si="34"/>
        <v>0</v>
      </c>
      <c r="K121" s="359">
        <f t="shared" ca="1" si="35"/>
        <v>33501.866666666669</v>
      </c>
      <c r="L121" s="339"/>
      <c r="M121" s="339"/>
      <c r="N121" s="366"/>
      <c r="O121" s="341"/>
      <c r="P121" s="394"/>
      <c r="Q121" s="341"/>
    </row>
    <row r="122" spans="1:17" s="362" customFormat="1">
      <c r="A122" s="333"/>
      <c r="B122" s="532">
        <v>9</v>
      </c>
      <c r="C122" s="498" t="s">
        <v>26</v>
      </c>
      <c r="D122" s="355" t="str">
        <f ca="1">IF(ISERROR(OFFSET('HARGA SATUAN'!$D$6,MATCH(RAB!C122,'HARGA SATUAN'!$C$7:$C$1492,0),0)),"",OFFSET('HARGA SATUAN'!$D$6,MATCH(RAB!C122,'HARGA SATUAN'!$C$7:$C$1492,0),0))</f>
        <v>HDW</v>
      </c>
      <c r="E122" s="356" t="str">
        <f ca="1">IF(B122="+","Unit",IF(ISERROR(OFFSET('HARGA SATUAN'!$E$6,MATCH(RAB!C122,'HARGA SATUAN'!$C$7:$C$1492,0),0)),"",OFFSET('HARGA SATUAN'!$E$6,MATCH(RAB!C122,'HARGA SATUAN'!$C$7:$C$1492,0),0)))</f>
        <v>Bh</v>
      </c>
      <c r="F122" s="536">
        <f>F113*2</f>
        <v>2</v>
      </c>
      <c r="G122" s="357">
        <f ca="1">IF(ISERROR(OFFSET('HARGA SATUAN'!$I$6,MATCH(RAB!C122,'HARGA SATUAN'!$C$7:$C$1492,0),0)),0,OFFSET('HARGA SATUAN'!$I$6,MATCH(RAB!C122,'HARGA SATUAN'!$C$7:$C$1492,0),0))</f>
        <v>2500</v>
      </c>
      <c r="H122" s="358">
        <f t="shared" ca="1" si="32"/>
        <v>0</v>
      </c>
      <c r="I122" s="358">
        <f t="shared" ca="1" si="33"/>
        <v>5000</v>
      </c>
      <c r="J122" s="358">
        <f t="shared" ca="1" si="34"/>
        <v>0</v>
      </c>
      <c r="K122" s="359">
        <f t="shared" ca="1" si="35"/>
        <v>5000</v>
      </c>
      <c r="L122" s="339"/>
      <c r="M122" s="339"/>
      <c r="N122" s="366"/>
      <c r="O122" s="341"/>
      <c r="P122" s="394"/>
      <c r="Q122" s="341"/>
    </row>
    <row r="123" spans="1:17" s="362" customFormat="1">
      <c r="A123" s="333"/>
      <c r="B123" s="532">
        <v>10</v>
      </c>
      <c r="C123" s="498" t="s">
        <v>655</v>
      </c>
      <c r="D123" s="355" t="str">
        <f ca="1">IF(ISERROR(OFFSET('HARGA SATUAN'!$D$6,MATCH(RAB!C123,'HARGA SATUAN'!$C$7:$C$1492,0),0)),"",OFFSET('HARGA SATUAN'!$D$6,MATCH(RAB!C123,'HARGA SATUAN'!$C$7:$C$1492,0),0))</f>
        <v>JASA</v>
      </c>
      <c r="E123" s="356" t="str">
        <f ca="1">IF(B123="+","Unit",IF(ISERROR(OFFSET('HARGA SATUAN'!$E$6,MATCH(RAB!C123,'HARGA SATUAN'!$C$7:$C$1492,0),0)),"",OFFSET('HARGA SATUAN'!$E$6,MATCH(RAB!C123,'HARGA SATUAN'!$C$7:$C$1492,0),0)))</f>
        <v>Unit</v>
      </c>
      <c r="F123" s="536">
        <f>F113*1</f>
        <v>1</v>
      </c>
      <c r="G123" s="357">
        <f ca="1">IF(ISERROR(OFFSET('HARGA SATUAN'!$I$6,MATCH(RAB!C123,'HARGA SATUAN'!$C$7:$C$1492,0),0)),0,OFFSET('HARGA SATUAN'!$I$6,MATCH(RAB!C123,'HARGA SATUAN'!$C$7:$C$1492,0),0))</f>
        <v>50100</v>
      </c>
      <c r="H123" s="358">
        <f t="shared" ca="1" si="32"/>
        <v>0</v>
      </c>
      <c r="I123" s="358">
        <f t="shared" ca="1" si="33"/>
        <v>0</v>
      </c>
      <c r="J123" s="358">
        <f t="shared" ca="1" si="34"/>
        <v>50100</v>
      </c>
      <c r="K123" s="359">
        <f t="shared" ca="1" si="35"/>
        <v>50100</v>
      </c>
      <c r="L123" s="339"/>
      <c r="M123" s="339"/>
      <c r="N123" s="366"/>
      <c r="O123" s="341"/>
      <c r="P123" s="394"/>
      <c r="Q123" s="341"/>
    </row>
    <row r="124" spans="1:17" s="362" customFormat="1">
      <c r="A124" s="333"/>
      <c r="B124" s="506"/>
      <c r="C124" s="507"/>
      <c r="D124" s="355" t="str">
        <f ca="1">IF(ISERROR(OFFSET('HARGA SATUAN'!$D$6,MATCH(RAB!C124,'HARGA SATUAN'!$C$7:$C$1492,0),0)),"",OFFSET('HARGA SATUAN'!$D$6,MATCH(RAB!C124,'HARGA SATUAN'!$C$7:$C$1492,0),0))</f>
        <v/>
      </c>
      <c r="E124" s="356" t="str">
        <f ca="1">IF(B124="+","Unit",IF(ISERROR(OFFSET('HARGA SATUAN'!$E$6,MATCH(RAB!C124,'HARGA SATUAN'!$C$7:$C$1492,0),0)),"",OFFSET('HARGA SATUAN'!$E$6,MATCH(RAB!C124,'HARGA SATUAN'!$C$7:$C$1492,0),0)))</f>
        <v/>
      </c>
      <c r="F124" s="515"/>
      <c r="G124" s="357">
        <f ca="1">IF(ISERROR(OFFSET('HARGA SATUAN'!$I$6,MATCH(RAB!C124,'HARGA SATUAN'!$C$7:$C$1492,0),0)),0,OFFSET('HARGA SATUAN'!$I$6,MATCH(RAB!C124,'HARGA SATUAN'!$C$7:$C$1492,0),0))</f>
        <v>0</v>
      </c>
      <c r="H124" s="358">
        <f t="shared" ca="1" si="32"/>
        <v>0</v>
      </c>
      <c r="I124" s="358">
        <f t="shared" ca="1" si="33"/>
        <v>0</v>
      </c>
      <c r="J124" s="358">
        <f t="shared" ca="1" si="34"/>
        <v>0</v>
      </c>
      <c r="K124" s="359">
        <f t="shared" ca="1" si="35"/>
        <v>0</v>
      </c>
      <c r="L124" s="339"/>
      <c r="M124" s="339"/>
      <c r="N124" s="366"/>
      <c r="O124" s="341"/>
      <c r="P124" s="394"/>
      <c r="Q124" s="341"/>
    </row>
    <row r="125" spans="1:17" s="362" customFormat="1">
      <c r="A125" s="333"/>
      <c r="B125" s="538"/>
      <c r="C125" s="505" t="s">
        <v>1661</v>
      </c>
      <c r="D125" s="355" t="str">
        <f ca="1">IF(ISERROR(OFFSET('HARGA SATUAN'!$D$6,MATCH(RAB!C125,'HARGA SATUAN'!$C$7:$C$1492,0),0)),"",OFFSET('HARGA SATUAN'!$D$6,MATCH(RAB!C125,'HARGA SATUAN'!$C$7:$C$1492,0),0))</f>
        <v/>
      </c>
      <c r="E125" s="356" t="str">
        <f ca="1">IF(B125="+","Unit",IF(ISERROR(OFFSET('HARGA SATUAN'!$E$6,MATCH(RAB!C125,'HARGA SATUAN'!$C$7:$C$1492,0),0)),"",OFFSET('HARGA SATUAN'!$E$6,MATCH(RAB!C125,'HARGA SATUAN'!$C$7:$C$1492,0),0)))</f>
        <v/>
      </c>
      <c r="F125" s="515"/>
      <c r="G125" s="357">
        <f ca="1">IF(ISERROR(OFFSET('HARGA SATUAN'!$I$6,MATCH(RAB!C125,'HARGA SATUAN'!$C$7:$C$1492,0),0)),0,OFFSET('HARGA SATUAN'!$I$6,MATCH(RAB!C125,'HARGA SATUAN'!$C$7:$C$1492,0),0))</f>
        <v>0</v>
      </c>
      <c r="H125" s="358">
        <f t="shared" ca="1" si="32"/>
        <v>0</v>
      </c>
      <c r="I125" s="358">
        <f t="shared" ca="1" si="33"/>
        <v>0</v>
      </c>
      <c r="J125" s="358">
        <f t="shared" ca="1" si="34"/>
        <v>0</v>
      </c>
      <c r="K125" s="359">
        <f t="shared" ca="1" si="35"/>
        <v>0</v>
      </c>
      <c r="L125" s="339"/>
      <c r="M125" s="339"/>
      <c r="N125" s="366"/>
      <c r="O125" s="341"/>
      <c r="P125" s="394"/>
      <c r="Q125" s="341"/>
    </row>
    <row r="126" spans="1:17" s="362" customFormat="1">
      <c r="A126" s="333"/>
      <c r="B126" s="506"/>
      <c r="C126" s="507"/>
      <c r="D126" s="355" t="str">
        <f ca="1">IF(ISERROR(OFFSET('HARGA SATUAN'!$D$6,MATCH(RAB!C126,'HARGA SATUAN'!$C$7:$C$1492,0),0)),"",OFFSET('HARGA SATUAN'!$D$6,MATCH(RAB!C126,'HARGA SATUAN'!$C$7:$C$1492,0),0))</f>
        <v/>
      </c>
      <c r="E126" s="356" t="str">
        <f ca="1">IF(B126="+","Unit",IF(ISERROR(OFFSET('HARGA SATUAN'!$E$6,MATCH(RAB!C126,'HARGA SATUAN'!$C$7:$C$1492,0),0)),"",OFFSET('HARGA SATUAN'!$E$6,MATCH(RAB!C126,'HARGA SATUAN'!$C$7:$C$1492,0),0)))</f>
        <v/>
      </c>
      <c r="F126" s="515"/>
      <c r="G126" s="357">
        <f ca="1">IF(ISERROR(OFFSET('HARGA SATUAN'!$I$6,MATCH(RAB!C126,'HARGA SATUAN'!$C$7:$C$1492,0),0)),0,OFFSET('HARGA SATUAN'!$I$6,MATCH(RAB!C126,'HARGA SATUAN'!$C$7:$C$1492,0),0))</f>
        <v>0</v>
      </c>
      <c r="H126" s="358">
        <f t="shared" ca="1" si="32"/>
        <v>0</v>
      </c>
      <c r="I126" s="358">
        <f t="shared" ca="1" si="33"/>
        <v>0</v>
      </c>
      <c r="J126" s="358">
        <f t="shared" ca="1" si="34"/>
        <v>0</v>
      </c>
      <c r="K126" s="359">
        <f t="shared" ca="1" si="35"/>
        <v>0</v>
      </c>
      <c r="L126" s="339"/>
      <c r="M126" s="339"/>
      <c r="N126" s="366"/>
      <c r="O126" s="341"/>
      <c r="P126" s="394"/>
      <c r="Q126" s="341"/>
    </row>
    <row r="127" spans="1:17" s="362" customFormat="1">
      <c r="A127" s="333"/>
      <c r="B127" s="532" t="s">
        <v>1035</v>
      </c>
      <c r="C127" s="533" t="s">
        <v>1654</v>
      </c>
      <c r="D127" s="355" t="str">
        <f ca="1">IF(ISERROR(OFFSET('HARGA SATUAN'!$D$6,MATCH(RAB!C127,'HARGA SATUAN'!$C$7:$C$1492,0),0)),"",OFFSET('HARGA SATUAN'!$D$6,MATCH(RAB!C127,'HARGA SATUAN'!$C$7:$C$1492,0),0))</f>
        <v/>
      </c>
      <c r="E127" s="356" t="str">
        <f ca="1">IF(B127="+","Unit",IF(ISERROR(OFFSET('HARGA SATUAN'!$E$6,MATCH(RAB!C127,'HARGA SATUAN'!$C$7:$C$1492,0),0)),"",OFFSET('HARGA SATUAN'!$E$6,MATCH(RAB!C127,'HARGA SATUAN'!$C$7:$C$1492,0),0)))</f>
        <v>Unit</v>
      </c>
      <c r="F127" s="495">
        <v>3</v>
      </c>
      <c r="G127" s="357">
        <f ca="1">IF(ISERROR(OFFSET('HARGA SATUAN'!$I$6,MATCH(RAB!C127,'HARGA SATUAN'!$C$7:$C$1492,0),0)),0,OFFSET('HARGA SATUAN'!$I$6,MATCH(RAB!C127,'HARGA SATUAN'!$C$7:$C$1492,0),0))</f>
        <v>0</v>
      </c>
      <c r="H127" s="358">
        <f t="shared" ca="1" si="32"/>
        <v>0</v>
      </c>
      <c r="I127" s="358">
        <f t="shared" ca="1" si="33"/>
        <v>0</v>
      </c>
      <c r="J127" s="358">
        <f t="shared" ca="1" si="34"/>
        <v>0</v>
      </c>
      <c r="K127" s="359">
        <f t="shared" ca="1" si="35"/>
        <v>0</v>
      </c>
      <c r="L127" s="339"/>
      <c r="M127" s="339"/>
      <c r="N127" s="366"/>
      <c r="O127" s="341"/>
      <c r="P127" s="394"/>
      <c r="Q127" s="341"/>
    </row>
    <row r="128" spans="1:17" s="362" customFormat="1">
      <c r="A128" s="333"/>
      <c r="B128" s="532">
        <v>1</v>
      </c>
      <c r="C128" s="533" t="s">
        <v>181</v>
      </c>
      <c r="D128" s="355" t="str">
        <f ca="1">IF(ISERROR(OFFSET('HARGA SATUAN'!$D$6,MATCH(RAB!C128,'HARGA SATUAN'!$C$7:$C$1492,0),0)),"",OFFSET('HARGA SATUAN'!$D$6,MATCH(RAB!C128,'HARGA SATUAN'!$C$7:$C$1492,0),0))</f>
        <v>HDW</v>
      </c>
      <c r="E128" s="356" t="str">
        <f ca="1">IF(B128="+","Unit",IF(ISERROR(OFFSET('HARGA SATUAN'!$E$6,MATCH(RAB!C128,'HARGA SATUAN'!$C$7:$C$1492,0),0)),"",OFFSET('HARGA SATUAN'!$E$6,MATCH(RAB!C128,'HARGA SATUAN'!$C$7:$C$1492,0),0)))</f>
        <v>Bh</v>
      </c>
      <c r="F128" s="495">
        <f>F127*1</f>
        <v>3</v>
      </c>
      <c r="G128" s="357">
        <f ca="1">IF(ISERROR(OFFSET('HARGA SATUAN'!$I$6,MATCH(RAB!C128,'HARGA SATUAN'!$C$7:$C$1492,0),0)),0,OFFSET('HARGA SATUAN'!$I$6,MATCH(RAB!C128,'HARGA SATUAN'!$C$7:$C$1492,0),0))</f>
        <v>28100</v>
      </c>
      <c r="H128" s="358">
        <f t="shared" ca="1" si="32"/>
        <v>0</v>
      </c>
      <c r="I128" s="358">
        <f t="shared" ca="1" si="33"/>
        <v>84300</v>
      </c>
      <c r="J128" s="358">
        <f t="shared" ca="1" si="34"/>
        <v>0</v>
      </c>
      <c r="K128" s="359">
        <f t="shared" ca="1" si="35"/>
        <v>84300</v>
      </c>
      <c r="L128" s="339"/>
      <c r="M128" s="339"/>
      <c r="N128" s="366"/>
      <c r="O128" s="341"/>
      <c r="P128" s="394"/>
      <c r="Q128" s="341"/>
    </row>
    <row r="129" spans="1:17" s="362" customFormat="1">
      <c r="A129" s="333"/>
      <c r="B129" s="532">
        <v>2</v>
      </c>
      <c r="C129" s="533" t="s">
        <v>67</v>
      </c>
      <c r="D129" s="355" t="str">
        <f ca="1">IF(ISERROR(OFFSET('HARGA SATUAN'!$D$6,MATCH(RAB!C129,'HARGA SATUAN'!$C$7:$C$1492,0),0)),"",OFFSET('HARGA SATUAN'!$D$6,MATCH(RAB!C129,'HARGA SATUAN'!$C$7:$C$1492,0),0))</f>
        <v>MDU-KD</v>
      </c>
      <c r="E129" s="356" t="str">
        <f ca="1">IF(B129="+","Unit",IF(ISERROR(OFFSET('HARGA SATUAN'!$E$6,MATCH(RAB!C129,'HARGA SATUAN'!$C$7:$C$1492,0),0)),"",OFFSET('HARGA SATUAN'!$E$6,MATCH(RAB!C129,'HARGA SATUAN'!$C$7:$C$1492,0),0)))</f>
        <v>Mtr</v>
      </c>
      <c r="F129" s="495">
        <f>F127*1</f>
        <v>3</v>
      </c>
      <c r="G129" s="357">
        <f ca="1">IF(ISERROR(OFFSET('HARGA SATUAN'!$I$6,MATCH(RAB!C129,'HARGA SATUAN'!$C$7:$C$1492,0),0)),0,OFFSET('HARGA SATUAN'!$I$6,MATCH(RAB!C129,'HARGA SATUAN'!$C$7:$C$1492,0),0))</f>
        <v>36900</v>
      </c>
      <c r="H129" s="358">
        <f t="shared" ca="1" si="32"/>
        <v>110700</v>
      </c>
      <c r="I129" s="358">
        <f t="shared" ca="1" si="33"/>
        <v>0</v>
      </c>
      <c r="J129" s="358">
        <f t="shared" ca="1" si="34"/>
        <v>0</v>
      </c>
      <c r="K129" s="359">
        <f t="shared" ca="1" si="35"/>
        <v>110700</v>
      </c>
      <c r="L129" s="339"/>
      <c r="M129" s="339"/>
      <c r="N129" s="366"/>
      <c r="O129" s="341"/>
      <c r="P129" s="394"/>
      <c r="Q129" s="341"/>
    </row>
    <row r="130" spans="1:17" s="362" customFormat="1">
      <c r="A130" s="333"/>
      <c r="B130" s="532">
        <v>3</v>
      </c>
      <c r="C130" s="109" t="s">
        <v>559</v>
      </c>
      <c r="D130" s="355" t="str">
        <f ca="1">IF(ISERROR(OFFSET('HARGA SATUAN'!$D$6,MATCH(RAB!C130,'HARGA SATUAN'!$C$7:$C$1492,0),0)),"",OFFSET('HARGA SATUAN'!$D$6,MATCH(RAB!C130,'HARGA SATUAN'!$C$7:$C$1492,0),0))</f>
        <v>MDU-KD</v>
      </c>
      <c r="E130" s="356" t="str">
        <f ca="1">IF(B130="+","Unit",IF(ISERROR(OFFSET('HARGA SATUAN'!$E$6,MATCH(RAB!C130,'HARGA SATUAN'!$C$7:$C$1492,0),0)),"",OFFSET('HARGA SATUAN'!$E$6,MATCH(RAB!C130,'HARGA SATUAN'!$C$7:$C$1492,0),0)))</f>
        <v>Bh</v>
      </c>
      <c r="F130" s="495">
        <f>F127*1</f>
        <v>3</v>
      </c>
      <c r="G130" s="357">
        <f ca="1">IF(ISERROR(OFFSET('HARGA SATUAN'!$I$6,MATCH(RAB!C130,'HARGA SATUAN'!$C$7:$C$1492,0),0)),0,OFFSET('HARGA SATUAN'!$I$6,MATCH(RAB!C130,'HARGA SATUAN'!$C$7:$C$1492,0),0))</f>
        <v>725900</v>
      </c>
      <c r="H130" s="358">
        <f t="shared" ca="1" si="32"/>
        <v>2177700</v>
      </c>
      <c r="I130" s="358">
        <f t="shared" ca="1" si="33"/>
        <v>0</v>
      </c>
      <c r="J130" s="358">
        <f t="shared" ca="1" si="34"/>
        <v>0</v>
      </c>
      <c r="K130" s="359">
        <f t="shared" ca="1" si="35"/>
        <v>2177700</v>
      </c>
      <c r="L130" s="339"/>
      <c r="M130" s="339"/>
      <c r="N130" s="366"/>
      <c r="O130" s="341"/>
      <c r="P130" s="394"/>
      <c r="Q130" s="341"/>
    </row>
    <row r="131" spans="1:17" s="362" customFormat="1">
      <c r="A131" s="333"/>
      <c r="B131" s="532">
        <v>4</v>
      </c>
      <c r="C131" s="533" t="s">
        <v>745</v>
      </c>
      <c r="D131" s="355" t="str">
        <f ca="1">IF(ISERROR(OFFSET('HARGA SATUAN'!$D$6,MATCH(RAB!C131,'HARGA SATUAN'!$C$7:$C$1492,0),0)),"",OFFSET('HARGA SATUAN'!$D$6,MATCH(RAB!C131,'HARGA SATUAN'!$C$7:$C$1492,0),0))</f>
        <v>JASA</v>
      </c>
      <c r="E131" s="356" t="str">
        <f ca="1">IF(B131="+","Unit",IF(ISERROR(OFFSET('HARGA SATUAN'!$E$6,MATCH(RAB!C131,'HARGA SATUAN'!$C$7:$C$1492,0),0)),"",OFFSET('HARGA SATUAN'!$E$6,MATCH(RAB!C131,'HARGA SATUAN'!$C$7:$C$1492,0),0)))</f>
        <v>Unit</v>
      </c>
      <c r="F131" s="495">
        <f>F127*1</f>
        <v>3</v>
      </c>
      <c r="G131" s="357">
        <f ca="1">IF(ISERROR(OFFSET('HARGA SATUAN'!$I$6,MATCH(RAB!C131,'HARGA SATUAN'!$C$7:$C$1492,0),0)),0,OFFSET('HARGA SATUAN'!$I$6,MATCH(RAB!C131,'HARGA SATUAN'!$C$7:$C$1492,0),0))</f>
        <v>58400</v>
      </c>
      <c r="H131" s="358">
        <f t="shared" ca="1" si="32"/>
        <v>0</v>
      </c>
      <c r="I131" s="358">
        <f t="shared" ca="1" si="33"/>
        <v>0</v>
      </c>
      <c r="J131" s="358">
        <f t="shared" ca="1" si="34"/>
        <v>175200</v>
      </c>
      <c r="K131" s="359">
        <f t="shared" ca="1" si="35"/>
        <v>175200</v>
      </c>
      <c r="L131" s="339"/>
      <c r="M131" s="339"/>
      <c r="N131" s="366"/>
      <c r="O131" s="341"/>
      <c r="P131" s="394"/>
      <c r="Q131" s="341"/>
    </row>
    <row r="132" spans="1:17" s="362" customFormat="1">
      <c r="A132" s="333"/>
      <c r="B132" s="506"/>
      <c r="C132" s="507"/>
      <c r="D132" s="355" t="str">
        <f ca="1">IF(ISERROR(OFFSET('HARGA SATUAN'!$D$6,MATCH(RAB!C132,'HARGA SATUAN'!$C$7:$C$1492,0),0)),"",OFFSET('HARGA SATUAN'!$D$6,MATCH(RAB!C132,'HARGA SATUAN'!$C$7:$C$1492,0),0))</f>
        <v/>
      </c>
      <c r="E132" s="356" t="str">
        <f ca="1">IF(B132="+","Unit",IF(ISERROR(OFFSET('HARGA SATUAN'!$E$6,MATCH(RAB!C132,'HARGA SATUAN'!$C$7:$C$1492,0),0)),"",OFFSET('HARGA SATUAN'!$E$6,MATCH(RAB!C132,'HARGA SATUAN'!$C$7:$C$1492,0),0)))</f>
        <v/>
      </c>
      <c r="F132" s="515"/>
      <c r="G132" s="357">
        <f ca="1">IF(ISERROR(OFFSET('HARGA SATUAN'!$I$6,MATCH(RAB!C132,'HARGA SATUAN'!$C$7:$C$1492,0),0)),0,OFFSET('HARGA SATUAN'!$I$6,MATCH(RAB!C132,'HARGA SATUAN'!$C$7:$C$1492,0),0))</f>
        <v>0</v>
      </c>
      <c r="H132" s="358">
        <f t="shared" ca="1" si="32"/>
        <v>0</v>
      </c>
      <c r="I132" s="358">
        <f t="shared" ca="1" si="33"/>
        <v>0</v>
      </c>
      <c r="J132" s="358">
        <f t="shared" ca="1" si="34"/>
        <v>0</v>
      </c>
      <c r="K132" s="359">
        <f t="shared" ca="1" si="35"/>
        <v>0</v>
      </c>
      <c r="L132" s="339"/>
      <c r="M132" s="339"/>
      <c r="N132" s="366"/>
      <c r="O132" s="341"/>
      <c r="P132" s="394"/>
      <c r="Q132" s="341"/>
    </row>
    <row r="133" spans="1:17" s="362" customFormat="1">
      <c r="A133" s="333"/>
      <c r="B133" s="496" t="s">
        <v>1035</v>
      </c>
      <c r="C133" s="497" t="s">
        <v>1619</v>
      </c>
      <c r="D133" s="355" t="str">
        <f ca="1">IF(ISERROR(OFFSET('HARGA SATUAN'!$D$6,MATCH(RAB!C133,'HARGA SATUAN'!$C$7:$C$1492,0),0)),"",OFFSET('HARGA SATUAN'!$D$6,MATCH(RAB!C133,'HARGA SATUAN'!$C$7:$C$1492,0),0))</f>
        <v/>
      </c>
      <c r="E133" s="356" t="str">
        <f ca="1">IF(B133="+","Unit",IF(ISERROR(OFFSET('HARGA SATUAN'!$E$6,MATCH(RAB!C133,'HARGA SATUAN'!$C$7:$C$1492,0),0)),"",OFFSET('HARGA SATUAN'!$E$6,MATCH(RAB!C133,'HARGA SATUAN'!$C$7:$C$1492,0),0)))</f>
        <v>Unit</v>
      </c>
      <c r="F133" s="494">
        <v>1</v>
      </c>
      <c r="G133" s="357">
        <f ca="1">IF(ISERROR(OFFSET('HARGA SATUAN'!$I$6,MATCH(RAB!C133,'HARGA SATUAN'!$C$7:$C$1492,0),0)),0,OFFSET('HARGA SATUAN'!$I$6,MATCH(RAB!C133,'HARGA SATUAN'!$C$7:$C$1492,0),0))</f>
        <v>0</v>
      </c>
      <c r="H133" s="358">
        <f t="shared" ref="H133:H143" ca="1" si="36">IF(OR(D133="MDU",D133="MDU-KD"),(IF($O$3="RAB NON MDU","PLN KD",G133*F133)),0)</f>
        <v>0</v>
      </c>
      <c r="I133" s="358">
        <f t="shared" ref="I133:I143" ca="1" si="37">IF(D133="HDW",G133*F133,0)</f>
        <v>0</v>
      </c>
      <c r="J133" s="358">
        <f t="shared" ref="J133:J143" ca="1" si="38">IF(D133="JASA",G133*F133,0)</f>
        <v>0</v>
      </c>
      <c r="K133" s="359">
        <f t="shared" ref="K133:K143" ca="1" si="39">SUM(H133:J133)</f>
        <v>0</v>
      </c>
      <c r="L133" s="339"/>
      <c r="M133" s="339"/>
      <c r="N133" s="366"/>
      <c r="O133" s="341"/>
      <c r="P133" s="394"/>
      <c r="Q133" s="341"/>
    </row>
    <row r="134" spans="1:17" s="362" customFormat="1">
      <c r="A134" s="333"/>
      <c r="B134" s="496">
        <v>1</v>
      </c>
      <c r="C134" s="498" t="s">
        <v>29</v>
      </c>
      <c r="D134" s="355" t="str">
        <f ca="1">IF(ISERROR(OFFSET('HARGA SATUAN'!$D$6,MATCH(RAB!C134,'HARGA SATUAN'!$C$7:$C$1492,0),0)),"",OFFSET('HARGA SATUAN'!$D$6,MATCH(RAB!C134,'HARGA SATUAN'!$C$7:$C$1492,0),0))</f>
        <v>HDW</v>
      </c>
      <c r="E134" s="356" t="str">
        <f ca="1">IF(B134="+","Unit",IF(ISERROR(OFFSET('HARGA SATUAN'!$E$6,MATCH(RAB!C134,'HARGA SATUAN'!$C$7:$C$1492,0),0)),"",OFFSET('HARGA SATUAN'!$E$6,MATCH(RAB!C134,'HARGA SATUAN'!$C$7:$C$1492,0),0)))</f>
        <v>Bh</v>
      </c>
      <c r="F134" s="494">
        <f>F133*1</f>
        <v>1</v>
      </c>
      <c r="G134" s="357">
        <f ca="1">IF(ISERROR(OFFSET('HARGA SATUAN'!$I$6,MATCH(RAB!C134,'HARGA SATUAN'!$C$7:$C$1492,0),0)),0,OFFSET('HARGA SATUAN'!$I$6,MATCH(RAB!C134,'HARGA SATUAN'!$C$7:$C$1492,0),0))</f>
        <v>185200</v>
      </c>
      <c r="H134" s="358">
        <f t="shared" ca="1" si="36"/>
        <v>0</v>
      </c>
      <c r="I134" s="358">
        <f t="shared" ca="1" si="37"/>
        <v>185200</v>
      </c>
      <c r="J134" s="358">
        <f t="shared" ca="1" si="38"/>
        <v>0</v>
      </c>
      <c r="K134" s="359">
        <f t="shared" ca="1" si="39"/>
        <v>185200</v>
      </c>
      <c r="L134" s="339"/>
      <c r="M134" s="339"/>
      <c r="N134" s="366"/>
      <c r="O134" s="341"/>
      <c r="P134" s="394"/>
      <c r="Q134" s="341"/>
    </row>
    <row r="135" spans="1:17" s="362" customFormat="1">
      <c r="A135" s="333"/>
      <c r="B135" s="532">
        <v>2</v>
      </c>
      <c r="C135" s="533" t="s">
        <v>30</v>
      </c>
      <c r="D135" s="355" t="str">
        <f ca="1">IF(ISERROR(OFFSET('HARGA SATUAN'!$D$6,MATCH(RAB!C135,'HARGA SATUAN'!$C$7:$C$1492,0),0)),"",OFFSET('HARGA SATUAN'!$D$6,MATCH(RAB!C135,'HARGA SATUAN'!$C$7:$C$1492,0),0))</f>
        <v>HDW</v>
      </c>
      <c r="E135" s="356" t="str">
        <f ca="1">IF(B135="+","Unit",IF(ISERROR(OFFSET('HARGA SATUAN'!$E$6,MATCH(RAB!C135,'HARGA SATUAN'!$C$7:$C$1492,0),0)),"",OFFSET('HARGA SATUAN'!$E$6,MATCH(RAB!C135,'HARGA SATUAN'!$C$7:$C$1492,0),0)))</f>
        <v>Bh</v>
      </c>
      <c r="F135" s="494">
        <f>F133*1</f>
        <v>1</v>
      </c>
      <c r="G135" s="357">
        <f ca="1">IF(ISERROR(OFFSET('HARGA SATUAN'!$I$6,MATCH(RAB!C135,'HARGA SATUAN'!$C$7:$C$1492,0),0)),0,OFFSET('HARGA SATUAN'!$I$6,MATCH(RAB!C135,'HARGA SATUAN'!$C$7:$C$1492,0),0))</f>
        <v>47459</v>
      </c>
      <c r="H135" s="358">
        <f t="shared" ca="1" si="36"/>
        <v>0</v>
      </c>
      <c r="I135" s="358">
        <f t="shared" ca="1" si="37"/>
        <v>47459</v>
      </c>
      <c r="J135" s="358">
        <f t="shared" ca="1" si="38"/>
        <v>0</v>
      </c>
      <c r="K135" s="359">
        <f t="shared" ca="1" si="39"/>
        <v>47459</v>
      </c>
      <c r="L135" s="339"/>
      <c r="M135" s="339"/>
      <c r="N135" s="366"/>
      <c r="O135" s="341"/>
      <c r="P135" s="394"/>
      <c r="Q135" s="341"/>
    </row>
    <row r="136" spans="1:17" s="362" customFormat="1">
      <c r="A136" s="333"/>
      <c r="B136" s="532">
        <v>3</v>
      </c>
      <c r="C136" s="533" t="s">
        <v>31</v>
      </c>
      <c r="D136" s="355" t="str">
        <f ca="1">IF(ISERROR(OFFSET('HARGA SATUAN'!$D$6,MATCH(RAB!C136,'HARGA SATUAN'!$C$7:$C$1492,0),0)),"",OFFSET('HARGA SATUAN'!$D$6,MATCH(RAB!C136,'HARGA SATUAN'!$C$7:$C$1492,0),0))</f>
        <v>HDW</v>
      </c>
      <c r="E136" s="356" t="str">
        <f ca="1">IF(B136="+","Unit",IF(ISERROR(OFFSET('HARGA SATUAN'!$E$6,MATCH(RAB!C136,'HARGA SATUAN'!$C$7:$C$1492,0),0)),"",OFFSET('HARGA SATUAN'!$E$6,MATCH(RAB!C136,'HARGA SATUAN'!$C$7:$C$1492,0),0)))</f>
        <v>Bh</v>
      </c>
      <c r="F136" s="494">
        <f>F133*1</f>
        <v>1</v>
      </c>
      <c r="G136" s="357">
        <f ca="1">IF(ISERROR(OFFSET('HARGA SATUAN'!$I$6,MATCH(RAB!C136,'HARGA SATUAN'!$C$7:$C$1492,0),0)),0,OFFSET('HARGA SATUAN'!$I$6,MATCH(RAB!C136,'HARGA SATUAN'!$C$7:$C$1492,0),0))</f>
        <v>4880</v>
      </c>
      <c r="H136" s="358">
        <f t="shared" ca="1" si="36"/>
        <v>0</v>
      </c>
      <c r="I136" s="358">
        <f t="shared" ca="1" si="37"/>
        <v>4880</v>
      </c>
      <c r="J136" s="358">
        <f t="shared" ca="1" si="38"/>
        <v>0</v>
      </c>
      <c r="K136" s="359">
        <f t="shared" ca="1" si="39"/>
        <v>4880</v>
      </c>
      <c r="L136" s="339"/>
      <c r="M136" s="339"/>
      <c r="N136" s="366"/>
      <c r="O136" s="341"/>
      <c r="P136" s="394"/>
      <c r="Q136" s="341"/>
    </row>
    <row r="137" spans="1:17" s="362" customFormat="1">
      <c r="A137" s="333"/>
      <c r="B137" s="532">
        <v>4</v>
      </c>
      <c r="C137" s="533" t="s">
        <v>32</v>
      </c>
      <c r="D137" s="355" t="str">
        <f ca="1">IF(ISERROR(OFFSET('HARGA SATUAN'!$D$6,MATCH(RAB!C137,'HARGA SATUAN'!$C$7:$C$1492,0),0)),"",OFFSET('HARGA SATUAN'!$D$6,MATCH(RAB!C137,'HARGA SATUAN'!$C$7:$C$1492,0),0))</f>
        <v>HDW</v>
      </c>
      <c r="E137" s="356" t="str">
        <f ca="1">IF(B137="+","Unit",IF(ISERROR(OFFSET('HARGA SATUAN'!$E$6,MATCH(RAB!C137,'HARGA SATUAN'!$C$7:$C$1492,0),0)),"",OFFSET('HARGA SATUAN'!$E$6,MATCH(RAB!C137,'HARGA SATUAN'!$C$7:$C$1492,0),0)))</f>
        <v>Mtr</v>
      </c>
      <c r="F137" s="494">
        <f>F133*10</f>
        <v>10</v>
      </c>
      <c r="G137" s="357">
        <f ca="1">IF(ISERROR(OFFSET('HARGA SATUAN'!$I$6,MATCH(RAB!C137,'HARGA SATUAN'!$C$7:$C$1492,0),0)),0,OFFSET('HARGA SATUAN'!$I$6,MATCH(RAB!C137,'HARGA SATUAN'!$C$7:$C$1492,0),0))</f>
        <v>30000</v>
      </c>
      <c r="H137" s="358">
        <f t="shared" ca="1" si="36"/>
        <v>0</v>
      </c>
      <c r="I137" s="358">
        <f t="shared" ca="1" si="37"/>
        <v>300000</v>
      </c>
      <c r="J137" s="358">
        <f t="shared" ca="1" si="38"/>
        <v>0</v>
      </c>
      <c r="K137" s="359">
        <f t="shared" ca="1" si="39"/>
        <v>300000</v>
      </c>
      <c r="L137" s="339"/>
      <c r="M137" s="339"/>
      <c r="N137" s="366"/>
      <c r="O137" s="341"/>
      <c r="P137" s="394"/>
      <c r="Q137" s="341"/>
    </row>
    <row r="138" spans="1:17" s="362" customFormat="1">
      <c r="A138" s="333"/>
      <c r="B138" s="532">
        <v>5</v>
      </c>
      <c r="C138" s="533" t="s">
        <v>33</v>
      </c>
      <c r="D138" s="355" t="str">
        <f ca="1">IF(ISERROR(OFFSET('HARGA SATUAN'!$D$6,MATCH(RAB!C138,'HARGA SATUAN'!$C$7:$C$1492,0),0)),"",OFFSET('HARGA SATUAN'!$D$6,MATCH(RAB!C138,'HARGA SATUAN'!$C$7:$C$1492,0),0))</f>
        <v>HDW</v>
      </c>
      <c r="E138" s="356" t="str">
        <f ca="1">IF(B138="+","Unit",IF(ISERROR(OFFSET('HARGA SATUAN'!$E$6,MATCH(RAB!C138,'HARGA SATUAN'!$C$7:$C$1492,0),0)),"",OFFSET('HARGA SATUAN'!$E$6,MATCH(RAB!C138,'HARGA SATUAN'!$C$7:$C$1492,0),0)))</f>
        <v>Bh</v>
      </c>
      <c r="F138" s="494">
        <f>F133*2</f>
        <v>2</v>
      </c>
      <c r="G138" s="357">
        <f ca="1">IF(ISERROR(OFFSET('HARGA SATUAN'!$I$6,MATCH(RAB!C138,'HARGA SATUAN'!$C$7:$C$1492,0),0)),0,OFFSET('HARGA SATUAN'!$I$6,MATCH(RAB!C138,'HARGA SATUAN'!$C$7:$C$1492,0),0))</f>
        <v>9500</v>
      </c>
      <c r="H138" s="358">
        <f t="shared" ca="1" si="36"/>
        <v>0</v>
      </c>
      <c r="I138" s="358">
        <f t="shared" ca="1" si="37"/>
        <v>19000</v>
      </c>
      <c r="J138" s="358">
        <f t="shared" ca="1" si="38"/>
        <v>0</v>
      </c>
      <c r="K138" s="359">
        <f t="shared" ca="1" si="39"/>
        <v>19000</v>
      </c>
      <c r="L138" s="339"/>
      <c r="M138" s="339"/>
      <c r="N138" s="366"/>
      <c r="O138" s="341"/>
      <c r="P138" s="394"/>
      <c r="Q138" s="341"/>
    </row>
    <row r="139" spans="1:17" s="362" customFormat="1">
      <c r="A139" s="333"/>
      <c r="B139" s="532">
        <v>6</v>
      </c>
      <c r="C139" s="533" t="s">
        <v>34</v>
      </c>
      <c r="D139" s="355" t="str">
        <f ca="1">IF(ISERROR(OFFSET('HARGA SATUAN'!$D$6,MATCH(RAB!C139,'HARGA SATUAN'!$C$7:$C$1492,0),0)),"",OFFSET('HARGA SATUAN'!$D$6,MATCH(RAB!C139,'HARGA SATUAN'!$C$7:$C$1492,0),0))</f>
        <v>HDW</v>
      </c>
      <c r="E139" s="356" t="str">
        <f ca="1">IF(B139="+","Unit",IF(ISERROR(OFFSET('HARGA SATUAN'!$E$6,MATCH(RAB!C139,'HARGA SATUAN'!$C$7:$C$1492,0),0)),"",OFFSET('HARGA SATUAN'!$E$6,MATCH(RAB!C139,'HARGA SATUAN'!$C$7:$C$1492,0),0)))</f>
        <v>Bh</v>
      </c>
      <c r="F139" s="494">
        <f>F133*5.5</f>
        <v>5.5</v>
      </c>
      <c r="G139" s="357">
        <f ca="1">IF(ISERROR(OFFSET('HARGA SATUAN'!$I$6,MATCH(RAB!C139,'HARGA SATUAN'!$C$7:$C$1492,0),0)),0,OFFSET('HARGA SATUAN'!$I$6,MATCH(RAB!C139,'HARGA SATUAN'!$C$7:$C$1492,0),0))</f>
        <v>6100</v>
      </c>
      <c r="H139" s="358">
        <f t="shared" ca="1" si="36"/>
        <v>0</v>
      </c>
      <c r="I139" s="358">
        <f t="shared" ca="1" si="37"/>
        <v>33550</v>
      </c>
      <c r="J139" s="358">
        <f t="shared" ca="1" si="38"/>
        <v>0</v>
      </c>
      <c r="K139" s="359">
        <f t="shared" ca="1" si="39"/>
        <v>33550</v>
      </c>
      <c r="L139" s="339"/>
      <c r="M139" s="339"/>
      <c r="N139" s="366"/>
      <c r="O139" s="341"/>
      <c r="P139" s="394"/>
      <c r="Q139" s="341"/>
    </row>
    <row r="140" spans="1:17" s="362" customFormat="1">
      <c r="A140" s="333"/>
      <c r="B140" s="532">
        <v>7</v>
      </c>
      <c r="C140" s="533" t="s">
        <v>35</v>
      </c>
      <c r="D140" s="355" t="str">
        <f ca="1">IF(ISERROR(OFFSET('HARGA SATUAN'!$D$6,MATCH(RAB!C140,'HARGA SATUAN'!$C$7:$C$1492,0),0)),"",OFFSET('HARGA SATUAN'!$D$6,MATCH(RAB!C140,'HARGA SATUAN'!$C$7:$C$1492,0),0))</f>
        <v>HDW</v>
      </c>
      <c r="E140" s="356" t="str">
        <f ca="1">IF(B140="+","Unit",IF(ISERROR(OFFSET('HARGA SATUAN'!$E$6,MATCH(RAB!C140,'HARGA SATUAN'!$C$7:$C$1492,0),0)),"",OFFSET('HARGA SATUAN'!$E$6,MATCH(RAB!C140,'HARGA SATUAN'!$C$7:$C$1492,0),0)))</f>
        <v>Bh</v>
      </c>
      <c r="F140" s="494">
        <f>F133*6</f>
        <v>6</v>
      </c>
      <c r="G140" s="357">
        <f ca="1">IF(ISERROR(OFFSET('HARGA SATUAN'!$I$6,MATCH(RAB!C140,'HARGA SATUAN'!$C$7:$C$1492,0),0)),0,OFFSET('HARGA SATUAN'!$I$6,MATCH(RAB!C140,'HARGA SATUAN'!$C$7:$C$1492,0),0))</f>
        <v>2300</v>
      </c>
      <c r="H140" s="358">
        <f t="shared" ca="1" si="36"/>
        <v>0</v>
      </c>
      <c r="I140" s="358">
        <f t="shared" ca="1" si="37"/>
        <v>13800</v>
      </c>
      <c r="J140" s="358">
        <f t="shared" ca="1" si="38"/>
        <v>0</v>
      </c>
      <c r="K140" s="359">
        <f t="shared" ca="1" si="39"/>
        <v>13800</v>
      </c>
      <c r="L140" s="339"/>
      <c r="M140" s="339"/>
      <c r="N140" s="366"/>
      <c r="O140" s="341"/>
      <c r="P140" s="394"/>
      <c r="Q140" s="341"/>
    </row>
    <row r="141" spans="1:17" s="362" customFormat="1">
      <c r="A141" s="333"/>
      <c r="B141" s="532">
        <v>8</v>
      </c>
      <c r="C141" s="533" t="s">
        <v>1620</v>
      </c>
      <c r="D141" s="355" t="str">
        <f ca="1">IF(ISERROR(OFFSET('HARGA SATUAN'!$D$6,MATCH(RAB!C141,'HARGA SATUAN'!$C$7:$C$1492,0),0)),"",OFFSET('HARGA SATUAN'!$D$6,MATCH(RAB!C141,'HARGA SATUAN'!$C$7:$C$1492,0),0))</f>
        <v>HDW</v>
      </c>
      <c r="E141" s="356" t="str">
        <f ca="1">IF(B141="+","Unit",IF(ISERROR(OFFSET('HARGA SATUAN'!$E$6,MATCH(RAB!C141,'HARGA SATUAN'!$C$7:$C$1492,0),0)),"",OFFSET('HARGA SATUAN'!$E$6,MATCH(RAB!C141,'HARGA SATUAN'!$C$7:$C$1492,0),0)))</f>
        <v>Mtr</v>
      </c>
      <c r="F141" s="494">
        <f>F133*4.8</f>
        <v>4.8</v>
      </c>
      <c r="G141" s="357">
        <f ca="1">IF(ISERROR(OFFSET('HARGA SATUAN'!$I$6,MATCH(RAB!C141,'HARGA SATUAN'!$C$7:$C$1492,0),0)),0,OFFSET('HARGA SATUAN'!$I$6,MATCH(RAB!C141,'HARGA SATUAN'!$C$7:$C$1492,0),0))</f>
        <v>23310</v>
      </c>
      <c r="H141" s="358">
        <f t="shared" ca="1" si="36"/>
        <v>0</v>
      </c>
      <c r="I141" s="358">
        <f t="shared" ca="1" si="37"/>
        <v>111888</v>
      </c>
      <c r="J141" s="358">
        <f t="shared" ca="1" si="38"/>
        <v>0</v>
      </c>
      <c r="K141" s="359">
        <f t="shared" ca="1" si="39"/>
        <v>111888</v>
      </c>
      <c r="L141" s="339"/>
      <c r="M141" s="339"/>
      <c r="N141" s="366"/>
      <c r="O141" s="341"/>
      <c r="P141" s="394"/>
      <c r="Q141" s="341"/>
    </row>
    <row r="142" spans="1:17" s="362" customFormat="1">
      <c r="A142" s="333"/>
      <c r="B142" s="532">
        <v>9</v>
      </c>
      <c r="C142" s="533" t="s">
        <v>736</v>
      </c>
      <c r="D142" s="355" t="str">
        <f ca="1">IF(ISERROR(OFFSET('HARGA SATUAN'!$D$6,MATCH(RAB!C142,'HARGA SATUAN'!$C$7:$C$1492,0),0)),"",OFFSET('HARGA SATUAN'!$D$6,MATCH(RAB!C142,'HARGA SATUAN'!$C$7:$C$1492,0),0))</f>
        <v>JASA</v>
      </c>
      <c r="E142" s="356" t="str">
        <f ca="1">IF(B142="+","Unit",IF(ISERROR(OFFSET('HARGA SATUAN'!$E$6,MATCH(RAB!C142,'HARGA SATUAN'!$C$7:$C$1492,0),0)),"",OFFSET('HARGA SATUAN'!$E$6,MATCH(RAB!C142,'HARGA SATUAN'!$C$7:$C$1492,0),0)))</f>
        <v>Unit</v>
      </c>
      <c r="F142" s="494">
        <f>F133*1</f>
        <v>1</v>
      </c>
      <c r="G142" s="357">
        <f ca="1">IF(ISERROR(OFFSET('HARGA SATUAN'!$I$6,MATCH(RAB!C142,'HARGA SATUAN'!$C$7:$C$1492,0),0)),0,OFFSET('HARGA SATUAN'!$I$6,MATCH(RAB!C142,'HARGA SATUAN'!$C$7:$C$1492,0),0))</f>
        <v>65400</v>
      </c>
      <c r="H142" s="358">
        <f t="shared" ca="1" si="36"/>
        <v>0</v>
      </c>
      <c r="I142" s="358">
        <f t="shared" ca="1" si="37"/>
        <v>0</v>
      </c>
      <c r="J142" s="358">
        <f t="shared" ca="1" si="38"/>
        <v>65400</v>
      </c>
      <c r="K142" s="359">
        <f t="shared" ca="1" si="39"/>
        <v>65400</v>
      </c>
      <c r="L142" s="339"/>
      <c r="M142" s="339"/>
      <c r="N142" s="366"/>
      <c r="O142" s="341"/>
      <c r="P142" s="394"/>
      <c r="Q142" s="341"/>
    </row>
    <row r="143" spans="1:17" s="362" customFormat="1">
      <c r="A143" s="333"/>
      <c r="B143" s="506"/>
      <c r="C143" s="507"/>
      <c r="D143" s="355" t="str">
        <f ca="1">IF(ISERROR(OFFSET('HARGA SATUAN'!$D$6,MATCH(RAB!C143,'HARGA SATUAN'!$C$7:$C$1492,0),0)),"",OFFSET('HARGA SATUAN'!$D$6,MATCH(RAB!C143,'HARGA SATUAN'!$C$7:$C$1492,0),0))</f>
        <v/>
      </c>
      <c r="E143" s="356" t="str">
        <f ca="1">IF(B143="+","Unit",IF(ISERROR(OFFSET('HARGA SATUAN'!$E$6,MATCH(RAB!C143,'HARGA SATUAN'!$C$7:$C$1492,0),0)),"",OFFSET('HARGA SATUAN'!$E$6,MATCH(RAB!C143,'HARGA SATUAN'!$C$7:$C$1492,0),0)))</f>
        <v/>
      </c>
      <c r="F143" s="515"/>
      <c r="G143" s="357">
        <f ca="1">IF(ISERROR(OFFSET('HARGA SATUAN'!$I$6,MATCH(RAB!C143,'HARGA SATUAN'!$C$7:$C$1492,0),0)),0,OFFSET('HARGA SATUAN'!$I$6,MATCH(RAB!C143,'HARGA SATUAN'!$C$7:$C$1492,0),0))</f>
        <v>0</v>
      </c>
      <c r="H143" s="358">
        <f t="shared" ca="1" si="36"/>
        <v>0</v>
      </c>
      <c r="I143" s="358">
        <f t="shared" ca="1" si="37"/>
        <v>0</v>
      </c>
      <c r="J143" s="358">
        <f t="shared" ca="1" si="38"/>
        <v>0</v>
      </c>
      <c r="K143" s="359">
        <f t="shared" ca="1" si="39"/>
        <v>0</v>
      </c>
      <c r="L143" s="339"/>
      <c r="M143" s="339"/>
      <c r="N143" s="366"/>
      <c r="O143" s="341"/>
      <c r="P143" s="394"/>
      <c r="Q143" s="341"/>
    </row>
    <row r="144" spans="1:17" s="362" customFormat="1">
      <c r="A144" s="333"/>
      <c r="B144" s="532" t="s">
        <v>1035</v>
      </c>
      <c r="C144" s="533" t="s">
        <v>1653</v>
      </c>
      <c r="D144" s="355" t="str">
        <f ca="1">IF(ISERROR(OFFSET('HARGA SATUAN'!$D$6,MATCH(RAB!C144,'HARGA SATUAN'!$C$7:$C$1492,0),0)),"",OFFSET('HARGA SATUAN'!$D$6,MATCH(RAB!C144,'HARGA SATUAN'!$C$7:$C$1492,0),0))</f>
        <v/>
      </c>
      <c r="E144" s="356" t="str">
        <f ca="1">IF(B144="+","Unit",IF(ISERROR(OFFSET('HARGA SATUAN'!$E$6,MATCH(RAB!C144,'HARGA SATUAN'!$C$7:$C$1492,0),0)),"",OFFSET('HARGA SATUAN'!$E$6,MATCH(RAB!C144,'HARGA SATUAN'!$C$7:$C$1492,0),0)))</f>
        <v>Unit</v>
      </c>
      <c r="F144" s="495">
        <v>3</v>
      </c>
      <c r="G144" s="357">
        <f ca="1">IF(ISERROR(OFFSET('HARGA SATUAN'!$I$6,MATCH(RAB!C144,'HARGA SATUAN'!$C$7:$C$1492,0),0)),0,OFFSET('HARGA SATUAN'!$I$6,MATCH(RAB!C144,'HARGA SATUAN'!$C$7:$C$1492,0),0))</f>
        <v>0</v>
      </c>
      <c r="H144" s="358">
        <f t="shared" ref="H144:H153" ca="1" si="40">IF(OR(D144="MDU",D144="MDU-KD"),(IF($O$3="RAB NON MDU","PLN KD",G144*F144)),0)</f>
        <v>0</v>
      </c>
      <c r="I144" s="358">
        <f t="shared" ref="I144:I153" ca="1" si="41">IF(D144="HDW",G144*F144,0)</f>
        <v>0</v>
      </c>
      <c r="J144" s="358">
        <f t="shared" ref="J144:J153" ca="1" si="42">IF(D144="JASA",G144*F144,0)</f>
        <v>0</v>
      </c>
      <c r="K144" s="359">
        <f t="shared" ref="K144:K153" ca="1" si="43">SUM(H144:J144)</f>
        <v>0</v>
      </c>
      <c r="L144" s="339"/>
      <c r="M144" s="339"/>
      <c r="N144" s="366"/>
      <c r="O144" s="341"/>
      <c r="P144" s="394"/>
      <c r="Q144" s="341"/>
    </row>
    <row r="145" spans="1:17" s="362" customFormat="1">
      <c r="A145" s="333"/>
      <c r="B145" s="532">
        <v>1</v>
      </c>
      <c r="C145" s="533" t="s">
        <v>535</v>
      </c>
      <c r="D145" s="355" t="str">
        <f ca="1">IF(ISERROR(OFFSET('HARGA SATUAN'!$D$6,MATCH(RAB!C145,'HARGA SATUAN'!$C$7:$C$1492,0),0)),"",OFFSET('HARGA SATUAN'!$D$6,MATCH(RAB!C145,'HARGA SATUAN'!$C$7:$C$1492,0),0))</f>
        <v>MDU-KD</v>
      </c>
      <c r="E145" s="356" t="str">
        <f ca="1">IF(B145="+","Unit",IF(ISERROR(OFFSET('HARGA SATUAN'!$E$6,MATCH(RAB!C145,'HARGA SATUAN'!$C$7:$C$1492,0),0)),"",OFFSET('HARGA SATUAN'!$E$6,MATCH(RAB!C145,'HARGA SATUAN'!$C$7:$C$1492,0),0)))</f>
        <v>Bh</v>
      </c>
      <c r="F145" s="495">
        <f>F144*1</f>
        <v>3</v>
      </c>
      <c r="G145" s="357">
        <f ca="1">IF(ISERROR(OFFSET('HARGA SATUAN'!$I$6,MATCH(RAB!C145,'HARGA SATUAN'!$C$7:$C$1492,0),0)),0,OFFSET('HARGA SATUAN'!$I$6,MATCH(RAB!C145,'HARGA SATUAN'!$C$7:$C$1492,0),0))</f>
        <v>848250</v>
      </c>
      <c r="H145" s="358">
        <f t="shared" ca="1" si="40"/>
        <v>2544750</v>
      </c>
      <c r="I145" s="358">
        <f t="shared" ca="1" si="41"/>
        <v>0</v>
      </c>
      <c r="J145" s="358">
        <f t="shared" ca="1" si="42"/>
        <v>0</v>
      </c>
      <c r="K145" s="359">
        <f t="shared" ca="1" si="43"/>
        <v>2544750</v>
      </c>
      <c r="L145" s="339"/>
      <c r="M145" s="339"/>
      <c r="N145" s="366"/>
      <c r="O145" s="341"/>
      <c r="P145" s="394"/>
      <c r="Q145" s="341"/>
    </row>
    <row r="146" spans="1:17" s="362" customFormat="1">
      <c r="A146" s="333"/>
      <c r="B146" s="532">
        <v>2</v>
      </c>
      <c r="C146" s="109" t="s">
        <v>62</v>
      </c>
      <c r="D146" s="355" t="str">
        <f ca="1">IF(ISERROR(OFFSET('HARGA SATUAN'!$D$6,MATCH(RAB!C146,'HARGA SATUAN'!$C$7:$C$1492,0),0)),"",OFFSET('HARGA SATUAN'!$D$6,MATCH(RAB!C146,'HARGA SATUAN'!$C$7:$C$1492,0),0))</f>
        <v>HDW</v>
      </c>
      <c r="E146" s="356" t="str">
        <f ca="1">IF(B146="+","Unit",IF(ISERROR(OFFSET('HARGA SATUAN'!$E$6,MATCH(RAB!C146,'HARGA SATUAN'!$C$7:$C$1492,0),0)),"",OFFSET('HARGA SATUAN'!$E$6,MATCH(RAB!C146,'HARGA SATUAN'!$C$7:$C$1492,0),0)))</f>
        <v>Bh</v>
      </c>
      <c r="F146" s="495">
        <f>F144*1</f>
        <v>3</v>
      </c>
      <c r="G146" s="357">
        <f ca="1">IF(ISERROR(OFFSET('HARGA SATUAN'!$I$6,MATCH(RAB!C146,'HARGA SATUAN'!$C$7:$C$1492,0),0)),0,OFFSET('HARGA SATUAN'!$I$6,MATCH(RAB!C146,'HARGA SATUAN'!$C$7:$C$1492,0),0))</f>
        <v>32500</v>
      </c>
      <c r="H146" s="358">
        <f t="shared" ca="1" si="40"/>
        <v>0</v>
      </c>
      <c r="I146" s="358">
        <f t="shared" ca="1" si="41"/>
        <v>97500</v>
      </c>
      <c r="J146" s="358">
        <f t="shared" ca="1" si="42"/>
        <v>0</v>
      </c>
      <c r="K146" s="359">
        <f t="shared" ca="1" si="43"/>
        <v>97500</v>
      </c>
      <c r="L146" s="339"/>
      <c r="M146" s="339"/>
      <c r="N146" s="366"/>
      <c r="O146" s="341"/>
      <c r="P146" s="394"/>
      <c r="Q146" s="341"/>
    </row>
    <row r="147" spans="1:17" s="362" customFormat="1">
      <c r="A147" s="333"/>
      <c r="B147" s="532">
        <v>3</v>
      </c>
      <c r="C147" s="533" t="s">
        <v>187</v>
      </c>
      <c r="D147" s="355" t="str">
        <f ca="1">IF(ISERROR(OFFSET('HARGA SATUAN'!$D$6,MATCH(RAB!C147,'HARGA SATUAN'!$C$7:$C$1492,0),0)),"",OFFSET('HARGA SATUAN'!$D$6,MATCH(RAB!C147,'HARGA SATUAN'!$C$7:$C$1492,0),0))</f>
        <v>HDW</v>
      </c>
      <c r="E147" s="356" t="str">
        <f ca="1">IF(B147="+","Unit",IF(ISERROR(OFFSET('HARGA SATUAN'!$E$6,MATCH(RAB!C147,'HARGA SATUAN'!$C$7:$C$1492,0),0)),"",OFFSET('HARGA SATUAN'!$E$6,MATCH(RAB!C147,'HARGA SATUAN'!$C$7:$C$1492,0),0)))</f>
        <v>Bh</v>
      </c>
      <c r="F147" s="495">
        <f>F144*1</f>
        <v>3</v>
      </c>
      <c r="G147" s="357">
        <f ca="1">IF(ISERROR(OFFSET('HARGA SATUAN'!$I$6,MATCH(RAB!C147,'HARGA SATUAN'!$C$7:$C$1492,0),0)),0,OFFSET('HARGA SATUAN'!$I$6,MATCH(RAB!C147,'HARGA SATUAN'!$C$7:$C$1492,0),0))</f>
        <v>17100</v>
      </c>
      <c r="H147" s="358">
        <f t="shared" ca="1" si="40"/>
        <v>0</v>
      </c>
      <c r="I147" s="358">
        <f t="shared" ca="1" si="41"/>
        <v>51300</v>
      </c>
      <c r="J147" s="358">
        <f t="shared" ca="1" si="42"/>
        <v>0</v>
      </c>
      <c r="K147" s="359">
        <f t="shared" ca="1" si="43"/>
        <v>51300</v>
      </c>
      <c r="L147" s="339"/>
      <c r="M147" s="339"/>
      <c r="N147" s="366"/>
      <c r="O147" s="341"/>
      <c r="P147" s="394"/>
      <c r="Q147" s="341"/>
    </row>
    <row r="148" spans="1:17" s="362" customFormat="1">
      <c r="A148" s="333"/>
      <c r="B148" s="532">
        <v>4</v>
      </c>
      <c r="C148" s="109" t="s">
        <v>174</v>
      </c>
      <c r="D148" s="355" t="str">
        <f ca="1">IF(ISERROR(OFFSET('HARGA SATUAN'!$D$6,MATCH(RAB!C148,'HARGA SATUAN'!$C$7:$C$1492,0),0)),"",OFFSET('HARGA SATUAN'!$D$6,MATCH(RAB!C148,'HARGA SATUAN'!$C$7:$C$1492,0),0))</f>
        <v>HDW</v>
      </c>
      <c r="E148" s="356" t="str">
        <f ca="1">IF(B148="+","Unit",IF(ISERROR(OFFSET('HARGA SATUAN'!$E$6,MATCH(RAB!C148,'HARGA SATUAN'!$C$7:$C$1492,0),0)),"",OFFSET('HARGA SATUAN'!$E$6,MATCH(RAB!C148,'HARGA SATUAN'!$C$7:$C$1492,0),0)))</f>
        <v>Bh</v>
      </c>
      <c r="F148" s="495">
        <f>F144*1</f>
        <v>3</v>
      </c>
      <c r="G148" s="357">
        <f ca="1">IF(ISERROR(OFFSET('HARGA SATUAN'!$I$6,MATCH(RAB!C148,'HARGA SATUAN'!$C$7:$C$1492,0),0)),0,OFFSET('HARGA SATUAN'!$I$6,MATCH(RAB!C148,'HARGA SATUAN'!$C$7:$C$1492,0),0))</f>
        <v>67700</v>
      </c>
      <c r="H148" s="358">
        <f t="shared" ca="1" si="40"/>
        <v>0</v>
      </c>
      <c r="I148" s="358">
        <f t="shared" ca="1" si="41"/>
        <v>203100</v>
      </c>
      <c r="J148" s="358">
        <f t="shared" ca="1" si="42"/>
        <v>0</v>
      </c>
      <c r="K148" s="359">
        <f t="shared" ca="1" si="43"/>
        <v>203100</v>
      </c>
      <c r="L148" s="339"/>
      <c r="M148" s="339"/>
      <c r="N148" s="366"/>
      <c r="O148" s="341"/>
      <c r="P148" s="394"/>
      <c r="Q148" s="341"/>
    </row>
    <row r="149" spans="1:17" s="362" customFormat="1">
      <c r="A149" s="333"/>
      <c r="B149" s="532">
        <v>5</v>
      </c>
      <c r="C149" s="533" t="s">
        <v>747</v>
      </c>
      <c r="D149" s="355" t="str">
        <f ca="1">IF(ISERROR(OFFSET('HARGA SATUAN'!$D$6,MATCH(RAB!C149,'HARGA SATUAN'!$C$7:$C$1492,0),0)),"",OFFSET('HARGA SATUAN'!$D$6,MATCH(RAB!C149,'HARGA SATUAN'!$C$7:$C$1492,0),0))</f>
        <v>JASA</v>
      </c>
      <c r="E149" s="356" t="str">
        <f ca="1">IF(B149="+","Unit",IF(ISERROR(OFFSET('HARGA SATUAN'!$E$6,MATCH(RAB!C149,'HARGA SATUAN'!$C$7:$C$1492,0),0)),"",OFFSET('HARGA SATUAN'!$E$6,MATCH(RAB!C149,'HARGA SATUAN'!$C$7:$C$1492,0),0)))</f>
        <v>Unit</v>
      </c>
      <c r="F149" s="495">
        <f>F144*1</f>
        <v>3</v>
      </c>
      <c r="G149" s="357">
        <f ca="1">IF(ISERROR(OFFSET('HARGA SATUAN'!$I$6,MATCH(RAB!C149,'HARGA SATUAN'!$C$7:$C$1492,0),0)),0,OFFSET('HARGA SATUAN'!$I$6,MATCH(RAB!C149,'HARGA SATUAN'!$C$7:$C$1492,0),0))</f>
        <v>58400</v>
      </c>
      <c r="H149" s="358">
        <f t="shared" ca="1" si="40"/>
        <v>0</v>
      </c>
      <c r="I149" s="358">
        <f t="shared" ca="1" si="41"/>
        <v>0</v>
      </c>
      <c r="J149" s="358">
        <f t="shared" ca="1" si="42"/>
        <v>175200</v>
      </c>
      <c r="K149" s="359">
        <f t="shared" ca="1" si="43"/>
        <v>175200</v>
      </c>
      <c r="L149" s="339"/>
      <c r="M149" s="339"/>
      <c r="N149" s="366"/>
      <c r="O149" s="341"/>
      <c r="P149" s="394"/>
      <c r="Q149" s="341"/>
    </row>
    <row r="150" spans="1:17" s="362" customFormat="1">
      <c r="A150" s="333"/>
      <c r="B150" s="506"/>
      <c r="C150" s="507"/>
      <c r="D150" s="355" t="str">
        <f ca="1">IF(ISERROR(OFFSET('HARGA SATUAN'!$D$6,MATCH(RAB!C150,'HARGA SATUAN'!$C$7:$C$1492,0),0)),"",OFFSET('HARGA SATUAN'!$D$6,MATCH(RAB!C150,'HARGA SATUAN'!$C$7:$C$1492,0),0))</f>
        <v/>
      </c>
      <c r="E150" s="356" t="str">
        <f ca="1">IF(B150="+","Unit",IF(ISERROR(OFFSET('HARGA SATUAN'!$E$6,MATCH(RAB!C150,'HARGA SATUAN'!$C$7:$C$1492,0),0)),"",OFFSET('HARGA SATUAN'!$E$6,MATCH(RAB!C150,'HARGA SATUAN'!$C$7:$C$1492,0),0)))</f>
        <v/>
      </c>
      <c r="F150" s="515"/>
      <c r="G150" s="357">
        <f ca="1">IF(ISERROR(OFFSET('HARGA SATUAN'!$I$6,MATCH(RAB!C150,'HARGA SATUAN'!$C$7:$C$1492,0),0)),0,OFFSET('HARGA SATUAN'!$I$6,MATCH(RAB!C150,'HARGA SATUAN'!$C$7:$C$1492,0),0))</f>
        <v>0</v>
      </c>
      <c r="H150" s="358">
        <f t="shared" ca="1" si="40"/>
        <v>0</v>
      </c>
      <c r="I150" s="358">
        <f t="shared" ca="1" si="41"/>
        <v>0</v>
      </c>
      <c r="J150" s="358">
        <f t="shared" ca="1" si="42"/>
        <v>0</v>
      </c>
      <c r="K150" s="359">
        <f t="shared" ca="1" si="43"/>
        <v>0</v>
      </c>
      <c r="L150" s="339"/>
      <c r="M150" s="339"/>
      <c r="N150" s="366"/>
      <c r="O150" s="341"/>
      <c r="P150" s="394"/>
      <c r="Q150" s="341"/>
    </row>
    <row r="151" spans="1:17" s="362" customFormat="1">
      <c r="A151" s="333"/>
      <c r="B151" s="506"/>
      <c r="C151" s="507"/>
      <c r="D151" s="355" t="str">
        <f ca="1">IF(ISERROR(OFFSET('HARGA SATUAN'!$D$6,MATCH(RAB!C151,'HARGA SATUAN'!$C$7:$C$1492,0),0)),"",OFFSET('HARGA SATUAN'!$D$6,MATCH(RAB!C151,'HARGA SATUAN'!$C$7:$C$1492,0),0))</f>
        <v/>
      </c>
      <c r="E151" s="356" t="str">
        <f ca="1">IF(B151="+","Unit",IF(ISERROR(OFFSET('HARGA SATUAN'!$E$6,MATCH(RAB!C151,'HARGA SATUAN'!$C$7:$C$1492,0),0)),"",OFFSET('HARGA SATUAN'!$E$6,MATCH(RAB!C151,'HARGA SATUAN'!$C$7:$C$1492,0),0)))</f>
        <v/>
      </c>
      <c r="F151" s="515"/>
      <c r="G151" s="357">
        <f ca="1">IF(ISERROR(OFFSET('HARGA SATUAN'!$I$6,MATCH(RAB!C151,'HARGA SATUAN'!$C$7:$C$1492,0),0)),0,OFFSET('HARGA SATUAN'!$I$6,MATCH(RAB!C151,'HARGA SATUAN'!$C$7:$C$1492,0),0))</f>
        <v>0</v>
      </c>
      <c r="H151" s="358">
        <f t="shared" ca="1" si="40"/>
        <v>0</v>
      </c>
      <c r="I151" s="358">
        <f t="shared" ca="1" si="41"/>
        <v>0</v>
      </c>
      <c r="J151" s="358">
        <f t="shared" ca="1" si="42"/>
        <v>0</v>
      </c>
      <c r="K151" s="359">
        <f t="shared" ca="1" si="43"/>
        <v>0</v>
      </c>
      <c r="L151" s="339"/>
      <c r="M151" s="339"/>
      <c r="N151" s="366"/>
      <c r="O151" s="341"/>
      <c r="P151" s="394"/>
      <c r="Q151" s="341"/>
    </row>
    <row r="152" spans="1:17" s="362" customFormat="1">
      <c r="A152" s="333"/>
      <c r="B152" s="538"/>
      <c r="C152" s="505" t="s">
        <v>1660</v>
      </c>
      <c r="D152" s="355" t="str">
        <f ca="1">IF(ISERROR(OFFSET('HARGA SATUAN'!$D$6,MATCH(RAB!C152,'HARGA SATUAN'!$C$7:$C$1492,0),0)),"",OFFSET('HARGA SATUAN'!$D$6,MATCH(RAB!C152,'HARGA SATUAN'!$C$7:$C$1492,0),0))</f>
        <v/>
      </c>
      <c r="E152" s="356" t="str">
        <f ca="1">IF(B152="+","Unit",IF(ISERROR(OFFSET('HARGA SATUAN'!$E$6,MATCH(RAB!C152,'HARGA SATUAN'!$C$7:$C$1492,0),0)),"",OFFSET('HARGA SATUAN'!$E$6,MATCH(RAB!C152,'HARGA SATUAN'!$C$7:$C$1492,0),0)))</f>
        <v/>
      </c>
      <c r="F152" s="515"/>
      <c r="G152" s="357">
        <f ca="1">IF(ISERROR(OFFSET('HARGA SATUAN'!$I$6,MATCH(RAB!C152,'HARGA SATUAN'!$C$7:$C$1492,0),0)),0,OFFSET('HARGA SATUAN'!$I$6,MATCH(RAB!C152,'HARGA SATUAN'!$C$7:$C$1492,0),0))</f>
        <v>0</v>
      </c>
      <c r="H152" s="358">
        <f t="shared" ca="1" si="40"/>
        <v>0</v>
      </c>
      <c r="I152" s="358">
        <f t="shared" ca="1" si="41"/>
        <v>0</v>
      </c>
      <c r="J152" s="358">
        <f t="shared" ca="1" si="42"/>
        <v>0</v>
      </c>
      <c r="K152" s="359">
        <f t="shared" ca="1" si="43"/>
        <v>0</v>
      </c>
      <c r="L152" s="339"/>
      <c r="M152" s="339"/>
      <c r="N152" s="366"/>
      <c r="O152" s="341"/>
      <c r="P152" s="394"/>
      <c r="Q152" s="341"/>
    </row>
    <row r="153" spans="1:17" s="362" customFormat="1">
      <c r="A153" s="333"/>
      <c r="B153" s="506"/>
      <c r="C153" s="507"/>
      <c r="D153" s="355" t="str">
        <f ca="1">IF(ISERROR(OFFSET('HARGA SATUAN'!$D$6,MATCH(RAB!C153,'HARGA SATUAN'!$C$7:$C$1492,0),0)),"",OFFSET('HARGA SATUAN'!$D$6,MATCH(RAB!C153,'HARGA SATUAN'!$C$7:$C$1492,0),0))</f>
        <v/>
      </c>
      <c r="E153" s="356" t="str">
        <f ca="1">IF(B153="+","Unit",IF(ISERROR(OFFSET('HARGA SATUAN'!$E$6,MATCH(RAB!C153,'HARGA SATUAN'!$C$7:$C$1492,0),0)),"",OFFSET('HARGA SATUAN'!$E$6,MATCH(RAB!C153,'HARGA SATUAN'!$C$7:$C$1492,0),0)))</f>
        <v/>
      </c>
      <c r="F153" s="515"/>
      <c r="G153" s="357">
        <f ca="1">IF(ISERROR(OFFSET('HARGA SATUAN'!$I$6,MATCH(RAB!C153,'HARGA SATUAN'!$C$7:$C$1492,0),0)),0,OFFSET('HARGA SATUAN'!$I$6,MATCH(RAB!C153,'HARGA SATUAN'!$C$7:$C$1492,0),0))</f>
        <v>0</v>
      </c>
      <c r="H153" s="358">
        <f t="shared" ca="1" si="40"/>
        <v>0</v>
      </c>
      <c r="I153" s="358">
        <f t="shared" ca="1" si="41"/>
        <v>0</v>
      </c>
      <c r="J153" s="358">
        <f t="shared" ca="1" si="42"/>
        <v>0</v>
      </c>
      <c r="K153" s="359">
        <f t="shared" ca="1" si="43"/>
        <v>0</v>
      </c>
      <c r="L153" s="339"/>
      <c r="M153" s="339"/>
      <c r="N153" s="366"/>
      <c r="O153" s="341"/>
      <c r="P153" s="394"/>
      <c r="Q153" s="341"/>
    </row>
    <row r="154" spans="1:17" s="362" customFormat="1">
      <c r="A154" s="333"/>
      <c r="B154" s="506" t="s">
        <v>1035</v>
      </c>
      <c r="C154" s="507" t="s">
        <v>1627</v>
      </c>
      <c r="D154" s="355" t="str">
        <f ca="1">IF(ISERROR(OFFSET('HARGA SATUAN'!$D$6,MATCH(RAB!C154,'HARGA SATUAN'!$C$7:$C$1492,0),0)),"",OFFSET('HARGA SATUAN'!$D$6,MATCH(RAB!C154,'HARGA SATUAN'!$C$7:$C$1492,0),0))</f>
        <v/>
      </c>
      <c r="E154" s="356" t="str">
        <f ca="1">IF(B154="+","Unit",IF(ISERROR(OFFSET('HARGA SATUAN'!$E$6,MATCH(RAB!C154,'HARGA SATUAN'!$C$7:$C$1492,0),0)),"",OFFSET('HARGA SATUAN'!$E$6,MATCH(RAB!C154,'HARGA SATUAN'!$C$7:$C$1492,0),0)))</f>
        <v>Unit</v>
      </c>
      <c r="F154" s="494">
        <v>3</v>
      </c>
      <c r="G154" s="357">
        <f ca="1">IF(ISERROR(OFFSET('HARGA SATUAN'!$I$6,MATCH(RAB!C154,'HARGA SATUAN'!$C$7:$C$1492,0),0)),0,OFFSET('HARGA SATUAN'!$I$6,MATCH(RAB!C154,'HARGA SATUAN'!$C$7:$C$1492,0),0))</f>
        <v>0</v>
      </c>
      <c r="H154" s="358">
        <f t="shared" ref="H154:H159" ca="1" si="44">IF(OR(D154="MDU",D154="MDU-KD"),(IF($O$3="RAB NON MDU","PLN KD",G154*F154)),0)</f>
        <v>0</v>
      </c>
      <c r="I154" s="358">
        <f t="shared" ref="I154:I159" ca="1" si="45">IF(D154="HDW",G154*F154,0)</f>
        <v>0</v>
      </c>
      <c r="J154" s="358">
        <f t="shared" ref="J154:J159" ca="1" si="46">IF(D154="JASA",G154*F154,0)</f>
        <v>0</v>
      </c>
      <c r="K154" s="359">
        <f t="shared" ref="K154:K159" ca="1" si="47">SUM(H154:J154)</f>
        <v>0</v>
      </c>
      <c r="L154" s="339"/>
      <c r="M154" s="339"/>
      <c r="N154" s="366"/>
      <c r="O154" s="341"/>
      <c r="P154" s="394"/>
      <c r="Q154" s="341"/>
    </row>
    <row r="155" spans="1:17" s="362" customFormat="1">
      <c r="A155" s="333"/>
      <c r="B155" s="506">
        <v>1</v>
      </c>
      <c r="C155" s="507" t="s">
        <v>28</v>
      </c>
      <c r="D155" s="355" t="str">
        <f ca="1">IF(ISERROR(OFFSET('HARGA SATUAN'!$D$6,MATCH(RAB!C155,'HARGA SATUAN'!$C$7:$C$1492,0),0)),"",OFFSET('HARGA SATUAN'!$D$6,MATCH(RAB!C155,'HARGA SATUAN'!$C$7:$C$1492,0),0))</f>
        <v>HDW</v>
      </c>
      <c r="E155" s="356" t="str">
        <f ca="1">IF(B155="+","Unit",IF(ISERROR(OFFSET('HARGA SATUAN'!$E$6,MATCH(RAB!C155,'HARGA SATUAN'!$C$7:$C$1492,0),0)),"",OFFSET('HARGA SATUAN'!$E$6,MATCH(RAB!C155,'HARGA SATUAN'!$C$7:$C$1492,0),0)))</f>
        <v>Bh</v>
      </c>
      <c r="F155" s="494">
        <f>F154*1</f>
        <v>3</v>
      </c>
      <c r="G155" s="357">
        <f ca="1">IF(ISERROR(OFFSET('HARGA SATUAN'!$I$6,MATCH(RAB!C155,'HARGA SATUAN'!$C$7:$C$1492,0),0)),0,OFFSET('HARGA SATUAN'!$I$6,MATCH(RAB!C155,'HARGA SATUAN'!$C$7:$C$1492,0),0))</f>
        <v>26500</v>
      </c>
      <c r="H155" s="358">
        <f t="shared" ca="1" si="44"/>
        <v>0</v>
      </c>
      <c r="I155" s="358">
        <f t="shared" ca="1" si="45"/>
        <v>79500</v>
      </c>
      <c r="J155" s="358">
        <f t="shared" ca="1" si="46"/>
        <v>0</v>
      </c>
      <c r="K155" s="359">
        <f t="shared" ca="1" si="47"/>
        <v>79500</v>
      </c>
      <c r="L155" s="339"/>
      <c r="M155" s="339"/>
      <c r="N155" s="366"/>
      <c r="O155" s="341"/>
      <c r="P155" s="394"/>
      <c r="Q155" s="341"/>
    </row>
    <row r="156" spans="1:17" s="362" customFormat="1">
      <c r="A156" s="333"/>
      <c r="B156" s="506">
        <v>2</v>
      </c>
      <c r="C156" s="507" t="s">
        <v>203</v>
      </c>
      <c r="D156" s="355" t="str">
        <f ca="1">IF(ISERROR(OFFSET('HARGA SATUAN'!$D$6,MATCH(RAB!C156,'HARGA SATUAN'!$C$7:$C$1492,0),0)),"",OFFSET('HARGA SATUAN'!$D$6,MATCH(RAB!C156,'HARGA SATUAN'!$C$7:$C$1492,0),0))</f>
        <v>HDW</v>
      </c>
      <c r="E156" s="356" t="str">
        <f ca="1">IF(B156="+","Unit",IF(ISERROR(OFFSET('HARGA SATUAN'!$E$6,MATCH(RAB!C156,'HARGA SATUAN'!$C$7:$C$1492,0),0)),"",OFFSET('HARGA SATUAN'!$E$6,MATCH(RAB!C156,'HARGA SATUAN'!$C$7:$C$1492,0),0)))</f>
        <v>Bh</v>
      </c>
      <c r="F156" s="494">
        <f>F154*1</f>
        <v>3</v>
      </c>
      <c r="G156" s="357">
        <f ca="1">IF(ISERROR(OFFSET('HARGA SATUAN'!$I$6,MATCH(RAB!C156,'HARGA SATUAN'!$C$7:$C$1492,0),0)),0,OFFSET('HARGA SATUAN'!$I$6,MATCH(RAB!C156,'HARGA SATUAN'!$C$7:$C$1492,0),0))</f>
        <v>12500</v>
      </c>
      <c r="H156" s="358">
        <f t="shared" ca="1" si="44"/>
        <v>0</v>
      </c>
      <c r="I156" s="358">
        <f t="shared" ca="1" si="45"/>
        <v>37500</v>
      </c>
      <c r="J156" s="358">
        <f t="shared" ca="1" si="46"/>
        <v>0</v>
      </c>
      <c r="K156" s="359">
        <f t="shared" ca="1" si="47"/>
        <v>37500</v>
      </c>
      <c r="L156" s="339"/>
      <c r="M156" s="339"/>
      <c r="N156" s="366"/>
      <c r="O156" s="341"/>
      <c r="P156" s="394"/>
      <c r="Q156" s="341"/>
    </row>
    <row r="157" spans="1:17" s="362" customFormat="1">
      <c r="A157" s="333"/>
      <c r="B157" s="506">
        <v>3</v>
      </c>
      <c r="C157" s="507" t="s">
        <v>206</v>
      </c>
      <c r="D157" s="355" t="str">
        <f ca="1">IF(ISERROR(OFFSET('HARGA SATUAN'!$D$6,MATCH(RAB!C157,'HARGA SATUAN'!$C$7:$C$1492,0),0)),"",OFFSET('HARGA SATUAN'!$D$6,MATCH(RAB!C157,'HARGA SATUAN'!$C$7:$C$1492,0),0))</f>
        <v>HDW</v>
      </c>
      <c r="E157" s="356" t="str">
        <f ca="1">IF(B157="+","Unit",IF(ISERROR(OFFSET('HARGA SATUAN'!$E$6,MATCH(RAB!C157,'HARGA SATUAN'!$C$7:$C$1492,0),0)),"",OFFSET('HARGA SATUAN'!$E$6,MATCH(RAB!C157,'HARGA SATUAN'!$C$7:$C$1492,0),0)))</f>
        <v>Mtr</v>
      </c>
      <c r="F157" s="494">
        <f>F154*12</f>
        <v>36</v>
      </c>
      <c r="G157" s="357">
        <f ca="1">IF(ISERROR(OFFSET('HARGA SATUAN'!$I$6,MATCH(RAB!C157,'HARGA SATUAN'!$C$7:$C$1492,0),0)),0,OFFSET('HARGA SATUAN'!$I$6,MATCH(RAB!C157,'HARGA SATUAN'!$C$7:$C$1492,0),0))</f>
        <v>39204</v>
      </c>
      <c r="H157" s="358">
        <f t="shared" ca="1" si="44"/>
        <v>0</v>
      </c>
      <c r="I157" s="358">
        <f t="shared" ca="1" si="45"/>
        <v>1411344</v>
      </c>
      <c r="J157" s="358">
        <f t="shared" ca="1" si="46"/>
        <v>0</v>
      </c>
      <c r="K157" s="359">
        <f t="shared" ca="1" si="47"/>
        <v>1411344</v>
      </c>
      <c r="L157" s="339"/>
      <c r="M157" s="339"/>
      <c r="N157" s="366"/>
      <c r="O157" s="341"/>
      <c r="P157" s="394"/>
      <c r="Q157" s="341"/>
    </row>
    <row r="158" spans="1:17" s="362" customFormat="1">
      <c r="A158" s="333"/>
      <c r="B158" s="506">
        <v>4</v>
      </c>
      <c r="C158" s="507" t="s">
        <v>287</v>
      </c>
      <c r="D158" s="355" t="str">
        <f ca="1">IF(ISERROR(OFFSET('HARGA SATUAN'!$D$6,MATCH(RAB!C158,'HARGA SATUAN'!$C$7:$C$1492,0),0)),"",OFFSET('HARGA SATUAN'!$D$6,MATCH(RAB!C158,'HARGA SATUAN'!$C$7:$C$1492,0),0))</f>
        <v>HDW</v>
      </c>
      <c r="E158" s="356" t="str">
        <f ca="1">IF(B158="+","Unit",IF(ISERROR(OFFSET('HARGA SATUAN'!$E$6,MATCH(RAB!C158,'HARGA SATUAN'!$C$7:$C$1492,0),0)),"",OFFSET('HARGA SATUAN'!$E$6,MATCH(RAB!C158,'HARGA SATUAN'!$C$7:$C$1492,0),0)))</f>
        <v>Bh</v>
      </c>
      <c r="F158" s="494">
        <f>F154*2</f>
        <v>6</v>
      </c>
      <c r="G158" s="357">
        <f ca="1">IF(ISERROR(OFFSET('HARGA SATUAN'!$I$6,MATCH(RAB!C158,'HARGA SATUAN'!$C$7:$C$1492,0),0)),0,OFFSET('HARGA SATUAN'!$I$6,MATCH(RAB!C158,'HARGA SATUAN'!$C$7:$C$1492,0),0))</f>
        <v>40000</v>
      </c>
      <c r="H158" s="358">
        <f t="shared" ca="1" si="44"/>
        <v>0</v>
      </c>
      <c r="I158" s="358">
        <f t="shared" ca="1" si="45"/>
        <v>240000</v>
      </c>
      <c r="J158" s="358">
        <f t="shared" ca="1" si="46"/>
        <v>0</v>
      </c>
      <c r="K158" s="359">
        <f t="shared" ca="1" si="47"/>
        <v>240000</v>
      </c>
      <c r="L158" s="339"/>
      <c r="M158" s="339"/>
      <c r="N158" s="366"/>
      <c r="O158" s="341"/>
      <c r="P158" s="394"/>
      <c r="Q158" s="341"/>
    </row>
    <row r="159" spans="1:17" s="362" customFormat="1">
      <c r="A159" s="333"/>
      <c r="B159" s="506">
        <v>5</v>
      </c>
      <c r="C159" s="507" t="s">
        <v>26</v>
      </c>
      <c r="D159" s="355" t="str">
        <f ca="1">IF(ISERROR(OFFSET('HARGA SATUAN'!$D$6,MATCH(RAB!C159,'HARGA SATUAN'!$C$7:$C$1492,0),0)),"",OFFSET('HARGA SATUAN'!$D$6,MATCH(RAB!C159,'HARGA SATUAN'!$C$7:$C$1492,0),0))</f>
        <v>HDW</v>
      </c>
      <c r="E159" s="356" t="str">
        <f ca="1">IF(B159="+","Unit",IF(ISERROR(OFFSET('HARGA SATUAN'!$E$6,MATCH(RAB!C159,'HARGA SATUAN'!$C$7:$C$1492,0),0)),"",OFFSET('HARGA SATUAN'!$E$6,MATCH(RAB!C159,'HARGA SATUAN'!$C$7:$C$1492,0),0)))</f>
        <v>Bh</v>
      </c>
      <c r="F159" s="494">
        <f>F154*1</f>
        <v>3</v>
      </c>
      <c r="G159" s="357">
        <f ca="1">IF(ISERROR(OFFSET('HARGA SATUAN'!$I$6,MATCH(RAB!C159,'HARGA SATUAN'!$C$7:$C$1492,0),0)),0,OFFSET('HARGA SATUAN'!$I$6,MATCH(RAB!C159,'HARGA SATUAN'!$C$7:$C$1492,0),0))</f>
        <v>2500</v>
      </c>
      <c r="H159" s="358">
        <f t="shared" ca="1" si="44"/>
        <v>0</v>
      </c>
      <c r="I159" s="358">
        <f t="shared" ca="1" si="45"/>
        <v>7500</v>
      </c>
      <c r="J159" s="358">
        <f t="shared" ca="1" si="46"/>
        <v>0</v>
      </c>
      <c r="K159" s="359">
        <f t="shared" ca="1" si="47"/>
        <v>7500</v>
      </c>
      <c r="L159" s="339"/>
      <c r="M159" s="339"/>
      <c r="N159" s="366"/>
      <c r="O159" s="341"/>
      <c r="P159" s="394"/>
      <c r="Q159" s="341"/>
    </row>
    <row r="160" spans="1:17" s="362" customFormat="1">
      <c r="A160" s="333"/>
      <c r="B160" s="506">
        <v>6</v>
      </c>
      <c r="C160" s="507" t="s">
        <v>760</v>
      </c>
      <c r="D160" s="355" t="str">
        <f ca="1">IF(ISERROR(OFFSET('HARGA SATUAN'!$D$6,MATCH(RAB!C160,'HARGA SATUAN'!$C$7:$C$1492,0),0)),"",OFFSET('HARGA SATUAN'!$D$6,MATCH(RAB!C160,'HARGA SATUAN'!$C$7:$C$1492,0),0))</f>
        <v>JASA</v>
      </c>
      <c r="E160" s="356" t="str">
        <f ca="1">IF(B160="+","Unit",IF(ISERROR(OFFSET('HARGA SATUAN'!$E$6,MATCH(RAB!C160,'HARGA SATUAN'!$C$7:$C$1492,0),0)),"",OFFSET('HARGA SATUAN'!$E$6,MATCH(RAB!C160,'HARGA SATUAN'!$C$7:$C$1492,0),0)))</f>
        <v>Unit</v>
      </c>
      <c r="F160" s="494">
        <f>F154*1</f>
        <v>3</v>
      </c>
      <c r="G160" s="357">
        <f ca="1">IF(ISERROR(OFFSET('HARGA SATUAN'!$I$6,MATCH(RAB!C160,'HARGA SATUAN'!$C$7:$C$1492,0),0)),0,OFFSET('HARGA SATUAN'!$I$6,MATCH(RAB!C160,'HARGA SATUAN'!$C$7:$C$1492,0),0))</f>
        <v>36600</v>
      </c>
      <c r="H160" s="358">
        <f t="shared" ref="H160:H167" ca="1" si="48">IF(OR(D160="MDU",D160="MDU-KD"),(IF($O$3="RAB NON MDU","PLN KD",G160*F160)),0)</f>
        <v>0</v>
      </c>
      <c r="I160" s="358">
        <f t="shared" ref="I160:I167" ca="1" si="49">IF(D160="HDW",G160*F160,0)</f>
        <v>0</v>
      </c>
      <c r="J160" s="358">
        <f t="shared" ref="J160:J167" ca="1" si="50">IF(D160="JASA",G160*F160,0)</f>
        <v>109800</v>
      </c>
      <c r="K160" s="359">
        <f t="shared" ref="K160:K167" ca="1" si="51">SUM(H160:J160)</f>
        <v>109800</v>
      </c>
      <c r="L160" s="339"/>
      <c r="M160" s="339"/>
      <c r="N160" s="366"/>
      <c r="O160" s="341"/>
      <c r="P160" s="394"/>
      <c r="Q160" s="341"/>
    </row>
    <row r="161" spans="1:17" s="362" customFormat="1">
      <c r="A161" s="333"/>
      <c r="B161" s="506"/>
      <c r="C161" s="507"/>
      <c r="D161" s="355" t="str">
        <f ca="1">IF(ISERROR(OFFSET('HARGA SATUAN'!$D$6,MATCH(RAB!C161,'HARGA SATUAN'!$C$7:$C$1492,0),0)),"",OFFSET('HARGA SATUAN'!$D$6,MATCH(RAB!C161,'HARGA SATUAN'!$C$7:$C$1492,0),0))</f>
        <v/>
      </c>
      <c r="E161" s="356" t="str">
        <f ca="1">IF(B161="+","Unit",IF(ISERROR(OFFSET('HARGA SATUAN'!$E$6,MATCH(RAB!C161,'HARGA SATUAN'!$C$7:$C$1492,0),0)),"",OFFSET('HARGA SATUAN'!$E$6,MATCH(RAB!C161,'HARGA SATUAN'!$C$7:$C$1492,0),0)))</f>
        <v/>
      </c>
      <c r="F161" s="515"/>
      <c r="G161" s="357">
        <f ca="1">IF(ISERROR(OFFSET('HARGA SATUAN'!$I$6,MATCH(RAB!C161,'HARGA SATUAN'!$C$7:$C$1492,0),0)),0,OFFSET('HARGA SATUAN'!$I$6,MATCH(RAB!C161,'HARGA SATUAN'!$C$7:$C$1492,0),0))</f>
        <v>0</v>
      </c>
      <c r="H161" s="358">
        <f t="shared" ca="1" si="48"/>
        <v>0</v>
      </c>
      <c r="I161" s="358">
        <f t="shared" ca="1" si="49"/>
        <v>0</v>
      </c>
      <c r="J161" s="358">
        <f t="shared" ca="1" si="50"/>
        <v>0</v>
      </c>
      <c r="K161" s="359">
        <f t="shared" ca="1" si="51"/>
        <v>0</v>
      </c>
      <c r="L161" s="339"/>
      <c r="M161" s="339"/>
      <c r="N161" s="366"/>
      <c r="O161" s="341"/>
      <c r="P161" s="394"/>
      <c r="Q161" s="341"/>
    </row>
    <row r="162" spans="1:17" s="362" customFormat="1">
      <c r="A162" s="333"/>
      <c r="B162" s="506" t="s">
        <v>1035</v>
      </c>
      <c r="C162" s="507" t="s">
        <v>1628</v>
      </c>
      <c r="D162" s="355" t="str">
        <f ca="1">IF(ISERROR(OFFSET('HARGA SATUAN'!$D$6,MATCH(RAB!C162,'HARGA SATUAN'!$C$7:$C$1492,0),0)),"",OFFSET('HARGA SATUAN'!$D$6,MATCH(RAB!C162,'HARGA SATUAN'!$C$7:$C$1492,0),0))</f>
        <v/>
      </c>
      <c r="E162" s="356" t="str">
        <f ca="1">IF(B162="+","Unit",IF(ISERROR(OFFSET('HARGA SATUAN'!$E$6,MATCH(RAB!C162,'HARGA SATUAN'!$C$7:$C$1492,0),0)),"",OFFSET('HARGA SATUAN'!$E$6,MATCH(RAB!C162,'HARGA SATUAN'!$C$7:$C$1492,0),0)))</f>
        <v>Unit</v>
      </c>
      <c r="F162" s="494">
        <f>F154</f>
        <v>3</v>
      </c>
      <c r="G162" s="357">
        <f ca="1">IF(ISERROR(OFFSET('HARGA SATUAN'!$I$6,MATCH(RAB!C162,'HARGA SATUAN'!$C$7:$C$1492,0),0)),0,OFFSET('HARGA SATUAN'!$I$6,MATCH(RAB!C162,'HARGA SATUAN'!$C$7:$C$1492,0),0))</f>
        <v>0</v>
      </c>
      <c r="H162" s="358">
        <f t="shared" ca="1" si="48"/>
        <v>0</v>
      </c>
      <c r="I162" s="358">
        <f t="shared" ca="1" si="49"/>
        <v>0</v>
      </c>
      <c r="J162" s="358">
        <f t="shared" ca="1" si="50"/>
        <v>0</v>
      </c>
      <c r="K162" s="359">
        <f t="shared" ca="1" si="51"/>
        <v>0</v>
      </c>
      <c r="L162" s="339"/>
      <c r="M162" s="339"/>
      <c r="N162" s="366"/>
      <c r="O162" s="341"/>
      <c r="P162" s="394"/>
      <c r="Q162" s="341"/>
    </row>
    <row r="163" spans="1:17" s="362" customFormat="1">
      <c r="A163" s="333"/>
      <c r="B163" s="506">
        <v>1</v>
      </c>
      <c r="C163" s="507" t="s">
        <v>597</v>
      </c>
      <c r="D163" s="355" t="str">
        <f ca="1">IF(ISERROR(OFFSET('HARGA SATUAN'!$D$6,MATCH(RAB!C163,'HARGA SATUAN'!$C$7:$C$1492,0),0)),"",OFFSET('HARGA SATUAN'!$D$6,MATCH(RAB!C163,'HARGA SATUAN'!$C$7:$C$1492,0),0))</f>
        <v>HDW</v>
      </c>
      <c r="E163" s="356" t="str">
        <f ca="1">IF(B163="+","Unit",IF(ISERROR(OFFSET('HARGA SATUAN'!$E$6,MATCH(RAB!C163,'HARGA SATUAN'!$C$7:$C$1492,0),0)),"",OFFSET('HARGA SATUAN'!$E$6,MATCH(RAB!C163,'HARGA SATUAN'!$C$7:$C$1492,0),0)))</f>
        <v>Bh</v>
      </c>
      <c r="F163" s="494">
        <f>F162*1</f>
        <v>3</v>
      </c>
      <c r="G163" s="357">
        <f ca="1">IF(ISERROR(OFFSET('HARGA SATUAN'!$I$6,MATCH(RAB!C163,'HARGA SATUAN'!$C$7:$C$1492,0),0)),0,OFFSET('HARGA SATUAN'!$I$6,MATCH(RAB!C163,'HARGA SATUAN'!$C$7:$C$1492,0),0))</f>
        <v>120900</v>
      </c>
      <c r="H163" s="358">
        <f t="shared" ca="1" si="48"/>
        <v>0</v>
      </c>
      <c r="I163" s="358">
        <f t="shared" ca="1" si="49"/>
        <v>362700</v>
      </c>
      <c r="J163" s="358">
        <f t="shared" ca="1" si="50"/>
        <v>0</v>
      </c>
      <c r="K163" s="359">
        <f t="shared" ca="1" si="51"/>
        <v>362700</v>
      </c>
      <c r="L163" s="339"/>
      <c r="M163" s="339"/>
      <c r="N163" s="366"/>
      <c r="O163" s="341"/>
      <c r="P163" s="394"/>
      <c r="Q163" s="341"/>
    </row>
    <row r="164" spans="1:17" s="362" customFormat="1">
      <c r="A164" s="333"/>
      <c r="B164" s="506">
        <v>2</v>
      </c>
      <c r="C164" s="507" t="s">
        <v>261</v>
      </c>
      <c r="D164" s="355" t="str">
        <f ca="1">IF(ISERROR(OFFSET('HARGA SATUAN'!$D$6,MATCH(RAB!C164,'HARGA SATUAN'!$C$7:$C$1492,0),0)),"",OFFSET('HARGA SATUAN'!$D$6,MATCH(RAB!C164,'HARGA SATUAN'!$C$7:$C$1492,0),0))</f>
        <v>HDW</v>
      </c>
      <c r="E164" s="356" t="str">
        <f ca="1">IF(B164="+","Unit",IF(ISERROR(OFFSET('HARGA SATUAN'!$E$6,MATCH(RAB!C164,'HARGA SATUAN'!$C$7:$C$1492,0),0)),"",OFFSET('HARGA SATUAN'!$E$6,MATCH(RAB!C164,'HARGA SATUAN'!$C$7:$C$1492,0),0)))</f>
        <v>Bh</v>
      </c>
      <c r="F164" s="494">
        <f>F162*1</f>
        <v>3</v>
      </c>
      <c r="G164" s="357">
        <f ca="1">IF(ISERROR(OFFSET('HARGA SATUAN'!$I$6,MATCH(RAB!C164,'HARGA SATUAN'!$C$7:$C$1492,0),0)),0,OFFSET('HARGA SATUAN'!$I$6,MATCH(RAB!C164,'HARGA SATUAN'!$C$7:$C$1492,0),0))</f>
        <v>135800</v>
      </c>
      <c r="H164" s="358">
        <f t="shared" ca="1" si="48"/>
        <v>0</v>
      </c>
      <c r="I164" s="358">
        <f t="shared" ca="1" si="49"/>
        <v>407400</v>
      </c>
      <c r="J164" s="358">
        <f t="shared" ca="1" si="50"/>
        <v>0</v>
      </c>
      <c r="K164" s="359">
        <f t="shared" ca="1" si="51"/>
        <v>407400</v>
      </c>
      <c r="L164" s="339"/>
      <c r="M164" s="339"/>
      <c r="N164" s="366"/>
      <c r="O164" s="341"/>
      <c r="P164" s="394"/>
      <c r="Q164" s="341"/>
    </row>
    <row r="165" spans="1:17" s="362" customFormat="1">
      <c r="A165" s="333"/>
      <c r="B165" s="506">
        <v>3</v>
      </c>
      <c r="C165" s="507" t="s">
        <v>214</v>
      </c>
      <c r="D165" s="355" t="str">
        <f ca="1">IF(ISERROR(OFFSET('HARGA SATUAN'!$D$6,MATCH(RAB!C165,'HARGA SATUAN'!$C$7:$C$1492,0),0)),"",OFFSET('HARGA SATUAN'!$D$6,MATCH(RAB!C165,'HARGA SATUAN'!$C$7:$C$1492,0),0))</f>
        <v>HDW</v>
      </c>
      <c r="E165" s="356" t="str">
        <f ca="1">IF(B165="+","Unit",IF(ISERROR(OFFSET('HARGA SATUAN'!$E$6,MATCH(RAB!C165,'HARGA SATUAN'!$C$7:$C$1492,0),0)),"",OFFSET('HARGA SATUAN'!$E$6,MATCH(RAB!C165,'HARGA SATUAN'!$C$7:$C$1492,0),0)))</f>
        <v>Bh</v>
      </c>
      <c r="F165" s="515">
        <f>F162*1</f>
        <v>3</v>
      </c>
      <c r="G165" s="357">
        <f ca="1">IF(ISERROR(OFFSET('HARGA SATUAN'!$I$6,MATCH(RAB!C165,'HARGA SATUAN'!$C$7:$C$1492,0),0)),0,OFFSET('HARGA SATUAN'!$I$6,MATCH(RAB!C165,'HARGA SATUAN'!$C$7:$C$1492,0),0))</f>
        <v>4500</v>
      </c>
      <c r="H165" s="358">
        <f t="shared" ca="1" si="48"/>
        <v>0</v>
      </c>
      <c r="I165" s="358">
        <f t="shared" ca="1" si="49"/>
        <v>13500</v>
      </c>
      <c r="J165" s="358">
        <f t="shared" ca="1" si="50"/>
        <v>0</v>
      </c>
      <c r="K165" s="359">
        <f t="shared" ca="1" si="51"/>
        <v>13500</v>
      </c>
      <c r="L165" s="339"/>
      <c r="M165" s="339"/>
      <c r="N165" s="366"/>
      <c r="O165" s="341"/>
      <c r="P165" s="394"/>
      <c r="Q165" s="341"/>
    </row>
    <row r="166" spans="1:17" s="362" customFormat="1">
      <c r="A166" s="333"/>
      <c r="B166" s="506">
        <v>4</v>
      </c>
      <c r="C166" s="507" t="s">
        <v>768</v>
      </c>
      <c r="D166" s="355" t="str">
        <f ca="1">IF(ISERROR(OFFSET('HARGA SATUAN'!$D$6,MATCH(RAB!C166,'HARGA SATUAN'!$C$7:$C$1492,0),0)),"",OFFSET('HARGA SATUAN'!$D$6,MATCH(RAB!C166,'HARGA SATUAN'!$C$7:$C$1492,0),0))</f>
        <v>JASA</v>
      </c>
      <c r="E166" s="356" t="str">
        <f ca="1">IF(B166="+","Unit",IF(ISERROR(OFFSET('HARGA SATUAN'!$E$6,MATCH(RAB!C166,'HARGA SATUAN'!$C$7:$C$1492,0),0)),"",OFFSET('HARGA SATUAN'!$E$6,MATCH(RAB!C166,'HARGA SATUAN'!$C$7:$C$1492,0),0)))</f>
        <v>Unit</v>
      </c>
      <c r="F166" s="494">
        <f>F162*1</f>
        <v>3</v>
      </c>
      <c r="G166" s="357">
        <f ca="1">IF(ISERROR(OFFSET('HARGA SATUAN'!$I$6,MATCH(RAB!C166,'HARGA SATUAN'!$C$7:$C$1492,0),0)),0,OFFSET('HARGA SATUAN'!$I$6,MATCH(RAB!C166,'HARGA SATUAN'!$C$7:$C$1492,0),0))</f>
        <v>55500</v>
      </c>
      <c r="H166" s="358">
        <f t="shared" ca="1" si="48"/>
        <v>0</v>
      </c>
      <c r="I166" s="358">
        <f t="shared" ca="1" si="49"/>
        <v>0</v>
      </c>
      <c r="J166" s="358">
        <f t="shared" ca="1" si="50"/>
        <v>166500</v>
      </c>
      <c r="K166" s="359">
        <f t="shared" ca="1" si="51"/>
        <v>166500</v>
      </c>
      <c r="L166" s="339"/>
      <c r="M166" s="339"/>
      <c r="N166" s="366"/>
      <c r="O166" s="341"/>
      <c r="P166" s="394"/>
      <c r="Q166" s="341"/>
    </row>
    <row r="167" spans="1:17" s="362" customFormat="1">
      <c r="A167" s="333"/>
      <c r="B167" s="506"/>
      <c r="C167" s="507"/>
      <c r="D167" s="355" t="str">
        <f ca="1">IF(ISERROR(OFFSET('HARGA SATUAN'!$D$6,MATCH(RAB!C167,'HARGA SATUAN'!$C$7:$C$1492,0),0)),"",OFFSET('HARGA SATUAN'!$D$6,MATCH(RAB!C167,'HARGA SATUAN'!$C$7:$C$1492,0),0))</f>
        <v/>
      </c>
      <c r="E167" s="356" t="str">
        <f ca="1">IF(B167="+","Unit",IF(ISERROR(OFFSET('HARGA SATUAN'!$E$6,MATCH(RAB!C167,'HARGA SATUAN'!$C$7:$C$1492,0),0)),"",OFFSET('HARGA SATUAN'!$E$6,MATCH(RAB!C167,'HARGA SATUAN'!$C$7:$C$1492,0),0)))</f>
        <v/>
      </c>
      <c r="F167" s="515"/>
      <c r="G167" s="357">
        <f ca="1">IF(ISERROR(OFFSET('HARGA SATUAN'!$I$6,MATCH(RAB!C167,'HARGA SATUAN'!$C$7:$C$1492,0),0)),0,OFFSET('HARGA SATUAN'!$I$6,MATCH(RAB!C167,'HARGA SATUAN'!$C$7:$C$1492,0),0))</f>
        <v>0</v>
      </c>
      <c r="H167" s="358">
        <f t="shared" ca="1" si="48"/>
        <v>0</v>
      </c>
      <c r="I167" s="358">
        <f t="shared" ca="1" si="49"/>
        <v>0</v>
      </c>
      <c r="J167" s="358">
        <f t="shared" ca="1" si="50"/>
        <v>0</v>
      </c>
      <c r="K167" s="359">
        <f t="shared" ca="1" si="51"/>
        <v>0</v>
      </c>
      <c r="L167" s="339"/>
      <c r="M167" s="339"/>
      <c r="N167" s="366"/>
      <c r="O167" s="341"/>
      <c r="P167" s="394"/>
      <c r="Q167" s="341"/>
    </row>
    <row r="168" spans="1:17" s="362" customFormat="1">
      <c r="A168" s="333"/>
      <c r="B168" s="520" t="s">
        <v>1035</v>
      </c>
      <c r="C168" s="521" t="s">
        <v>1631</v>
      </c>
      <c r="D168" s="355" t="str">
        <f ca="1">IF(ISERROR(OFFSET('HARGA SATUAN'!$D$6,MATCH(RAB!C168,'HARGA SATUAN'!$C$7:$C$1492,0),0)),"",OFFSET('HARGA SATUAN'!$D$6,MATCH(RAB!C168,'HARGA SATUAN'!$C$7:$C$1492,0),0))</f>
        <v/>
      </c>
      <c r="E168" s="356" t="str">
        <f ca="1">IF(B168="+","Unit",IF(ISERROR(OFFSET('HARGA SATUAN'!$E$6,MATCH(RAB!C168,'HARGA SATUAN'!$C$7:$C$1492,0),0)),"",OFFSET('HARGA SATUAN'!$E$6,MATCH(RAB!C168,'HARGA SATUAN'!$C$7:$C$1492,0),0)))</f>
        <v>Unit</v>
      </c>
      <c r="F168" s="494">
        <f>F154</f>
        <v>3</v>
      </c>
      <c r="G168" s="357">
        <f ca="1">IF(ISERROR(OFFSET('HARGA SATUAN'!$I$6,MATCH(RAB!C168,'HARGA SATUAN'!$C$7:$C$1492,0),0)),0,OFFSET('HARGA SATUAN'!$I$6,MATCH(RAB!C168,'HARGA SATUAN'!$C$7:$C$1492,0),0))</f>
        <v>0</v>
      </c>
      <c r="H168" s="358">
        <f t="shared" ref="H168:H189" ca="1" si="52">IF(OR(D168="MDU",D168="MDU-KD"),(IF($O$3="RAB NON MDU","PLN KD",G168*F168)),0)</f>
        <v>0</v>
      </c>
      <c r="I168" s="358">
        <f t="shared" ref="I168:I189" ca="1" si="53">IF(D168="HDW",G168*F168,0)</f>
        <v>0</v>
      </c>
      <c r="J168" s="358">
        <f t="shared" ref="J168:J189" ca="1" si="54">IF(D168="JASA",G168*F168,0)</f>
        <v>0</v>
      </c>
      <c r="K168" s="359">
        <f t="shared" ref="K168:K189" ca="1" si="55">SUM(H168:J168)</f>
        <v>0</v>
      </c>
      <c r="L168" s="339"/>
      <c r="M168" s="339"/>
      <c r="N168" s="366"/>
      <c r="O168" s="341"/>
      <c r="P168" s="394"/>
      <c r="Q168" s="341"/>
    </row>
    <row r="169" spans="1:17" s="362" customFormat="1">
      <c r="A169" s="333"/>
      <c r="B169" s="520">
        <v>1</v>
      </c>
      <c r="C169" s="521" t="s">
        <v>30</v>
      </c>
      <c r="D169" s="355" t="str">
        <f ca="1">IF(ISERROR(OFFSET('HARGA SATUAN'!$D$6,MATCH(RAB!C169,'HARGA SATUAN'!$C$7:$C$1492,0),0)),"",OFFSET('HARGA SATUAN'!$D$6,MATCH(RAB!C169,'HARGA SATUAN'!$C$7:$C$1492,0),0))</f>
        <v>HDW</v>
      </c>
      <c r="E169" s="356" t="str">
        <f ca="1">IF(B169="+","Unit",IF(ISERROR(OFFSET('HARGA SATUAN'!$E$6,MATCH(RAB!C169,'HARGA SATUAN'!$C$7:$C$1492,0),0)),"",OFFSET('HARGA SATUAN'!$E$6,MATCH(RAB!C169,'HARGA SATUAN'!$C$7:$C$1492,0),0)))</f>
        <v>Bh</v>
      </c>
      <c r="F169" s="494">
        <f>F168*1</f>
        <v>3</v>
      </c>
      <c r="G169" s="357">
        <f ca="1">IF(ISERROR(OFFSET('HARGA SATUAN'!$I$6,MATCH(RAB!C169,'HARGA SATUAN'!$C$7:$C$1492,0),0)),0,OFFSET('HARGA SATUAN'!$I$6,MATCH(RAB!C169,'HARGA SATUAN'!$C$7:$C$1492,0),0))</f>
        <v>47459</v>
      </c>
      <c r="H169" s="358">
        <f t="shared" ca="1" si="52"/>
        <v>0</v>
      </c>
      <c r="I169" s="358">
        <f t="shared" ca="1" si="53"/>
        <v>142377</v>
      </c>
      <c r="J169" s="358">
        <f t="shared" ca="1" si="54"/>
        <v>0</v>
      </c>
      <c r="K169" s="359">
        <f t="shared" ca="1" si="55"/>
        <v>142377</v>
      </c>
      <c r="L169" s="339"/>
      <c r="M169" s="339"/>
      <c r="N169" s="366"/>
      <c r="O169" s="341"/>
      <c r="P169" s="394"/>
      <c r="Q169" s="341"/>
    </row>
    <row r="170" spans="1:17" s="362" customFormat="1">
      <c r="A170" s="333"/>
      <c r="B170" s="520">
        <v>2</v>
      </c>
      <c r="C170" s="521" t="s">
        <v>32</v>
      </c>
      <c r="D170" s="355" t="str">
        <f ca="1">IF(ISERROR(OFFSET('HARGA SATUAN'!$D$6,MATCH(RAB!C170,'HARGA SATUAN'!$C$7:$C$1492,0),0)),"",OFFSET('HARGA SATUAN'!$D$6,MATCH(RAB!C170,'HARGA SATUAN'!$C$7:$C$1492,0),0))</f>
        <v>HDW</v>
      </c>
      <c r="E170" s="356" t="str">
        <f ca="1">IF(B170="+","Unit",IF(ISERROR(OFFSET('HARGA SATUAN'!$E$6,MATCH(RAB!C170,'HARGA SATUAN'!$C$7:$C$1492,0),0)),"",OFFSET('HARGA SATUAN'!$E$6,MATCH(RAB!C170,'HARGA SATUAN'!$C$7:$C$1492,0),0)))</f>
        <v>Mtr</v>
      </c>
      <c r="F170" s="494">
        <f>F168*0.8</f>
        <v>2.4000000000000004</v>
      </c>
      <c r="G170" s="357">
        <f ca="1">IF(ISERROR(OFFSET('HARGA SATUAN'!$I$6,MATCH(RAB!C170,'HARGA SATUAN'!$C$7:$C$1492,0),0)),0,OFFSET('HARGA SATUAN'!$I$6,MATCH(RAB!C170,'HARGA SATUAN'!$C$7:$C$1492,0),0))</f>
        <v>30000</v>
      </c>
      <c r="H170" s="358">
        <f t="shared" ca="1" si="52"/>
        <v>0</v>
      </c>
      <c r="I170" s="358">
        <f t="shared" ca="1" si="53"/>
        <v>72000.000000000015</v>
      </c>
      <c r="J170" s="358">
        <f t="shared" ca="1" si="54"/>
        <v>0</v>
      </c>
      <c r="K170" s="359">
        <f t="shared" ca="1" si="55"/>
        <v>72000.000000000015</v>
      </c>
      <c r="L170" s="339"/>
      <c r="M170" s="339"/>
      <c r="N170" s="366"/>
      <c r="O170" s="341"/>
      <c r="P170" s="394"/>
      <c r="Q170" s="341"/>
    </row>
    <row r="171" spans="1:17" s="362" customFormat="1">
      <c r="A171" s="333"/>
      <c r="B171" s="520">
        <v>3</v>
      </c>
      <c r="C171" s="521" t="s">
        <v>33</v>
      </c>
      <c r="D171" s="355" t="str">
        <f ca="1">IF(ISERROR(OFFSET('HARGA SATUAN'!$D$6,MATCH(RAB!C171,'HARGA SATUAN'!$C$7:$C$1492,0),0)),"",OFFSET('HARGA SATUAN'!$D$6,MATCH(RAB!C171,'HARGA SATUAN'!$C$7:$C$1492,0),0))</f>
        <v>HDW</v>
      </c>
      <c r="E171" s="356" t="str">
        <f ca="1">IF(B171="+","Unit",IF(ISERROR(OFFSET('HARGA SATUAN'!$E$6,MATCH(RAB!C171,'HARGA SATUAN'!$C$7:$C$1492,0),0)),"",OFFSET('HARGA SATUAN'!$E$6,MATCH(RAB!C171,'HARGA SATUAN'!$C$7:$C$1492,0),0)))</f>
        <v>Bh</v>
      </c>
      <c r="F171" s="494">
        <f>F168*1</f>
        <v>3</v>
      </c>
      <c r="G171" s="357">
        <f ca="1">IF(ISERROR(OFFSET('HARGA SATUAN'!$I$6,MATCH(RAB!C171,'HARGA SATUAN'!$C$7:$C$1492,0),0)),0,OFFSET('HARGA SATUAN'!$I$6,MATCH(RAB!C171,'HARGA SATUAN'!$C$7:$C$1492,0),0))</f>
        <v>9500</v>
      </c>
      <c r="H171" s="358">
        <f t="shared" ca="1" si="52"/>
        <v>0</v>
      </c>
      <c r="I171" s="358">
        <f t="shared" ca="1" si="53"/>
        <v>28500</v>
      </c>
      <c r="J171" s="358">
        <f t="shared" ca="1" si="54"/>
        <v>0</v>
      </c>
      <c r="K171" s="359">
        <f t="shared" ca="1" si="55"/>
        <v>28500</v>
      </c>
      <c r="L171" s="339"/>
      <c r="M171" s="339"/>
      <c r="N171" s="366"/>
      <c r="O171" s="341"/>
      <c r="P171" s="394"/>
      <c r="Q171" s="341"/>
    </row>
    <row r="172" spans="1:17" s="362" customFormat="1">
      <c r="A172" s="333"/>
      <c r="B172" s="520">
        <v>4</v>
      </c>
      <c r="C172" s="521" t="s">
        <v>738</v>
      </c>
      <c r="D172" s="355" t="str">
        <f ca="1">IF(ISERROR(OFFSET('HARGA SATUAN'!$D$6,MATCH(RAB!C172,'HARGA SATUAN'!$C$7:$C$1492,0),0)),"",OFFSET('HARGA SATUAN'!$D$6,MATCH(RAB!C172,'HARGA SATUAN'!$C$7:$C$1492,0),0))</f>
        <v>JASA</v>
      </c>
      <c r="E172" s="356" t="str">
        <f ca="1">IF(B172="+","Unit",IF(ISERROR(OFFSET('HARGA SATUAN'!$E$6,MATCH(RAB!C172,'HARGA SATUAN'!$C$7:$C$1492,0),0)),"",OFFSET('HARGA SATUAN'!$E$6,MATCH(RAB!C172,'HARGA SATUAN'!$C$7:$C$1492,0),0)))</f>
        <v>Unit</v>
      </c>
      <c r="F172" s="494">
        <f>F168*1</f>
        <v>3</v>
      </c>
      <c r="G172" s="357">
        <f ca="1">IF(ISERROR(OFFSET('HARGA SATUAN'!$I$6,MATCH(RAB!C172,'HARGA SATUAN'!$C$7:$C$1492,0),0)),0,OFFSET('HARGA SATUAN'!$I$6,MATCH(RAB!C172,'HARGA SATUAN'!$C$7:$C$1492,0),0))</f>
        <v>21200</v>
      </c>
      <c r="H172" s="358">
        <f t="shared" ca="1" si="52"/>
        <v>0</v>
      </c>
      <c r="I172" s="358">
        <f t="shared" ca="1" si="53"/>
        <v>0</v>
      </c>
      <c r="J172" s="358">
        <f t="shared" ca="1" si="54"/>
        <v>63600</v>
      </c>
      <c r="K172" s="359">
        <f t="shared" ca="1" si="55"/>
        <v>63600</v>
      </c>
      <c r="L172" s="339"/>
      <c r="M172" s="339"/>
      <c r="N172" s="366"/>
      <c r="O172" s="341"/>
      <c r="P172" s="394"/>
      <c r="Q172" s="341"/>
    </row>
    <row r="173" spans="1:17" s="362" customFormat="1">
      <c r="A173" s="333"/>
      <c r="B173" s="520"/>
      <c r="C173" s="521"/>
      <c r="D173" s="355" t="str">
        <f ca="1">IF(ISERROR(OFFSET('HARGA SATUAN'!$D$6,MATCH(RAB!C173,'HARGA SATUAN'!$C$7:$C$1492,0),0)),"",OFFSET('HARGA SATUAN'!$D$6,MATCH(RAB!C173,'HARGA SATUAN'!$C$7:$C$1492,0),0))</f>
        <v/>
      </c>
      <c r="E173" s="356" t="str">
        <f ca="1">IF(B173="+","Unit",IF(ISERROR(OFFSET('HARGA SATUAN'!$E$6,MATCH(RAB!C173,'HARGA SATUAN'!$C$7:$C$1492,0),0)),"",OFFSET('HARGA SATUAN'!$E$6,MATCH(RAB!C173,'HARGA SATUAN'!$C$7:$C$1492,0),0)))</f>
        <v/>
      </c>
      <c r="F173" s="494"/>
      <c r="G173" s="357">
        <f ca="1">IF(ISERROR(OFFSET('HARGA SATUAN'!$I$6,MATCH(RAB!C173,'HARGA SATUAN'!$C$7:$C$1492,0),0)),0,OFFSET('HARGA SATUAN'!$I$6,MATCH(RAB!C173,'HARGA SATUAN'!$C$7:$C$1492,0),0))</f>
        <v>0</v>
      </c>
      <c r="H173" s="358">
        <f t="shared" ca="1" si="52"/>
        <v>0</v>
      </c>
      <c r="I173" s="358">
        <f t="shared" ca="1" si="53"/>
        <v>0</v>
      </c>
      <c r="J173" s="358">
        <f t="shared" ca="1" si="54"/>
        <v>0</v>
      </c>
      <c r="K173" s="359">
        <f t="shared" ca="1" si="55"/>
        <v>0</v>
      </c>
      <c r="L173" s="339"/>
      <c r="M173" s="339"/>
      <c r="N173" s="366"/>
      <c r="O173" s="341"/>
      <c r="P173" s="394"/>
      <c r="Q173" s="341"/>
    </row>
    <row r="174" spans="1:17" s="362" customFormat="1">
      <c r="A174" s="333"/>
      <c r="B174" s="538"/>
      <c r="C174" s="505" t="s">
        <v>1663</v>
      </c>
      <c r="D174" s="355"/>
      <c r="E174" s="356"/>
      <c r="F174" s="494"/>
      <c r="G174" s="357"/>
      <c r="H174" s="358"/>
      <c r="I174" s="358"/>
      <c r="J174" s="358"/>
      <c r="K174" s="359"/>
      <c r="L174" s="339"/>
      <c r="M174" s="339"/>
      <c r="N174" s="366"/>
      <c r="O174" s="341"/>
      <c r="P174" s="394"/>
      <c r="Q174" s="341"/>
    </row>
    <row r="175" spans="1:17" s="362" customFormat="1">
      <c r="A175" s="333"/>
      <c r="B175" s="520"/>
      <c r="C175" s="521"/>
      <c r="D175" s="355"/>
      <c r="E175" s="356"/>
      <c r="F175" s="494"/>
      <c r="G175" s="357"/>
      <c r="H175" s="358"/>
      <c r="I175" s="358"/>
      <c r="J175" s="358"/>
      <c r="K175" s="359"/>
      <c r="L175" s="339"/>
      <c r="M175" s="339"/>
      <c r="N175" s="366"/>
      <c r="O175" s="341"/>
      <c r="P175" s="394"/>
      <c r="Q175" s="341"/>
    </row>
    <row r="176" spans="1:17" s="362" customFormat="1">
      <c r="A176" s="333"/>
      <c r="B176" s="509" t="s">
        <v>1035</v>
      </c>
      <c r="C176" s="510" t="s">
        <v>1629</v>
      </c>
      <c r="D176" s="355" t="str">
        <f ca="1">IF(ISERROR(OFFSET('HARGA SATUAN'!$D$6,MATCH(RAB!C176,'HARGA SATUAN'!$C$7:$C$1492,0),0)),"",OFFSET('HARGA SATUAN'!$D$6,MATCH(RAB!C176,'HARGA SATUAN'!$C$7:$C$1492,0),0))</f>
        <v/>
      </c>
      <c r="E176" s="356" t="str">
        <f ca="1">IF(B176="+","Unit",IF(ISERROR(OFFSET('HARGA SATUAN'!$E$6,MATCH(RAB!C176,'HARGA SATUAN'!$C$7:$C$1492,0),0)),"",OFFSET('HARGA SATUAN'!$E$6,MATCH(RAB!C176,'HARGA SATUAN'!$C$7:$C$1492,0),0)))</f>
        <v>Unit</v>
      </c>
      <c r="F176" s="494">
        <v>12</v>
      </c>
      <c r="G176" s="357">
        <f ca="1">IF(ISERROR(OFFSET('HARGA SATUAN'!$I$6,MATCH(RAB!C176,'HARGA SATUAN'!$C$7:$C$1492,0),0)),0,OFFSET('HARGA SATUAN'!$I$6,MATCH(RAB!C176,'HARGA SATUAN'!$C$7:$C$1492,0),0))</f>
        <v>0</v>
      </c>
      <c r="H176" s="358">
        <f t="shared" ref="H176:H183" ca="1" si="56">IF(OR(D176="MDU",D176="MDU-KD"),(IF($O$3="RAB NON MDU","PLN KD",G176*F176)),0)</f>
        <v>0</v>
      </c>
      <c r="I176" s="358">
        <f t="shared" ref="I176:I183" ca="1" si="57">IF(D176="HDW",G176*F176,0)</f>
        <v>0</v>
      </c>
      <c r="J176" s="358">
        <f t="shared" ref="J176:J183" ca="1" si="58">IF(D176="JASA",G176*F176,0)</f>
        <v>0</v>
      </c>
      <c r="K176" s="359">
        <f t="shared" ref="K176:K183" ca="1" si="59">SUM(H176:J176)</f>
        <v>0</v>
      </c>
      <c r="L176" s="339"/>
      <c r="M176" s="339"/>
      <c r="N176" s="366"/>
      <c r="O176" s="341"/>
      <c r="P176" s="394"/>
      <c r="Q176" s="341"/>
    </row>
    <row r="177" spans="1:17" s="362" customFormat="1">
      <c r="A177" s="333"/>
      <c r="B177" s="509">
        <v>1</v>
      </c>
      <c r="C177" s="510" t="s">
        <v>30</v>
      </c>
      <c r="D177" s="355" t="str">
        <f ca="1">IF(ISERROR(OFFSET('HARGA SATUAN'!$D$6,MATCH(RAB!C177,'HARGA SATUAN'!$C$7:$C$1492,0),0)),"",OFFSET('HARGA SATUAN'!$D$6,MATCH(RAB!C177,'HARGA SATUAN'!$C$7:$C$1492,0),0))</f>
        <v>HDW</v>
      </c>
      <c r="E177" s="356" t="str">
        <f ca="1">IF(B177="+","Unit",IF(ISERROR(OFFSET('HARGA SATUAN'!$E$6,MATCH(RAB!C177,'HARGA SATUAN'!$C$7:$C$1492,0),0)),"",OFFSET('HARGA SATUAN'!$E$6,MATCH(RAB!C177,'HARGA SATUAN'!$C$7:$C$1492,0),0)))</f>
        <v>Bh</v>
      </c>
      <c r="F177" s="494">
        <f>F176*1</f>
        <v>12</v>
      </c>
      <c r="G177" s="357">
        <f ca="1">IF(ISERROR(OFFSET('HARGA SATUAN'!$I$6,MATCH(RAB!C177,'HARGA SATUAN'!$C$7:$C$1492,0),0)),0,OFFSET('HARGA SATUAN'!$I$6,MATCH(RAB!C177,'HARGA SATUAN'!$C$7:$C$1492,0),0))</f>
        <v>47459</v>
      </c>
      <c r="H177" s="358">
        <f t="shared" ca="1" si="56"/>
        <v>0</v>
      </c>
      <c r="I177" s="358">
        <f t="shared" ca="1" si="57"/>
        <v>569508</v>
      </c>
      <c r="J177" s="358">
        <f t="shared" ca="1" si="58"/>
        <v>0</v>
      </c>
      <c r="K177" s="359">
        <f t="shared" ca="1" si="59"/>
        <v>569508</v>
      </c>
      <c r="L177" s="339"/>
      <c r="M177" s="339"/>
      <c r="N177" s="366"/>
      <c r="O177" s="341"/>
      <c r="P177" s="394"/>
      <c r="Q177" s="341"/>
    </row>
    <row r="178" spans="1:17" s="362" customFormat="1">
      <c r="A178" s="333"/>
      <c r="B178" s="509">
        <v>2</v>
      </c>
      <c r="C178" s="510" t="s">
        <v>32</v>
      </c>
      <c r="D178" s="355" t="str">
        <f ca="1">IF(ISERROR(OFFSET('HARGA SATUAN'!$D$6,MATCH(RAB!C178,'HARGA SATUAN'!$C$7:$C$1492,0),0)),"",OFFSET('HARGA SATUAN'!$D$6,MATCH(RAB!C178,'HARGA SATUAN'!$C$7:$C$1492,0),0))</f>
        <v>HDW</v>
      </c>
      <c r="E178" s="356" t="str">
        <f ca="1">IF(B178="+","Unit",IF(ISERROR(OFFSET('HARGA SATUAN'!$E$6,MATCH(RAB!C178,'HARGA SATUAN'!$C$7:$C$1492,0),0)),"",OFFSET('HARGA SATUAN'!$E$6,MATCH(RAB!C178,'HARGA SATUAN'!$C$7:$C$1492,0),0)))</f>
        <v>Mtr</v>
      </c>
      <c r="F178" s="494">
        <f>F176*0.8</f>
        <v>9.6000000000000014</v>
      </c>
      <c r="G178" s="357">
        <f ca="1">IF(ISERROR(OFFSET('HARGA SATUAN'!$I$6,MATCH(RAB!C178,'HARGA SATUAN'!$C$7:$C$1492,0),0)),0,OFFSET('HARGA SATUAN'!$I$6,MATCH(RAB!C178,'HARGA SATUAN'!$C$7:$C$1492,0),0))</f>
        <v>30000</v>
      </c>
      <c r="H178" s="358">
        <f t="shared" ca="1" si="56"/>
        <v>0</v>
      </c>
      <c r="I178" s="358">
        <f t="shared" ca="1" si="57"/>
        <v>288000.00000000006</v>
      </c>
      <c r="J178" s="358">
        <f t="shared" ca="1" si="58"/>
        <v>0</v>
      </c>
      <c r="K178" s="359">
        <f t="shared" ca="1" si="59"/>
        <v>288000.00000000006</v>
      </c>
      <c r="L178" s="339"/>
      <c r="M178" s="339"/>
      <c r="N178" s="366"/>
      <c r="O178" s="341"/>
      <c r="P178" s="394"/>
      <c r="Q178" s="341"/>
    </row>
    <row r="179" spans="1:17" s="362" customFormat="1">
      <c r="A179" s="333"/>
      <c r="B179" s="509">
        <v>3</v>
      </c>
      <c r="C179" s="510" t="s">
        <v>33</v>
      </c>
      <c r="D179" s="355" t="str">
        <f ca="1">IF(ISERROR(OFFSET('HARGA SATUAN'!$D$6,MATCH(RAB!C179,'HARGA SATUAN'!$C$7:$C$1492,0),0)),"",OFFSET('HARGA SATUAN'!$D$6,MATCH(RAB!C179,'HARGA SATUAN'!$C$7:$C$1492,0),0))</f>
        <v>HDW</v>
      </c>
      <c r="E179" s="356" t="str">
        <f ca="1">IF(B179="+","Unit",IF(ISERROR(OFFSET('HARGA SATUAN'!$E$6,MATCH(RAB!C179,'HARGA SATUAN'!$C$7:$C$1492,0),0)),"",OFFSET('HARGA SATUAN'!$E$6,MATCH(RAB!C179,'HARGA SATUAN'!$C$7:$C$1492,0),0)))</f>
        <v>Bh</v>
      </c>
      <c r="F179" s="494">
        <f>F176*1</f>
        <v>12</v>
      </c>
      <c r="G179" s="357">
        <f ca="1">IF(ISERROR(OFFSET('HARGA SATUAN'!$I$6,MATCH(RAB!C179,'HARGA SATUAN'!$C$7:$C$1492,0),0)),0,OFFSET('HARGA SATUAN'!$I$6,MATCH(RAB!C179,'HARGA SATUAN'!$C$7:$C$1492,0),0))</f>
        <v>9500</v>
      </c>
      <c r="H179" s="358">
        <f t="shared" ca="1" si="56"/>
        <v>0</v>
      </c>
      <c r="I179" s="358">
        <f t="shared" ca="1" si="57"/>
        <v>114000</v>
      </c>
      <c r="J179" s="358">
        <f t="shared" ca="1" si="58"/>
        <v>0</v>
      </c>
      <c r="K179" s="359">
        <f t="shared" ca="1" si="59"/>
        <v>114000</v>
      </c>
      <c r="L179" s="339"/>
      <c r="M179" s="339"/>
      <c r="N179" s="366"/>
      <c r="O179" s="341"/>
      <c r="P179" s="394"/>
      <c r="Q179" s="341"/>
    </row>
    <row r="180" spans="1:17" s="362" customFormat="1">
      <c r="A180" s="333"/>
      <c r="B180" s="509">
        <v>4</v>
      </c>
      <c r="C180" s="510" t="s">
        <v>737</v>
      </c>
      <c r="D180" s="355" t="str">
        <f ca="1">IF(ISERROR(OFFSET('HARGA SATUAN'!$D$6,MATCH(RAB!C180,'HARGA SATUAN'!$C$7:$C$1492,0),0)),"",OFFSET('HARGA SATUAN'!$D$6,MATCH(RAB!C180,'HARGA SATUAN'!$C$7:$C$1492,0),0))</f>
        <v>JASA</v>
      </c>
      <c r="E180" s="356" t="str">
        <f ca="1">IF(B180="+","Unit",IF(ISERROR(OFFSET('HARGA SATUAN'!$E$6,MATCH(RAB!C180,'HARGA SATUAN'!$C$7:$C$1492,0),0)),"",OFFSET('HARGA SATUAN'!$E$6,MATCH(RAB!C180,'HARGA SATUAN'!$C$7:$C$1492,0),0)))</f>
        <v>Unit</v>
      </c>
      <c r="F180" s="494">
        <f>F176*1</f>
        <v>12</v>
      </c>
      <c r="G180" s="357">
        <f ca="1">IF(ISERROR(OFFSET('HARGA SATUAN'!$I$6,MATCH(RAB!C180,'HARGA SATUAN'!$C$7:$C$1492,0),0)),0,OFFSET('HARGA SATUAN'!$I$6,MATCH(RAB!C180,'HARGA SATUAN'!$C$7:$C$1492,0),0))</f>
        <v>16200</v>
      </c>
      <c r="H180" s="358">
        <f t="shared" ca="1" si="56"/>
        <v>0</v>
      </c>
      <c r="I180" s="358">
        <f t="shared" ca="1" si="57"/>
        <v>0</v>
      </c>
      <c r="J180" s="358">
        <f t="shared" ca="1" si="58"/>
        <v>194400</v>
      </c>
      <c r="K180" s="359">
        <f t="shared" ca="1" si="59"/>
        <v>194400</v>
      </c>
      <c r="L180" s="339"/>
      <c r="M180" s="339"/>
      <c r="N180" s="366"/>
      <c r="O180" s="341"/>
      <c r="P180" s="394"/>
      <c r="Q180" s="341"/>
    </row>
    <row r="181" spans="1:17" s="362" customFormat="1">
      <c r="A181" s="333"/>
      <c r="B181" s="520"/>
      <c r="C181" s="521"/>
      <c r="D181" s="355" t="str">
        <f ca="1">IF(ISERROR(OFFSET('HARGA SATUAN'!$D$6,MATCH(RAB!C181,'HARGA SATUAN'!$C$7:$C$1492,0),0)),"",OFFSET('HARGA SATUAN'!$D$6,MATCH(RAB!C181,'HARGA SATUAN'!$C$7:$C$1492,0),0))</f>
        <v/>
      </c>
      <c r="E181" s="356" t="str">
        <f ca="1">IF(B181="+","Unit",IF(ISERROR(OFFSET('HARGA SATUAN'!$E$6,MATCH(RAB!C181,'HARGA SATUAN'!$C$7:$C$1492,0),0)),"",OFFSET('HARGA SATUAN'!$E$6,MATCH(RAB!C181,'HARGA SATUAN'!$C$7:$C$1492,0),0)))</f>
        <v/>
      </c>
      <c r="F181" s="494"/>
      <c r="G181" s="357">
        <f ca="1">IF(ISERROR(OFFSET('HARGA SATUAN'!$I$6,MATCH(RAB!C181,'HARGA SATUAN'!$C$7:$C$1492,0),0)),0,OFFSET('HARGA SATUAN'!$I$6,MATCH(RAB!C181,'HARGA SATUAN'!$C$7:$C$1492,0),0))</f>
        <v>0</v>
      </c>
      <c r="H181" s="358">
        <f t="shared" ca="1" si="56"/>
        <v>0</v>
      </c>
      <c r="I181" s="358">
        <f t="shared" ca="1" si="57"/>
        <v>0</v>
      </c>
      <c r="J181" s="358">
        <f t="shared" ca="1" si="58"/>
        <v>0</v>
      </c>
      <c r="K181" s="359">
        <f t="shared" ca="1" si="59"/>
        <v>0</v>
      </c>
      <c r="L181" s="339"/>
      <c r="M181" s="339"/>
      <c r="N181" s="366"/>
      <c r="O181" s="341"/>
      <c r="P181" s="394"/>
      <c r="Q181" s="341"/>
    </row>
    <row r="182" spans="1:17" s="362" customFormat="1">
      <c r="A182" s="333"/>
      <c r="B182" s="538"/>
      <c r="C182" s="505" t="s">
        <v>1662</v>
      </c>
      <c r="D182" s="355" t="str">
        <f ca="1">IF(ISERROR(OFFSET('HARGA SATUAN'!$D$6,MATCH(RAB!C182,'HARGA SATUAN'!$C$7:$C$1492,0),0)),"",OFFSET('HARGA SATUAN'!$D$6,MATCH(RAB!C182,'HARGA SATUAN'!$C$7:$C$1492,0),0))</f>
        <v/>
      </c>
      <c r="E182" s="356" t="str">
        <f ca="1">IF(B182="+","Unit",IF(ISERROR(OFFSET('HARGA SATUAN'!$E$6,MATCH(RAB!C182,'HARGA SATUAN'!$C$7:$C$1492,0),0)),"",OFFSET('HARGA SATUAN'!$E$6,MATCH(RAB!C182,'HARGA SATUAN'!$C$7:$C$1492,0),0)))</f>
        <v/>
      </c>
      <c r="F182" s="494"/>
      <c r="G182" s="357">
        <f ca="1">IF(ISERROR(OFFSET('HARGA SATUAN'!$I$6,MATCH(RAB!C182,'HARGA SATUAN'!$C$7:$C$1492,0),0)),0,OFFSET('HARGA SATUAN'!$I$6,MATCH(RAB!C182,'HARGA SATUAN'!$C$7:$C$1492,0),0))</f>
        <v>0</v>
      </c>
      <c r="H182" s="358">
        <f t="shared" ca="1" si="56"/>
        <v>0</v>
      </c>
      <c r="I182" s="358">
        <f t="shared" ca="1" si="57"/>
        <v>0</v>
      </c>
      <c r="J182" s="358">
        <f t="shared" ca="1" si="58"/>
        <v>0</v>
      </c>
      <c r="K182" s="359">
        <f t="shared" ca="1" si="59"/>
        <v>0</v>
      </c>
      <c r="L182" s="339"/>
      <c r="M182" s="339"/>
      <c r="N182" s="366"/>
      <c r="O182" s="341"/>
      <c r="P182" s="394"/>
      <c r="Q182" s="341"/>
    </row>
    <row r="183" spans="1:17" s="362" customFormat="1">
      <c r="A183" s="333"/>
      <c r="B183" s="520"/>
      <c r="C183" s="521"/>
      <c r="D183" s="355" t="str">
        <f ca="1">IF(ISERROR(OFFSET('HARGA SATUAN'!$D$6,MATCH(RAB!C183,'HARGA SATUAN'!$C$7:$C$1492,0),0)),"",OFFSET('HARGA SATUAN'!$D$6,MATCH(RAB!C183,'HARGA SATUAN'!$C$7:$C$1492,0),0))</f>
        <v/>
      </c>
      <c r="E183" s="356" t="str">
        <f ca="1">IF(B183="+","Unit",IF(ISERROR(OFFSET('HARGA SATUAN'!$E$6,MATCH(RAB!C183,'HARGA SATUAN'!$C$7:$C$1492,0),0)),"",OFFSET('HARGA SATUAN'!$E$6,MATCH(RAB!C183,'HARGA SATUAN'!$C$7:$C$1492,0),0)))</f>
        <v/>
      </c>
      <c r="F183" s="494"/>
      <c r="G183" s="357">
        <f ca="1">IF(ISERROR(OFFSET('HARGA SATUAN'!$I$6,MATCH(RAB!C183,'HARGA SATUAN'!$C$7:$C$1492,0),0)),0,OFFSET('HARGA SATUAN'!$I$6,MATCH(RAB!C183,'HARGA SATUAN'!$C$7:$C$1492,0),0))</f>
        <v>0</v>
      </c>
      <c r="H183" s="358">
        <f t="shared" ca="1" si="56"/>
        <v>0</v>
      </c>
      <c r="I183" s="358">
        <f t="shared" ca="1" si="57"/>
        <v>0</v>
      </c>
      <c r="J183" s="358">
        <f t="shared" ca="1" si="58"/>
        <v>0</v>
      </c>
      <c r="K183" s="359">
        <f t="shared" ca="1" si="59"/>
        <v>0</v>
      </c>
      <c r="L183" s="339"/>
      <c r="M183" s="339"/>
      <c r="N183" s="366"/>
      <c r="O183" s="341"/>
      <c r="P183" s="394"/>
      <c r="Q183" s="341"/>
    </row>
    <row r="184" spans="1:17" s="362" customFormat="1">
      <c r="A184" s="333"/>
      <c r="B184" s="520" t="s">
        <v>1035</v>
      </c>
      <c r="C184" s="521" t="s">
        <v>1634</v>
      </c>
      <c r="D184" s="355" t="str">
        <f ca="1">IF(ISERROR(OFFSET('HARGA SATUAN'!$D$6,MATCH(RAB!C184,'HARGA SATUAN'!$C$7:$C$1492,0),0)),"",OFFSET('HARGA SATUAN'!$D$6,MATCH(RAB!C184,'HARGA SATUAN'!$C$7:$C$1492,0),0))</f>
        <v/>
      </c>
      <c r="E184" s="356" t="str">
        <f ca="1">IF(B184="+","Unit",IF(ISERROR(OFFSET('HARGA SATUAN'!$E$6,MATCH(RAB!C184,'HARGA SATUAN'!$C$7:$C$1492,0),0)),"",OFFSET('HARGA SATUAN'!$E$6,MATCH(RAB!C184,'HARGA SATUAN'!$C$7:$C$1492,0),0)))</f>
        <v>Unit</v>
      </c>
      <c r="F184" s="495">
        <v>3</v>
      </c>
      <c r="G184" s="357">
        <f ca="1">IF(ISERROR(OFFSET('HARGA SATUAN'!$I$6,MATCH(RAB!C184,'HARGA SATUAN'!$C$7:$C$1492,0),0)),0,OFFSET('HARGA SATUAN'!$I$6,MATCH(RAB!C184,'HARGA SATUAN'!$C$7:$C$1492,0),0))</f>
        <v>0</v>
      </c>
      <c r="H184" s="358">
        <f t="shared" ca="1" si="52"/>
        <v>0</v>
      </c>
      <c r="I184" s="358">
        <f t="shared" ca="1" si="53"/>
        <v>0</v>
      </c>
      <c r="J184" s="358">
        <f t="shared" ca="1" si="54"/>
        <v>0</v>
      </c>
      <c r="K184" s="359">
        <f t="shared" ca="1" si="55"/>
        <v>0</v>
      </c>
      <c r="L184" s="339"/>
      <c r="M184" s="339"/>
      <c r="N184" s="366"/>
      <c r="O184" s="341"/>
      <c r="P184" s="394"/>
      <c r="Q184" s="341"/>
    </row>
    <row r="185" spans="1:17" s="362" customFormat="1">
      <c r="A185" s="333"/>
      <c r="B185" s="520">
        <v>1</v>
      </c>
      <c r="C185" s="521" t="s">
        <v>1129</v>
      </c>
      <c r="D185" s="355" t="str">
        <f ca="1">IF(ISERROR(OFFSET('HARGA SATUAN'!$D$6,MATCH(RAB!C185,'HARGA SATUAN'!$C$7:$C$1492,0),0)),"",OFFSET('HARGA SATUAN'!$D$6,MATCH(RAB!C185,'HARGA SATUAN'!$C$7:$C$1492,0),0))</f>
        <v>MDU-KD</v>
      </c>
      <c r="E185" s="356" t="str">
        <f ca="1">IF(B185="+","Unit",IF(ISERROR(OFFSET('HARGA SATUAN'!$E$6,MATCH(RAB!C185,'HARGA SATUAN'!$C$7:$C$1492,0),0)),"",OFFSET('HARGA SATUAN'!$E$6,MATCH(RAB!C185,'HARGA SATUAN'!$C$7:$C$1492,0),0)))</f>
        <v>Bh</v>
      </c>
      <c r="F185" s="495">
        <f>F184*1</f>
        <v>3</v>
      </c>
      <c r="G185" s="357">
        <f ca="1">IF(ISERROR(OFFSET('HARGA SATUAN'!$I$6,MATCH(RAB!C185,'HARGA SATUAN'!$C$7:$C$1492,0),0)),0,OFFSET('HARGA SATUAN'!$I$6,MATCH(RAB!C185,'HARGA SATUAN'!$C$7:$C$1492,0),0))</f>
        <v>176900</v>
      </c>
      <c r="H185" s="358">
        <f t="shared" ca="1" si="52"/>
        <v>530700</v>
      </c>
      <c r="I185" s="358">
        <f t="shared" ca="1" si="53"/>
        <v>0</v>
      </c>
      <c r="J185" s="358">
        <f t="shared" ca="1" si="54"/>
        <v>0</v>
      </c>
      <c r="K185" s="359">
        <f t="shared" ca="1" si="55"/>
        <v>530700</v>
      </c>
      <c r="L185" s="339"/>
      <c r="M185" s="339"/>
      <c r="N185" s="366"/>
      <c r="O185" s="341"/>
      <c r="P185" s="394"/>
      <c r="Q185" s="341"/>
    </row>
    <row r="186" spans="1:17" s="362" customFormat="1">
      <c r="A186" s="333"/>
      <c r="B186" s="520">
        <v>2</v>
      </c>
      <c r="C186" s="521" t="s">
        <v>26</v>
      </c>
      <c r="D186" s="355" t="str">
        <f ca="1">IF(ISERROR(OFFSET('HARGA SATUAN'!$D$6,MATCH(RAB!C186,'HARGA SATUAN'!$C$7:$C$1492,0),0)),"",OFFSET('HARGA SATUAN'!$D$6,MATCH(RAB!C186,'HARGA SATUAN'!$C$7:$C$1492,0),0))</f>
        <v>HDW</v>
      </c>
      <c r="E186" s="356" t="str">
        <f ca="1">IF(B186="+","Unit",IF(ISERROR(OFFSET('HARGA SATUAN'!$E$6,MATCH(RAB!C186,'HARGA SATUAN'!$C$7:$C$1492,0),0)),"",OFFSET('HARGA SATUAN'!$E$6,MATCH(RAB!C186,'HARGA SATUAN'!$C$7:$C$1492,0),0)))</f>
        <v>Bh</v>
      </c>
      <c r="F186" s="495">
        <f>F184*2</f>
        <v>6</v>
      </c>
      <c r="G186" s="357">
        <f ca="1">IF(ISERROR(OFFSET('HARGA SATUAN'!$I$6,MATCH(RAB!C186,'HARGA SATUAN'!$C$7:$C$1492,0),0)),0,OFFSET('HARGA SATUAN'!$I$6,MATCH(RAB!C186,'HARGA SATUAN'!$C$7:$C$1492,0),0))</f>
        <v>2500</v>
      </c>
      <c r="H186" s="358">
        <f t="shared" ca="1" si="52"/>
        <v>0</v>
      </c>
      <c r="I186" s="358">
        <f t="shared" ca="1" si="53"/>
        <v>15000</v>
      </c>
      <c r="J186" s="358">
        <f t="shared" ca="1" si="54"/>
        <v>0</v>
      </c>
      <c r="K186" s="359">
        <f t="shared" ca="1" si="55"/>
        <v>15000</v>
      </c>
      <c r="L186" s="339"/>
      <c r="M186" s="339"/>
      <c r="N186" s="366"/>
      <c r="O186" s="341"/>
      <c r="P186" s="394"/>
      <c r="Q186" s="341"/>
    </row>
    <row r="187" spans="1:17" s="362" customFormat="1">
      <c r="A187" s="333"/>
      <c r="B187" s="520">
        <v>3</v>
      </c>
      <c r="C187" s="521" t="s">
        <v>38</v>
      </c>
      <c r="D187" s="355" t="str">
        <f ca="1">IF(ISERROR(OFFSET('HARGA SATUAN'!$D$6,MATCH(RAB!C187,'HARGA SATUAN'!$C$7:$C$1492,0),0)),"",OFFSET('HARGA SATUAN'!$D$6,MATCH(RAB!C187,'HARGA SATUAN'!$C$7:$C$1492,0),0))</f>
        <v>HDW</v>
      </c>
      <c r="E187" s="356" t="str">
        <f ca="1">IF(B187="+","Unit",IF(ISERROR(OFFSET('HARGA SATUAN'!$E$6,MATCH(RAB!C187,'HARGA SATUAN'!$C$7:$C$1492,0),0)),"",OFFSET('HARGA SATUAN'!$E$6,MATCH(RAB!C187,'HARGA SATUAN'!$C$7:$C$1492,0),0)))</f>
        <v>Mtr</v>
      </c>
      <c r="F187" s="495">
        <f>F185*1.8</f>
        <v>5.4</v>
      </c>
      <c r="G187" s="357">
        <f ca="1">IF(ISERROR(OFFSET('HARGA SATUAN'!$I$6,MATCH(RAB!C187,'HARGA SATUAN'!$C$7:$C$1492,0),0)),0,OFFSET('HARGA SATUAN'!$I$6,MATCH(RAB!C187,'HARGA SATUAN'!$C$7:$C$1492,0),0))</f>
        <v>8550</v>
      </c>
      <c r="H187" s="358">
        <f t="shared" ca="1" si="52"/>
        <v>0</v>
      </c>
      <c r="I187" s="358">
        <f t="shared" ca="1" si="53"/>
        <v>46170</v>
      </c>
      <c r="J187" s="358">
        <f t="shared" ca="1" si="54"/>
        <v>0</v>
      </c>
      <c r="K187" s="359">
        <f t="shared" ca="1" si="55"/>
        <v>46170</v>
      </c>
      <c r="L187" s="339"/>
      <c r="M187" s="339"/>
      <c r="N187" s="366"/>
      <c r="O187" s="341"/>
      <c r="P187" s="394"/>
      <c r="Q187" s="341"/>
    </row>
    <row r="188" spans="1:17" s="362" customFormat="1">
      <c r="A188" s="333"/>
      <c r="B188" s="520">
        <v>4</v>
      </c>
      <c r="C188" s="521" t="s">
        <v>744</v>
      </c>
      <c r="D188" s="355" t="str">
        <f ca="1">IF(ISERROR(OFFSET('HARGA SATUAN'!$D$6,MATCH(RAB!C188,'HARGA SATUAN'!$C$7:$C$1492,0),0)),"",OFFSET('HARGA SATUAN'!$D$6,MATCH(RAB!C188,'HARGA SATUAN'!$C$7:$C$1492,0),0))</f>
        <v>JASA</v>
      </c>
      <c r="E188" s="356" t="str">
        <f ca="1">IF(B188="+","Unit",IF(ISERROR(OFFSET('HARGA SATUAN'!$E$6,MATCH(RAB!C188,'HARGA SATUAN'!$C$7:$C$1492,0),0)),"",OFFSET('HARGA SATUAN'!$E$6,MATCH(RAB!C188,'HARGA SATUAN'!$C$7:$C$1492,0),0)))</f>
        <v>Unit</v>
      </c>
      <c r="F188" s="495">
        <f>F184*1</f>
        <v>3</v>
      </c>
      <c r="G188" s="357">
        <f ca="1">IF(ISERROR(OFFSET('HARGA SATUAN'!$I$6,MATCH(RAB!C188,'HARGA SATUAN'!$C$7:$C$1492,0),0)),0,OFFSET('HARGA SATUAN'!$I$6,MATCH(RAB!C188,'HARGA SATUAN'!$C$7:$C$1492,0),0))</f>
        <v>31200</v>
      </c>
      <c r="H188" s="358">
        <f t="shared" ca="1" si="52"/>
        <v>0</v>
      </c>
      <c r="I188" s="358">
        <f t="shared" ca="1" si="53"/>
        <v>0</v>
      </c>
      <c r="J188" s="358">
        <f t="shared" ca="1" si="54"/>
        <v>93600</v>
      </c>
      <c r="K188" s="359">
        <f t="shared" ca="1" si="55"/>
        <v>93600</v>
      </c>
      <c r="L188" s="339"/>
      <c r="M188" s="339"/>
      <c r="N188" s="366"/>
      <c r="O188" s="341"/>
      <c r="P188" s="394"/>
      <c r="Q188" s="341"/>
    </row>
    <row r="189" spans="1:17" s="362" customFormat="1">
      <c r="A189" s="333"/>
      <c r="B189" s="520"/>
      <c r="C189" s="521"/>
      <c r="D189" s="355" t="str">
        <f ca="1">IF(ISERROR(OFFSET('HARGA SATUAN'!$D$6,MATCH(RAB!C189,'HARGA SATUAN'!$C$7:$C$1492,0),0)),"",OFFSET('HARGA SATUAN'!$D$6,MATCH(RAB!C189,'HARGA SATUAN'!$C$7:$C$1492,0),0))</f>
        <v/>
      </c>
      <c r="E189" s="356" t="str">
        <f ca="1">IF(B189="+","Unit",IF(ISERROR(OFFSET('HARGA SATUAN'!$E$6,MATCH(RAB!C189,'HARGA SATUAN'!$C$7:$C$1492,0),0)),"",OFFSET('HARGA SATUAN'!$E$6,MATCH(RAB!C189,'HARGA SATUAN'!$C$7:$C$1492,0),0)))</f>
        <v/>
      </c>
      <c r="F189" s="494"/>
      <c r="G189" s="357">
        <f ca="1">IF(ISERROR(OFFSET('HARGA SATUAN'!$I$6,MATCH(RAB!C189,'HARGA SATUAN'!$C$7:$C$1492,0),0)),0,OFFSET('HARGA SATUAN'!$I$6,MATCH(RAB!C189,'HARGA SATUAN'!$C$7:$C$1492,0),0))</f>
        <v>0</v>
      </c>
      <c r="H189" s="358">
        <f t="shared" ca="1" si="52"/>
        <v>0</v>
      </c>
      <c r="I189" s="358">
        <f t="shared" ca="1" si="53"/>
        <v>0</v>
      </c>
      <c r="J189" s="358">
        <f t="shared" ca="1" si="54"/>
        <v>0</v>
      </c>
      <c r="K189" s="359">
        <f t="shared" ca="1" si="55"/>
        <v>0</v>
      </c>
      <c r="L189" s="339"/>
      <c r="M189" s="339"/>
      <c r="N189" s="366"/>
      <c r="O189" s="341"/>
      <c r="P189" s="394"/>
      <c r="Q189" s="341"/>
    </row>
    <row r="190" spans="1:17" s="362" customFormat="1">
      <c r="A190" s="333"/>
      <c r="B190" s="491"/>
      <c r="C190" s="505" t="s">
        <v>1623</v>
      </c>
      <c r="D190" s="355" t="str">
        <f ca="1">IF(ISERROR(OFFSET('HARGA SATUAN'!$D$6,MATCH(RAB!C190,'HARGA SATUAN'!$C$7:$C$1492,0),0)),"",OFFSET('HARGA SATUAN'!$D$6,MATCH(RAB!C190,'HARGA SATUAN'!$C$7:$C$1492,0),0))</f>
        <v/>
      </c>
      <c r="E190" s="356" t="str">
        <f ca="1">IF(B190="+","Unit",IF(ISERROR(OFFSET('HARGA SATUAN'!$E$6,MATCH(RAB!C190,'HARGA SATUAN'!$C$7:$C$1492,0),0)),"",OFFSET('HARGA SATUAN'!$E$6,MATCH(RAB!C190,'HARGA SATUAN'!$C$7:$C$1492,0),0)))</f>
        <v/>
      </c>
      <c r="F190" s="494"/>
      <c r="G190" s="357">
        <f ca="1">IF(ISERROR(OFFSET('HARGA SATUAN'!$I$6,MATCH(RAB!C190,'HARGA SATUAN'!$C$7:$C$1492,0),0)),0,OFFSET('HARGA SATUAN'!$I$6,MATCH(RAB!C190,'HARGA SATUAN'!$C$7:$C$1492,0),0))</f>
        <v>0</v>
      </c>
      <c r="H190" s="358">
        <f t="shared" ref="H190:H191" ca="1" si="60">IF(OR(D190="MDU",D190="MDU-KD"),(IF($O$3="RAB NON MDU","PLN KD",G190*F190)),0)</f>
        <v>0</v>
      </c>
      <c r="I190" s="358">
        <f t="shared" ref="I190:I191" ca="1" si="61">IF(D190="HDW",G190*F190,0)</f>
        <v>0</v>
      </c>
      <c r="J190" s="358">
        <f t="shared" ref="J190:J191" ca="1" si="62">IF(D190="JASA",G190*F190,0)</f>
        <v>0</v>
      </c>
      <c r="K190" s="359">
        <f t="shared" ref="K190:K191" ca="1" si="63">SUM(H190:J190)</f>
        <v>0</v>
      </c>
      <c r="L190" s="339"/>
      <c r="M190" s="339"/>
      <c r="N190" s="366"/>
      <c r="O190" s="341"/>
      <c r="P190" s="394"/>
      <c r="Q190" s="341"/>
    </row>
    <row r="191" spans="1:17" s="362" customFormat="1">
      <c r="A191" s="333"/>
      <c r="B191" s="491">
        <v>1</v>
      </c>
      <c r="C191" s="109" t="s">
        <v>65</v>
      </c>
      <c r="D191" s="355" t="str">
        <f ca="1">IF(ISERROR(OFFSET('HARGA SATUAN'!$D$6,MATCH(RAB!C191,'HARGA SATUAN'!$C$7:$C$1492,0),0)),"",OFFSET('HARGA SATUAN'!$D$6,MATCH(RAB!C191,'HARGA SATUAN'!$C$7:$C$1492,0),0))</f>
        <v>MDU-KD</v>
      </c>
      <c r="E191" s="356" t="str">
        <f ca="1">IF(B191="+","Unit",IF(ISERROR(OFFSET('HARGA SATUAN'!$E$6,MATCH(RAB!C191,'HARGA SATUAN'!$C$7:$C$1492,0),0)),"",OFFSET('HARGA SATUAN'!$E$6,MATCH(RAB!C191,'HARGA SATUAN'!$C$7:$C$1492,0),0)))</f>
        <v>Mtr</v>
      </c>
      <c r="F191" s="494">
        <v>2281</v>
      </c>
      <c r="G191" s="357">
        <f ca="1">IF(ISERROR(OFFSET('HARGA SATUAN'!$I$6,MATCH(RAB!C191,'HARGA SATUAN'!$C$7:$C$1492,0),0)),0,OFFSET('HARGA SATUAN'!$I$6,MATCH(RAB!C191,'HARGA SATUAN'!$C$7:$C$1492,0),0))</f>
        <v>14200</v>
      </c>
      <c r="H191" s="358">
        <f t="shared" ca="1" si="60"/>
        <v>32390200</v>
      </c>
      <c r="I191" s="358">
        <f t="shared" ca="1" si="61"/>
        <v>0</v>
      </c>
      <c r="J191" s="358">
        <f t="shared" ca="1" si="62"/>
        <v>0</v>
      </c>
      <c r="K191" s="359">
        <f t="shared" ca="1" si="63"/>
        <v>32390200</v>
      </c>
      <c r="L191" s="339"/>
      <c r="M191" s="339"/>
      <c r="N191" s="366"/>
      <c r="O191" s="341"/>
      <c r="P191" s="394"/>
      <c r="Q191" s="341"/>
    </row>
    <row r="192" spans="1:17" s="362" customFormat="1">
      <c r="A192" s="333"/>
      <c r="B192" s="491">
        <v>2</v>
      </c>
      <c r="C192" s="109" t="s">
        <v>301</v>
      </c>
      <c r="D192" s="355" t="str">
        <f ca="1">IF(ISERROR(OFFSET('HARGA SATUAN'!$D$6,MATCH(RAB!C192,'HARGA SATUAN'!$C$7:$C$1492,0),0)),"",OFFSET('HARGA SATUAN'!$D$6,MATCH(RAB!C192,'HARGA SATUAN'!$C$7:$C$1492,0),0))</f>
        <v>JASA</v>
      </c>
      <c r="E192" s="356" t="str">
        <f ca="1">IF(B192="+","Unit",IF(ISERROR(OFFSET('HARGA SATUAN'!$E$6,MATCH(RAB!C192,'HARGA SATUAN'!$C$7:$C$1492,0),0)),"",OFFSET('HARGA SATUAN'!$E$6,MATCH(RAB!C192,'HARGA SATUAN'!$C$7:$C$1492,0),0)))</f>
        <v>Per 50 m</v>
      </c>
      <c r="F192" s="504">
        <f>F191/200</f>
        <v>11.404999999999999</v>
      </c>
      <c r="G192" s="357">
        <f ca="1">IF(ISERROR(OFFSET('HARGA SATUAN'!$I$6,MATCH(RAB!C192,'HARGA SATUAN'!$C$7:$C$1492,0),0)),0,OFFSET('HARGA SATUAN'!$I$6,MATCH(RAB!C192,'HARGA SATUAN'!$C$7:$C$1492,0),0))</f>
        <v>300100</v>
      </c>
      <c r="H192" s="358">
        <f t="shared" ref="H192:H202" ca="1" si="64">IF(OR(D192="MDU",D192="MDU-KD"),(IF($O$3="RAB NON MDU","PLN KD",G192*F192)),0)</f>
        <v>0</v>
      </c>
      <c r="I192" s="358">
        <f t="shared" ref="I192:I202" ca="1" si="65">IF(D192="HDW",G192*F192,0)</f>
        <v>0</v>
      </c>
      <c r="J192" s="358">
        <f t="shared" ref="J192:J202" ca="1" si="66">IF(D192="JASA",G192*F192,0)</f>
        <v>3422640.5</v>
      </c>
      <c r="K192" s="359">
        <f t="shared" ref="K192:K202" ca="1" si="67">SUM(H192:J192)</f>
        <v>3422640.5</v>
      </c>
      <c r="L192" s="339"/>
      <c r="M192" s="339"/>
      <c r="N192" s="366"/>
      <c r="O192" s="341"/>
      <c r="P192" s="394"/>
      <c r="Q192" s="341"/>
    </row>
    <row r="193" spans="1:17" s="362" customFormat="1">
      <c r="A193" s="333"/>
      <c r="B193" s="491"/>
      <c r="C193" s="109"/>
      <c r="D193" s="355" t="str">
        <f ca="1">IF(ISERROR(OFFSET('HARGA SATUAN'!$D$6,MATCH(RAB!C193,'HARGA SATUAN'!$C$7:$C$1492,0),0)),"",OFFSET('HARGA SATUAN'!$D$6,MATCH(RAB!C193,'HARGA SATUAN'!$C$7:$C$1492,0),0))</f>
        <v/>
      </c>
      <c r="E193" s="356" t="str">
        <f ca="1">IF(B193="+","Unit",IF(ISERROR(OFFSET('HARGA SATUAN'!$E$6,MATCH(RAB!C193,'HARGA SATUAN'!$C$7:$C$1492,0),0)),"",OFFSET('HARGA SATUAN'!$E$6,MATCH(RAB!C193,'HARGA SATUAN'!$C$7:$C$1492,0),0)))</f>
        <v/>
      </c>
      <c r="F193" s="504"/>
      <c r="G193" s="357">
        <f ca="1">IF(ISERROR(OFFSET('HARGA SATUAN'!$I$6,MATCH(RAB!C193,'HARGA SATUAN'!$C$7:$C$1492,0),0)),0,OFFSET('HARGA SATUAN'!$I$6,MATCH(RAB!C193,'HARGA SATUAN'!$C$7:$C$1492,0),0))</f>
        <v>0</v>
      </c>
      <c r="H193" s="358">
        <f t="shared" ca="1" si="64"/>
        <v>0</v>
      </c>
      <c r="I193" s="358">
        <f t="shared" ca="1" si="65"/>
        <v>0</v>
      </c>
      <c r="J193" s="358">
        <f t="shared" ca="1" si="66"/>
        <v>0</v>
      </c>
      <c r="K193" s="359">
        <f t="shared" ca="1" si="67"/>
        <v>0</v>
      </c>
      <c r="L193" s="339"/>
      <c r="M193" s="339"/>
      <c r="N193" s="366"/>
      <c r="O193" s="341"/>
      <c r="P193" s="394"/>
      <c r="Q193" s="341"/>
    </row>
    <row r="194" spans="1:17" s="362" customFormat="1">
      <c r="A194" s="333"/>
      <c r="B194" s="491"/>
      <c r="C194" s="539" t="s">
        <v>1665</v>
      </c>
      <c r="D194" s="355" t="str">
        <f ca="1">IF(ISERROR(OFFSET('HARGA SATUAN'!$D$6,MATCH(RAB!C194,'HARGA SATUAN'!$C$7:$C$1492,0),0)),"",OFFSET('HARGA SATUAN'!$D$6,MATCH(RAB!C194,'HARGA SATUAN'!$C$7:$C$1492,0),0))</f>
        <v/>
      </c>
      <c r="E194" s="356" t="str">
        <f ca="1">IF(B194="+","Unit",IF(ISERROR(OFFSET('HARGA SATUAN'!$E$6,MATCH(RAB!C194,'HARGA SATUAN'!$C$7:$C$1492,0),0)),"",OFFSET('HARGA SATUAN'!$E$6,MATCH(RAB!C194,'HARGA SATUAN'!$C$7:$C$1492,0),0)))</f>
        <v/>
      </c>
      <c r="F194" s="504"/>
      <c r="G194" s="357">
        <f ca="1">IF(ISERROR(OFFSET('HARGA SATUAN'!$I$6,MATCH(RAB!C194,'HARGA SATUAN'!$C$7:$C$1492,0),0)),0,OFFSET('HARGA SATUAN'!$I$6,MATCH(RAB!C194,'HARGA SATUAN'!$C$7:$C$1492,0),0))</f>
        <v>0</v>
      </c>
      <c r="H194" s="358">
        <f t="shared" ca="1" si="64"/>
        <v>0</v>
      </c>
      <c r="I194" s="358">
        <f t="shared" ca="1" si="65"/>
        <v>0</v>
      </c>
      <c r="J194" s="358">
        <f t="shared" ca="1" si="66"/>
        <v>0</v>
      </c>
      <c r="K194" s="359">
        <f t="shared" ca="1" si="67"/>
        <v>0</v>
      </c>
      <c r="L194" s="339"/>
      <c r="M194" s="339"/>
      <c r="N194" s="366"/>
      <c r="O194" s="341"/>
      <c r="P194" s="394"/>
      <c r="Q194" s="341"/>
    </row>
    <row r="195" spans="1:17" s="362" customFormat="1">
      <c r="A195" s="333"/>
      <c r="B195" s="491">
        <v>1</v>
      </c>
      <c r="C195" s="109" t="s">
        <v>824</v>
      </c>
      <c r="D195" s="355" t="str">
        <f ca="1">IF(ISERROR(OFFSET('HARGA SATUAN'!$D$6,MATCH(RAB!C195,'HARGA SATUAN'!$C$7:$C$1492,0),0)),"",OFFSET('HARGA SATUAN'!$D$6,MATCH(RAB!C195,'HARGA SATUAN'!$C$7:$C$1492,0),0))</f>
        <v>JASA</v>
      </c>
      <c r="E195" s="356" t="str">
        <f ca="1">IF(B195="+","Unit",IF(ISERROR(OFFSET('HARGA SATUAN'!$E$6,MATCH(RAB!C195,'HARGA SATUAN'!$C$7:$C$1492,0),0)),"",OFFSET('HARGA SATUAN'!$E$6,MATCH(RAB!C195,'HARGA SATUAN'!$C$7:$C$1492,0),0)))</f>
        <v>Unit</v>
      </c>
      <c r="F195" s="504">
        <v>8</v>
      </c>
      <c r="G195" s="357">
        <f ca="1">IF(ISERROR(OFFSET('HARGA SATUAN'!$I$6,MATCH(RAB!C195,'HARGA SATUAN'!$C$7:$C$1492,0),0)),0,OFFSET('HARGA SATUAN'!$I$6,MATCH(RAB!C195,'HARGA SATUAN'!$C$7:$C$1492,0),0))</f>
        <v>31920</v>
      </c>
      <c r="H195" s="358">
        <f t="shared" ca="1" si="64"/>
        <v>0</v>
      </c>
      <c r="I195" s="358">
        <f t="shared" ca="1" si="65"/>
        <v>0</v>
      </c>
      <c r="J195" s="358">
        <f t="shared" ca="1" si="66"/>
        <v>255360</v>
      </c>
      <c r="K195" s="359">
        <f t="shared" ca="1" si="67"/>
        <v>255360</v>
      </c>
      <c r="L195" s="339"/>
      <c r="M195" s="339"/>
      <c r="N195" s="366"/>
      <c r="O195" s="341"/>
      <c r="P195" s="394"/>
      <c r="Q195" s="341"/>
    </row>
    <row r="196" spans="1:17" s="362" customFormat="1">
      <c r="A196" s="333"/>
      <c r="B196" s="491">
        <v>2</v>
      </c>
      <c r="C196" s="109" t="s">
        <v>838</v>
      </c>
      <c r="D196" s="355" t="str">
        <f ca="1">IF(ISERROR(OFFSET('HARGA SATUAN'!$D$6,MATCH(RAB!C196,'HARGA SATUAN'!$C$7:$C$1492,0),0)),"",OFFSET('HARGA SATUAN'!$D$6,MATCH(RAB!C196,'HARGA SATUAN'!$C$7:$C$1492,0),0))</f>
        <v>JASA</v>
      </c>
      <c r="E196" s="356" t="str">
        <f ca="1">IF(B196="+","Unit",IF(ISERROR(OFFSET('HARGA SATUAN'!$E$6,MATCH(RAB!C196,'HARGA SATUAN'!$C$7:$C$1492,0),0)),"",OFFSET('HARGA SATUAN'!$E$6,MATCH(RAB!C196,'HARGA SATUAN'!$C$7:$C$1492,0),0)))</f>
        <v>Unit</v>
      </c>
      <c r="F196" s="504">
        <v>2</v>
      </c>
      <c r="G196" s="357">
        <f ca="1">IF(ISERROR(OFFSET('HARGA SATUAN'!$I$6,MATCH(RAB!C196,'HARGA SATUAN'!$C$7:$C$1492,0),0)),0,OFFSET('HARGA SATUAN'!$I$6,MATCH(RAB!C196,'HARGA SATUAN'!$C$7:$C$1492,0),0))</f>
        <v>22740</v>
      </c>
      <c r="H196" s="358">
        <f t="shared" ca="1" si="64"/>
        <v>0</v>
      </c>
      <c r="I196" s="358">
        <f t="shared" ca="1" si="65"/>
        <v>0</v>
      </c>
      <c r="J196" s="358">
        <f t="shared" ca="1" si="66"/>
        <v>45480</v>
      </c>
      <c r="K196" s="359">
        <f t="shared" ca="1" si="67"/>
        <v>45480</v>
      </c>
      <c r="L196" s="339"/>
      <c r="M196" s="339"/>
      <c r="N196" s="366"/>
      <c r="O196" s="341"/>
      <c r="P196" s="394"/>
      <c r="Q196" s="341"/>
    </row>
    <row r="197" spans="1:17" s="362" customFormat="1">
      <c r="A197" s="333"/>
      <c r="B197" s="491">
        <v>3</v>
      </c>
      <c r="C197" s="109" t="s">
        <v>953</v>
      </c>
      <c r="D197" s="355" t="str">
        <f ca="1">IF(ISERROR(OFFSET('HARGA SATUAN'!$D$6,MATCH(RAB!C197,'HARGA SATUAN'!$C$7:$C$1492,0),0)),"",OFFSET('HARGA SATUAN'!$D$6,MATCH(RAB!C197,'HARGA SATUAN'!$C$7:$C$1492,0),0))</f>
        <v>JASA</v>
      </c>
      <c r="E197" s="356" t="str">
        <f ca="1">IF(B197="+","Unit",IF(ISERROR(OFFSET('HARGA SATUAN'!$E$6,MATCH(RAB!C197,'HARGA SATUAN'!$C$7:$C$1492,0),0)),"",OFFSET('HARGA SATUAN'!$E$6,MATCH(RAB!C197,'HARGA SATUAN'!$C$7:$C$1492,0),0)))</f>
        <v>Per 50 m</v>
      </c>
      <c r="F197" s="504">
        <v>11.5</v>
      </c>
      <c r="G197" s="357">
        <f ca="1">IF(ISERROR(OFFSET('HARGA SATUAN'!$I$6,MATCH(RAB!C197,'HARGA SATUAN'!$C$7:$C$1492,0),0)),0,OFFSET('HARGA SATUAN'!$I$6,MATCH(RAB!C197,'HARGA SATUAN'!$C$7:$C$1492,0),0))</f>
        <v>69120</v>
      </c>
      <c r="H197" s="358">
        <f t="shared" ca="1" si="64"/>
        <v>0</v>
      </c>
      <c r="I197" s="358">
        <f t="shared" ca="1" si="65"/>
        <v>0</v>
      </c>
      <c r="J197" s="358">
        <f t="shared" ca="1" si="66"/>
        <v>794880</v>
      </c>
      <c r="K197" s="359">
        <f t="shared" ca="1" si="67"/>
        <v>794880</v>
      </c>
      <c r="L197" s="339"/>
      <c r="M197" s="339"/>
      <c r="N197" s="366"/>
      <c r="O197" s="341"/>
      <c r="P197" s="394"/>
      <c r="Q197" s="341"/>
    </row>
    <row r="198" spans="1:17" s="362" customFormat="1">
      <c r="A198" s="333"/>
      <c r="B198" s="491">
        <v>4</v>
      </c>
      <c r="C198" s="109" t="s">
        <v>434</v>
      </c>
      <c r="D198" s="355" t="str">
        <f ca="1">IF(ISERROR(OFFSET('HARGA SATUAN'!$D$6,MATCH(RAB!C198,'HARGA SATUAN'!$C$7:$C$1492,0),0)),"",OFFSET('HARGA SATUAN'!$D$6,MATCH(RAB!C198,'HARGA SATUAN'!$C$7:$C$1492,0),0))</f>
        <v>JASA</v>
      </c>
      <c r="E198" s="356" t="str">
        <f ca="1">IF(B198="+","Unit",IF(ISERROR(OFFSET('HARGA SATUAN'!$E$6,MATCH(RAB!C198,'HARGA SATUAN'!$C$7:$C$1492,0),0)),"",OFFSET('HARGA SATUAN'!$E$6,MATCH(RAB!C198,'HARGA SATUAN'!$C$7:$C$1492,0),0)))</f>
        <v>Btg</v>
      </c>
      <c r="F198" s="504">
        <v>8</v>
      </c>
      <c r="G198" s="357">
        <f ca="1">IF(ISERROR(OFFSET('HARGA SATUAN'!$I$6,MATCH(RAB!C198,'HARGA SATUAN'!$C$7:$C$1492,0),0)),0,OFFSET('HARGA SATUAN'!$I$6,MATCH(RAB!C198,'HARGA SATUAN'!$C$7:$C$1492,0),0))</f>
        <v>438273.42456634069</v>
      </c>
      <c r="H198" s="358">
        <f t="shared" ca="1" si="64"/>
        <v>0</v>
      </c>
      <c r="I198" s="358">
        <f t="shared" ca="1" si="65"/>
        <v>0</v>
      </c>
      <c r="J198" s="358">
        <f t="shared" ca="1" si="66"/>
        <v>3506187.3965307255</v>
      </c>
      <c r="K198" s="359">
        <f t="shared" ca="1" si="67"/>
        <v>3506187.3965307255</v>
      </c>
      <c r="L198" s="339"/>
      <c r="M198" s="339"/>
      <c r="N198" s="366"/>
      <c r="O198" s="341"/>
      <c r="P198" s="394"/>
      <c r="Q198" s="341"/>
    </row>
    <row r="199" spans="1:17" s="362" customFormat="1">
      <c r="A199" s="333"/>
      <c r="B199" s="491"/>
      <c r="C199" s="492"/>
      <c r="D199" s="355" t="str">
        <f ca="1">IF(ISERROR(OFFSET('HARGA SATUAN'!$D$6,MATCH(RAB!C199,'HARGA SATUAN'!$C$7:$C$1492,0),0)),"",OFFSET('HARGA SATUAN'!$D$6,MATCH(RAB!C199,'HARGA SATUAN'!$C$7:$C$1492,0),0))</f>
        <v/>
      </c>
      <c r="E199" s="356" t="str">
        <f ca="1">IF(B199="+","Unit",IF(ISERROR(OFFSET('HARGA SATUAN'!$E$6,MATCH(RAB!C199,'HARGA SATUAN'!$C$7:$C$1492,0),0)),"",OFFSET('HARGA SATUAN'!$E$6,MATCH(RAB!C199,'HARGA SATUAN'!$C$7:$C$1492,0),0)))</f>
        <v/>
      </c>
      <c r="F199" s="494"/>
      <c r="G199" s="357">
        <f ca="1">IF(ISERROR(OFFSET('HARGA SATUAN'!$I$6,MATCH(RAB!C199,'HARGA SATUAN'!$C$7:$C$1492,0),0)),0,OFFSET('HARGA SATUAN'!$I$6,MATCH(RAB!C199,'HARGA SATUAN'!$C$7:$C$1492,0),0))</f>
        <v>0</v>
      </c>
      <c r="H199" s="358">
        <f t="shared" ca="1" si="64"/>
        <v>0</v>
      </c>
      <c r="I199" s="358">
        <f t="shared" ca="1" si="65"/>
        <v>0</v>
      </c>
      <c r="J199" s="358">
        <f t="shared" ca="1" si="66"/>
        <v>0</v>
      </c>
      <c r="K199" s="359">
        <f t="shared" ca="1" si="67"/>
        <v>0</v>
      </c>
      <c r="L199" s="339"/>
      <c r="M199" s="339"/>
      <c r="N199" s="366"/>
      <c r="O199" s="341"/>
      <c r="P199" s="394"/>
      <c r="Q199" s="341"/>
    </row>
    <row r="200" spans="1:17" s="362" customFormat="1">
      <c r="A200" s="333"/>
      <c r="B200" s="530"/>
      <c r="C200" s="531" t="s">
        <v>1664</v>
      </c>
      <c r="D200" s="355" t="str">
        <f ca="1">IF(ISERROR(OFFSET('HARGA SATUAN'!$D$6,MATCH(RAB!C200,'HARGA SATUAN'!$C$7:$C$1492,0),0)),"",OFFSET('HARGA SATUAN'!$D$6,MATCH(RAB!C200,'HARGA SATUAN'!$C$7:$C$1492,0),0))</f>
        <v/>
      </c>
      <c r="E200" s="356" t="str">
        <f ca="1">IF(B200="+","Unit",IF(ISERROR(OFFSET('HARGA SATUAN'!$E$6,MATCH(RAB!C200,'HARGA SATUAN'!$C$7:$C$1492,0),0)),"",OFFSET('HARGA SATUAN'!$E$6,MATCH(RAB!C200,'HARGA SATUAN'!$C$7:$C$1492,0),0)))</f>
        <v/>
      </c>
      <c r="F200" s="494"/>
      <c r="G200" s="357">
        <f ca="1">IF(ISERROR(OFFSET('HARGA SATUAN'!$I$6,MATCH(RAB!C200,'HARGA SATUAN'!$C$7:$C$1492,0),0)),0,OFFSET('HARGA SATUAN'!$I$6,MATCH(RAB!C200,'HARGA SATUAN'!$C$7:$C$1492,0),0))</f>
        <v>0</v>
      </c>
      <c r="H200" s="358">
        <f t="shared" ca="1" si="64"/>
        <v>0</v>
      </c>
      <c r="I200" s="358">
        <f t="shared" ca="1" si="65"/>
        <v>0</v>
      </c>
      <c r="J200" s="358">
        <f t="shared" ca="1" si="66"/>
        <v>0</v>
      </c>
      <c r="K200" s="359">
        <f t="shared" ca="1" si="67"/>
        <v>0</v>
      </c>
      <c r="L200" s="339"/>
      <c r="M200" s="339"/>
      <c r="N200" s="366"/>
      <c r="O200" s="341"/>
      <c r="P200" s="394"/>
      <c r="Q200" s="341"/>
    </row>
    <row r="201" spans="1:17" s="362" customFormat="1">
      <c r="A201" s="333"/>
      <c r="B201" s="491"/>
      <c r="C201" s="492"/>
      <c r="D201" s="355" t="str">
        <f ca="1">IF(ISERROR(OFFSET('HARGA SATUAN'!$D$6,MATCH(RAB!C201,'HARGA SATUAN'!$C$7:$C$1492,0),0)),"",OFFSET('HARGA SATUAN'!$D$6,MATCH(RAB!C201,'HARGA SATUAN'!$C$7:$C$1492,0),0))</f>
        <v/>
      </c>
      <c r="E201" s="356" t="str">
        <f ca="1">IF(B201="+","Unit",IF(ISERROR(OFFSET('HARGA SATUAN'!$E$6,MATCH(RAB!C201,'HARGA SATUAN'!$C$7:$C$1492,0),0)),"",OFFSET('HARGA SATUAN'!$E$6,MATCH(RAB!C201,'HARGA SATUAN'!$C$7:$C$1492,0),0)))</f>
        <v/>
      </c>
      <c r="F201" s="494"/>
      <c r="G201" s="357">
        <f ca="1">IF(ISERROR(OFFSET('HARGA SATUAN'!$I$6,MATCH(RAB!C201,'HARGA SATUAN'!$C$7:$C$1492,0),0)),0,OFFSET('HARGA SATUAN'!$I$6,MATCH(RAB!C201,'HARGA SATUAN'!$C$7:$C$1492,0),0))</f>
        <v>0</v>
      </c>
      <c r="H201" s="358">
        <f t="shared" ca="1" si="64"/>
        <v>0</v>
      </c>
      <c r="I201" s="358">
        <f t="shared" ca="1" si="65"/>
        <v>0</v>
      </c>
      <c r="J201" s="358">
        <f t="shared" ca="1" si="66"/>
        <v>0</v>
      </c>
      <c r="K201" s="359">
        <f t="shared" ca="1" si="67"/>
        <v>0</v>
      </c>
      <c r="L201" s="339"/>
      <c r="M201" s="339"/>
      <c r="N201" s="366"/>
      <c r="O201" s="341"/>
      <c r="P201" s="394"/>
      <c r="Q201" s="341"/>
    </row>
    <row r="202" spans="1:17" s="362" customFormat="1">
      <c r="A202" s="333"/>
      <c r="B202" s="363" t="s">
        <v>10</v>
      </c>
      <c r="C202" s="364" t="s">
        <v>1612</v>
      </c>
      <c r="D202" s="355" t="str">
        <f ca="1">IF(ISERROR(OFFSET('HARGA SATUAN'!$D$6,MATCH(RAB!C202,'HARGA SATUAN'!$C$7:$C$1492,0),0)),"",OFFSET('HARGA SATUAN'!$D$6,MATCH(RAB!C202,'HARGA SATUAN'!$C$7:$C$1492,0),0))</f>
        <v/>
      </c>
      <c r="E202" s="356" t="str">
        <f ca="1">IF(B202="+","Unit",IF(ISERROR(OFFSET('HARGA SATUAN'!$E$6,MATCH(RAB!C202,'HARGA SATUAN'!$C$7:$C$1492,0),0)),"",OFFSET('HARGA SATUAN'!$E$6,MATCH(RAB!C202,'HARGA SATUAN'!$C$7:$C$1492,0),0)))</f>
        <v/>
      </c>
      <c r="F202" s="494"/>
      <c r="G202" s="357">
        <f ca="1">IF(ISERROR(OFFSET('HARGA SATUAN'!$I$6,MATCH(RAB!C202,'HARGA SATUAN'!$C$7:$C$1492,0),0)),0,OFFSET('HARGA SATUAN'!$I$6,MATCH(RAB!C202,'HARGA SATUAN'!$C$7:$C$1492,0),0))</f>
        <v>0</v>
      </c>
      <c r="H202" s="358">
        <f t="shared" ca="1" si="64"/>
        <v>0</v>
      </c>
      <c r="I202" s="358">
        <f t="shared" ca="1" si="65"/>
        <v>0</v>
      </c>
      <c r="J202" s="358">
        <f t="shared" ca="1" si="66"/>
        <v>0</v>
      </c>
      <c r="K202" s="359">
        <f t="shared" ca="1" si="67"/>
        <v>0</v>
      </c>
      <c r="L202" s="339"/>
      <c r="M202" s="339"/>
      <c r="N202" s="366"/>
      <c r="O202" s="341"/>
      <c r="P202" s="394"/>
      <c r="Q202" s="341"/>
    </row>
    <row r="203" spans="1:17" s="362" customFormat="1">
      <c r="A203" s="333"/>
      <c r="B203" s="368"/>
      <c r="C203" s="369"/>
      <c r="D203" s="355" t="str">
        <f ca="1">IF(ISERROR(OFFSET('HARGA SATUAN'!$D$6,MATCH(RAB!C203,'HARGA SATUAN'!$C$7:$C$1492,0),0)),"",OFFSET('HARGA SATUAN'!$D$6,MATCH(RAB!C203,'HARGA SATUAN'!$C$7:$C$1492,0),0))</f>
        <v/>
      </c>
      <c r="E203" s="356" t="str">
        <f ca="1">IF(B203="+","Unit",IF(ISERROR(OFFSET('HARGA SATUAN'!$E$6,MATCH(RAB!C203,'HARGA SATUAN'!$C$7:$C$1492,0),0)),"",OFFSET('HARGA SATUAN'!$E$6,MATCH(RAB!C203,'HARGA SATUAN'!$C$7:$C$1492,0),0)))</f>
        <v/>
      </c>
      <c r="F203" s="494"/>
      <c r="G203" s="357">
        <f ca="1">IF(ISERROR(OFFSET('HARGA SATUAN'!$I$6,MATCH(RAB!C203,'HARGA SATUAN'!$C$7:$C$1492,0),0)),0,OFFSET('HARGA SATUAN'!$I$6,MATCH(RAB!C203,'HARGA SATUAN'!$C$7:$C$1492,0),0))</f>
        <v>0</v>
      </c>
      <c r="H203" s="358">
        <f t="shared" ref="H203:H280" ca="1" si="68">IF(OR(D203="MDU",D203="MDU-KD"),(IF($O$3="RAB NON MDU","PLN KD",G203*F203)),0)</f>
        <v>0</v>
      </c>
      <c r="I203" s="358">
        <f t="shared" ref="I203:I280" ca="1" si="69">IF(D203="HDW",G203*F203,0)</f>
        <v>0</v>
      </c>
      <c r="J203" s="358">
        <f t="shared" ref="J203:J280" ca="1" si="70">IF(D203="JASA",G203*F203,0)</f>
        <v>0</v>
      </c>
      <c r="K203" s="359">
        <f t="shared" ref="K203:K280" ca="1" si="71">SUM(H203:J203)</f>
        <v>0</v>
      </c>
      <c r="L203" s="339"/>
      <c r="M203" s="339"/>
      <c r="N203" s="366"/>
      <c r="O203" s="341"/>
      <c r="P203" s="394"/>
      <c r="Q203" s="341"/>
    </row>
    <row r="204" spans="1:17" s="362" customFormat="1">
      <c r="A204" s="333"/>
      <c r="B204" s="368">
        <v>1</v>
      </c>
      <c r="C204" s="109" t="s">
        <v>104</v>
      </c>
      <c r="D204" s="355" t="str">
        <f ca="1">IF(ISERROR(OFFSET('HARGA SATUAN'!$D$6,MATCH(RAB!C204,'HARGA SATUAN'!$C$7:$C$1492,0),0)),"",OFFSET('HARGA SATUAN'!$D$6,MATCH(RAB!C204,'HARGA SATUAN'!$C$7:$C$1492,0),0))</f>
        <v>HDW</v>
      </c>
      <c r="E204" s="356" t="str">
        <f ca="1">IF(B204="+","Unit",IF(ISERROR(OFFSET('HARGA SATUAN'!$E$6,MATCH(RAB!C204,'HARGA SATUAN'!$C$7:$C$1492,0),0)),"",OFFSET('HARGA SATUAN'!$E$6,MATCH(RAB!C204,'HARGA SATUAN'!$C$7:$C$1492,0),0)))</f>
        <v>Btg</v>
      </c>
      <c r="F204" s="365">
        <v>2</v>
      </c>
      <c r="G204" s="357">
        <f ca="1">IF(ISERROR(OFFSET('HARGA SATUAN'!$I$6,MATCH(RAB!C204,'HARGA SATUAN'!$C$7:$C$1492,0),0)),0,OFFSET('HARGA SATUAN'!$I$6,MATCH(RAB!C204,'HARGA SATUAN'!$C$7:$C$1492,0),0))</f>
        <v>6074400</v>
      </c>
      <c r="H204" s="358">
        <f t="shared" ca="1" si="68"/>
        <v>0</v>
      </c>
      <c r="I204" s="358">
        <f t="shared" ca="1" si="69"/>
        <v>12148800</v>
      </c>
      <c r="J204" s="358">
        <f t="shared" ca="1" si="70"/>
        <v>0</v>
      </c>
      <c r="K204" s="359">
        <f t="shared" ca="1" si="71"/>
        <v>12148800</v>
      </c>
      <c r="L204" s="339"/>
      <c r="M204" s="339"/>
      <c r="N204" s="366"/>
      <c r="O204" s="341"/>
      <c r="P204" s="394"/>
      <c r="Q204" s="341"/>
    </row>
    <row r="205" spans="1:17" s="362" customFormat="1">
      <c r="A205" s="333"/>
      <c r="B205" s="368">
        <v>2</v>
      </c>
      <c r="C205" s="109" t="s">
        <v>103</v>
      </c>
      <c r="D205" s="355" t="str">
        <f ca="1">IF(ISERROR(OFFSET('HARGA SATUAN'!$D$6,MATCH(RAB!C205,'HARGA SATUAN'!$C$7:$C$1492,0),0)),"",OFFSET('HARGA SATUAN'!$D$6,MATCH(RAB!C205,'HARGA SATUAN'!$C$7:$C$1492,0),0))</f>
        <v>HDW</v>
      </c>
      <c r="E205" s="356" t="str">
        <f ca="1">IF(B205="+","Unit",IF(ISERROR(OFFSET('HARGA SATUAN'!$E$6,MATCH(RAB!C205,'HARGA SATUAN'!$C$7:$C$1492,0),0)),"",OFFSET('HARGA SATUAN'!$E$6,MATCH(RAB!C205,'HARGA SATUAN'!$C$7:$C$1492,0),0)))</f>
        <v>Btg</v>
      </c>
      <c r="F205" s="365">
        <v>13</v>
      </c>
      <c r="G205" s="357">
        <f ca="1">IF(ISERROR(OFFSET('HARGA SATUAN'!$I$6,MATCH(RAB!C205,'HARGA SATUAN'!$C$7:$C$1492,0),0)),0,OFFSET('HARGA SATUAN'!$I$6,MATCH(RAB!C205,'HARGA SATUAN'!$C$7:$C$1492,0),0))</f>
        <v>5800000</v>
      </c>
      <c r="H205" s="358">
        <f t="shared" ca="1" si="68"/>
        <v>0</v>
      </c>
      <c r="I205" s="358">
        <f t="shared" ca="1" si="69"/>
        <v>75400000</v>
      </c>
      <c r="J205" s="358">
        <f t="shared" ca="1" si="70"/>
        <v>0</v>
      </c>
      <c r="K205" s="359">
        <f t="shared" ca="1" si="71"/>
        <v>75400000</v>
      </c>
      <c r="L205" s="339"/>
      <c r="M205" s="339"/>
      <c r="N205" s="366"/>
      <c r="O205" s="341"/>
      <c r="P205" s="394"/>
      <c r="Q205" s="341"/>
    </row>
    <row r="206" spans="1:17" s="362" customFormat="1">
      <c r="A206" s="333"/>
      <c r="B206" s="368">
        <v>3</v>
      </c>
      <c r="C206" s="109" t="s">
        <v>101</v>
      </c>
      <c r="D206" s="355" t="str">
        <f ca="1">IF(ISERROR(OFFSET('HARGA SATUAN'!$D$6,MATCH(RAB!C206,'HARGA SATUAN'!$C$7:$C$1492,0),0)),"",OFFSET('HARGA SATUAN'!$D$6,MATCH(RAB!C206,'HARGA SATUAN'!$C$7:$C$1492,0),0))</f>
        <v>HDW</v>
      </c>
      <c r="E206" s="356" t="str">
        <f ca="1">IF(B206="+","Unit",IF(ISERROR(OFFSET('HARGA SATUAN'!$E$6,MATCH(RAB!C206,'HARGA SATUAN'!$C$7:$C$1492,0),0)),"",OFFSET('HARGA SATUAN'!$E$6,MATCH(RAB!C206,'HARGA SATUAN'!$C$7:$C$1492,0),0)))</f>
        <v>Btg</v>
      </c>
      <c r="F206" s="365">
        <v>2</v>
      </c>
      <c r="G206" s="357">
        <f ca="1">IF(ISERROR(OFFSET('HARGA SATUAN'!$I$6,MATCH(RAB!C206,'HARGA SATUAN'!$C$7:$C$1492,0),0)),0,OFFSET('HARGA SATUAN'!$I$6,MATCH(RAB!C206,'HARGA SATUAN'!$C$7:$C$1492,0),0))</f>
        <v>3382600</v>
      </c>
      <c r="H206" s="358">
        <f t="shared" ca="1" si="68"/>
        <v>0</v>
      </c>
      <c r="I206" s="358">
        <f t="shared" ca="1" si="69"/>
        <v>6765200</v>
      </c>
      <c r="J206" s="358">
        <f t="shared" ca="1" si="70"/>
        <v>0</v>
      </c>
      <c r="K206" s="359">
        <f t="shared" ca="1" si="71"/>
        <v>6765200</v>
      </c>
      <c r="L206" s="339"/>
      <c r="M206" s="339"/>
      <c r="N206" s="366"/>
      <c r="O206" s="341"/>
      <c r="P206" s="394"/>
      <c r="Q206" s="341"/>
    </row>
    <row r="207" spans="1:17" s="362" customFormat="1">
      <c r="A207" s="333"/>
      <c r="B207" s="368">
        <v>4</v>
      </c>
      <c r="C207" s="109" t="s">
        <v>6</v>
      </c>
      <c r="D207" s="355" t="str">
        <f ca="1">IF(ISERROR(OFFSET('HARGA SATUAN'!$D$6,MATCH(RAB!C207,'HARGA SATUAN'!$C$7:$C$1492,0),0)),"",OFFSET('HARGA SATUAN'!$D$6,MATCH(RAB!C207,'HARGA SATUAN'!$C$7:$C$1492,0),0))</f>
        <v>JASA</v>
      </c>
      <c r="E207" s="356" t="str">
        <f ca="1">IF(B207="+","Unit",IF(ISERROR(OFFSET('HARGA SATUAN'!$E$6,MATCH(RAB!C207,'HARGA SATUAN'!$C$7:$C$1492,0),0)),"",OFFSET('HARGA SATUAN'!$E$6,MATCH(RAB!C207,'HARGA SATUAN'!$C$7:$C$1492,0),0)))</f>
        <v>Btg</v>
      </c>
      <c r="F207" s="365">
        <f>F206+F205+F204</f>
        <v>17</v>
      </c>
      <c r="G207" s="357">
        <f ca="1">IF(ISERROR(OFFSET('HARGA SATUAN'!$I$6,MATCH(RAB!C207,'HARGA SATUAN'!$C$7:$C$1492,0),0)),0,OFFSET('HARGA SATUAN'!$I$6,MATCH(RAB!C207,'HARGA SATUAN'!$C$7:$C$1492,0),0))</f>
        <v>10066.666666666668</v>
      </c>
      <c r="H207" s="358">
        <f t="shared" ca="1" si="68"/>
        <v>0</v>
      </c>
      <c r="I207" s="358">
        <f t="shared" ca="1" si="69"/>
        <v>0</v>
      </c>
      <c r="J207" s="358">
        <f t="shared" ca="1" si="70"/>
        <v>171133.33333333334</v>
      </c>
      <c r="K207" s="359">
        <f t="shared" ca="1" si="71"/>
        <v>171133.33333333334</v>
      </c>
      <c r="L207" s="339"/>
      <c r="M207" s="339"/>
      <c r="N207" s="366"/>
      <c r="O207" s="341"/>
      <c r="P207" s="394"/>
      <c r="Q207" s="341"/>
    </row>
    <row r="208" spans="1:17" s="362" customFormat="1">
      <c r="A208" s="333"/>
      <c r="B208" s="368">
        <v>5</v>
      </c>
      <c r="C208" s="109" t="s">
        <v>461</v>
      </c>
      <c r="D208" s="355" t="str">
        <f ca="1">IF(ISERROR(OFFSET('HARGA SATUAN'!$D$6,MATCH(RAB!C208,'HARGA SATUAN'!$C$7:$C$1492,0),0)),"",OFFSET('HARGA SATUAN'!$D$6,MATCH(RAB!C208,'HARGA SATUAN'!$C$7:$C$1492,0),0))</f>
        <v>HDW</v>
      </c>
      <c r="E208" s="356" t="str">
        <f ca="1">IF(B208="+","Unit",IF(ISERROR(OFFSET('HARGA SATUAN'!$E$6,MATCH(RAB!C208,'HARGA SATUAN'!$C$7:$C$1492,0),0)),"",OFFSET('HARGA SATUAN'!$E$6,MATCH(RAB!C208,'HARGA SATUAN'!$C$7:$C$1492,0),0)))</f>
        <v>Set</v>
      </c>
      <c r="F208" s="365">
        <v>4</v>
      </c>
      <c r="G208" s="357">
        <f ca="1">IF(ISERROR(OFFSET('HARGA SATUAN'!$I$6,MATCH(RAB!C208,'HARGA SATUAN'!$C$7:$C$1492,0),0)),0,OFFSET('HARGA SATUAN'!$I$6,MATCH(RAB!C208,'HARGA SATUAN'!$C$7:$C$1492,0),0))</f>
        <v>200000</v>
      </c>
      <c r="H208" s="358">
        <f t="shared" ca="1" si="68"/>
        <v>0</v>
      </c>
      <c r="I208" s="358">
        <f t="shared" ca="1" si="69"/>
        <v>800000</v>
      </c>
      <c r="J208" s="358">
        <f t="shared" ca="1" si="70"/>
        <v>0</v>
      </c>
      <c r="K208" s="359">
        <f t="shared" ca="1" si="71"/>
        <v>800000</v>
      </c>
      <c r="L208" s="339"/>
      <c r="M208" s="339"/>
      <c r="N208" s="366"/>
      <c r="O208" s="341"/>
      <c r="P208" s="394"/>
      <c r="Q208" s="341"/>
    </row>
    <row r="209" spans="1:17" s="362" customFormat="1">
      <c r="A209" s="333"/>
      <c r="B209" s="368"/>
      <c r="C209" s="109"/>
      <c r="D209" s="355" t="str">
        <f ca="1">IF(ISERROR(OFFSET('HARGA SATUAN'!$D$6,MATCH(RAB!C209,'HARGA SATUAN'!$C$7:$C$1492,0),0)),"",OFFSET('HARGA SATUAN'!$D$6,MATCH(RAB!C209,'HARGA SATUAN'!$C$7:$C$1492,0),0))</f>
        <v/>
      </c>
      <c r="E209" s="356" t="str">
        <f ca="1">IF(B209="+","Unit",IF(ISERROR(OFFSET('HARGA SATUAN'!$E$6,MATCH(RAB!C209,'HARGA SATUAN'!$C$7:$C$1492,0),0)),"",OFFSET('HARGA SATUAN'!$E$6,MATCH(RAB!C209,'HARGA SATUAN'!$C$7:$C$1492,0),0)))</f>
        <v/>
      </c>
      <c r="F209" s="365"/>
      <c r="G209" s="357">
        <f ca="1">IF(ISERROR(OFFSET('HARGA SATUAN'!$I$6,MATCH(RAB!C209,'HARGA SATUAN'!$C$7:$C$1492,0),0)),0,OFFSET('HARGA SATUAN'!$I$6,MATCH(RAB!C209,'HARGA SATUAN'!$C$7:$C$1492,0),0))</f>
        <v>0</v>
      </c>
      <c r="H209" s="358">
        <f t="shared" ca="1" si="68"/>
        <v>0</v>
      </c>
      <c r="I209" s="358">
        <f t="shared" ca="1" si="69"/>
        <v>0</v>
      </c>
      <c r="J209" s="358">
        <f t="shared" ca="1" si="70"/>
        <v>0</v>
      </c>
      <c r="K209" s="359">
        <f t="shared" ca="1" si="71"/>
        <v>0</v>
      </c>
      <c r="L209" s="339"/>
      <c r="M209" s="339"/>
      <c r="N209" s="366"/>
      <c r="O209" s="341"/>
      <c r="P209" s="394"/>
      <c r="Q209" s="341"/>
    </row>
    <row r="210" spans="1:17" s="362" customFormat="1">
      <c r="A210" s="333"/>
      <c r="B210" s="363" t="s">
        <v>1613</v>
      </c>
      <c r="C210" s="364" t="s">
        <v>1622</v>
      </c>
      <c r="D210" s="355" t="str">
        <f ca="1">IF(ISERROR(OFFSET('HARGA SATUAN'!$D$6,MATCH(RAB!C210,'HARGA SATUAN'!$C$7:$C$1492,0),0)),"",OFFSET('HARGA SATUAN'!$D$6,MATCH(RAB!C210,'HARGA SATUAN'!$C$7:$C$1492,0),0))</f>
        <v/>
      </c>
      <c r="E210" s="356" t="str">
        <f ca="1">IF(B210="+","Unit",IF(ISERROR(OFFSET('HARGA SATUAN'!$E$6,MATCH(RAB!C210,'HARGA SATUAN'!$C$7:$C$1492,0),0)),"",OFFSET('HARGA SATUAN'!$E$6,MATCH(RAB!C210,'HARGA SATUAN'!$C$7:$C$1492,0),0)))</f>
        <v/>
      </c>
      <c r="F210" s="365"/>
      <c r="G210" s="357">
        <f ca="1">IF(ISERROR(OFFSET('HARGA SATUAN'!$I$6,MATCH(RAB!C210,'HARGA SATUAN'!$C$7:$C$1492,0),0)),0,OFFSET('HARGA SATUAN'!$I$6,MATCH(RAB!C210,'HARGA SATUAN'!$C$7:$C$1492,0),0))</f>
        <v>0</v>
      </c>
      <c r="H210" s="358">
        <f t="shared" ca="1" si="68"/>
        <v>0</v>
      </c>
      <c r="I210" s="358">
        <f t="shared" ca="1" si="69"/>
        <v>0</v>
      </c>
      <c r="J210" s="358">
        <f t="shared" ca="1" si="70"/>
        <v>0</v>
      </c>
      <c r="K210" s="359">
        <f t="shared" ca="1" si="71"/>
        <v>0</v>
      </c>
      <c r="L210" s="339"/>
      <c r="M210" s="339"/>
      <c r="N210" s="366"/>
      <c r="O210" s="341"/>
      <c r="P210" s="394"/>
      <c r="Q210" s="341"/>
    </row>
    <row r="211" spans="1:17" s="362" customFormat="1">
      <c r="A211" s="333"/>
      <c r="B211" s="491"/>
      <c r="C211" s="492"/>
      <c r="D211" s="355" t="str">
        <f ca="1">IF(ISERROR(OFFSET('HARGA SATUAN'!$D$6,MATCH(RAB!C211,'HARGA SATUAN'!$C$7:$C$1492,0),0)),"",OFFSET('HARGA SATUAN'!$D$6,MATCH(RAB!C211,'HARGA SATUAN'!$C$7:$C$1492,0),0))</f>
        <v/>
      </c>
      <c r="E211" s="356" t="str">
        <f ca="1">IF(B211="+","Unit",IF(ISERROR(OFFSET('HARGA SATUAN'!$E$6,MATCH(RAB!C211,'HARGA SATUAN'!$C$7:$C$1492,0),0)),"",OFFSET('HARGA SATUAN'!$E$6,MATCH(RAB!C211,'HARGA SATUAN'!$C$7:$C$1492,0),0)))</f>
        <v/>
      </c>
      <c r="F211" s="365"/>
      <c r="G211" s="357">
        <f ca="1">IF(ISERROR(OFFSET('HARGA SATUAN'!$I$6,MATCH(RAB!C211,'HARGA SATUAN'!$C$7:$C$1492,0),0)),0,OFFSET('HARGA SATUAN'!$I$6,MATCH(RAB!C211,'HARGA SATUAN'!$C$7:$C$1492,0),0))</f>
        <v>0</v>
      </c>
      <c r="H211" s="358">
        <f t="shared" ca="1" si="68"/>
        <v>0</v>
      </c>
      <c r="I211" s="358">
        <f t="shared" ca="1" si="69"/>
        <v>0</v>
      </c>
      <c r="J211" s="358">
        <f t="shared" ca="1" si="70"/>
        <v>0</v>
      </c>
      <c r="K211" s="359">
        <f t="shared" ca="1" si="71"/>
        <v>0</v>
      </c>
      <c r="L211" s="339"/>
      <c r="M211" s="339"/>
      <c r="N211" s="366"/>
      <c r="O211" s="341"/>
      <c r="P211" s="394"/>
      <c r="Q211" s="341"/>
    </row>
    <row r="212" spans="1:17" s="362" customFormat="1">
      <c r="A212" s="333"/>
      <c r="B212" s="506" t="s">
        <v>1035</v>
      </c>
      <c r="C212" s="507" t="s">
        <v>1626</v>
      </c>
      <c r="D212" s="355" t="str">
        <f ca="1">IF(ISERROR(OFFSET('HARGA SATUAN'!$D$6,MATCH(RAB!C212,'HARGA SATUAN'!$C$7:$C$1492,0),0)),"",OFFSET('HARGA SATUAN'!$D$6,MATCH(RAB!C212,'HARGA SATUAN'!$C$7:$C$1492,0),0))</f>
        <v/>
      </c>
      <c r="E212" s="356" t="str">
        <f ca="1">IF(B212="+","Unit",IF(ISERROR(OFFSET('HARGA SATUAN'!$E$6,MATCH(RAB!C212,'HARGA SATUAN'!$C$7:$C$1492,0),0)),"",OFFSET('HARGA SATUAN'!$E$6,MATCH(RAB!C212,'HARGA SATUAN'!$C$7:$C$1492,0),0)))</f>
        <v>Unit</v>
      </c>
      <c r="F212" s="515">
        <v>1</v>
      </c>
      <c r="G212" s="357">
        <f ca="1">IF(ISERROR(OFFSET('HARGA SATUAN'!$I$6,MATCH(RAB!C212,'HARGA SATUAN'!$C$7:$C$1492,0),0)),0,OFFSET('HARGA SATUAN'!$I$6,MATCH(RAB!C212,'HARGA SATUAN'!$C$7:$C$1492,0),0))</f>
        <v>0</v>
      </c>
      <c r="H212" s="358">
        <f t="shared" ca="1" si="68"/>
        <v>0</v>
      </c>
      <c r="I212" s="358">
        <f t="shared" ca="1" si="69"/>
        <v>0</v>
      </c>
      <c r="J212" s="358">
        <f t="shared" ca="1" si="70"/>
        <v>0</v>
      </c>
      <c r="K212" s="359">
        <f t="shared" ca="1" si="71"/>
        <v>0</v>
      </c>
      <c r="L212" s="339"/>
      <c r="M212" s="339"/>
      <c r="N212" s="366"/>
      <c r="O212" s="341"/>
      <c r="P212" s="394"/>
      <c r="Q212" s="341"/>
    </row>
    <row r="213" spans="1:17" s="362" customFormat="1">
      <c r="A213" s="333"/>
      <c r="B213" s="506">
        <v>1</v>
      </c>
      <c r="C213" s="507" t="s">
        <v>1566</v>
      </c>
      <c r="D213" s="355" t="str">
        <f ca="1">IF(ISERROR(OFFSET('HARGA SATUAN'!$D$6,MATCH(RAB!C213,'HARGA SATUAN'!$C$7:$C$1492,0),0)),"",OFFSET('HARGA SATUAN'!$D$6,MATCH(RAB!C213,'HARGA SATUAN'!$C$7:$C$1492,0),0))</f>
        <v>MDU-KD</v>
      </c>
      <c r="E213" s="356" t="str">
        <f ca="1">IF(B213="+","Unit",IF(ISERROR(OFFSET('HARGA SATUAN'!$E$6,MATCH(RAB!C213,'HARGA SATUAN'!$C$7:$C$1492,0),0)),"",OFFSET('HARGA SATUAN'!$E$6,MATCH(RAB!C213,'HARGA SATUAN'!$C$7:$C$1492,0),0)))</f>
        <v>Set</v>
      </c>
      <c r="F213" s="515">
        <f>F212*3</f>
        <v>3</v>
      </c>
      <c r="G213" s="357">
        <f ca="1">IF(ISERROR(OFFSET('HARGA SATUAN'!$I$6,MATCH(RAB!C213,'HARGA SATUAN'!$C$7:$C$1492,0),0)),0,OFFSET('HARGA SATUAN'!$I$6,MATCH(RAB!C213,'HARGA SATUAN'!$C$7:$C$1492,0),0))</f>
        <v>205700</v>
      </c>
      <c r="H213" s="358">
        <f t="shared" ca="1" si="68"/>
        <v>617100</v>
      </c>
      <c r="I213" s="358">
        <f t="shared" ca="1" si="69"/>
        <v>0</v>
      </c>
      <c r="J213" s="358">
        <f t="shared" ca="1" si="70"/>
        <v>0</v>
      </c>
      <c r="K213" s="359">
        <f t="shared" ca="1" si="71"/>
        <v>617100</v>
      </c>
      <c r="L213" s="339"/>
      <c r="M213" s="339"/>
      <c r="N213" s="366"/>
      <c r="O213" s="341"/>
      <c r="P213" s="394"/>
      <c r="Q213" s="341"/>
    </row>
    <row r="214" spans="1:17" s="362" customFormat="1">
      <c r="A214" s="333"/>
      <c r="B214" s="506">
        <v>2</v>
      </c>
      <c r="C214" s="507" t="s">
        <v>152</v>
      </c>
      <c r="D214" s="355" t="str">
        <f ca="1">IF(ISERROR(OFFSET('HARGA SATUAN'!$D$6,MATCH(RAB!C214,'HARGA SATUAN'!$C$7:$C$1492,0),0)),"",OFFSET('HARGA SATUAN'!$D$6,MATCH(RAB!C214,'HARGA SATUAN'!$C$7:$C$1492,0),0))</f>
        <v>HDW</v>
      </c>
      <c r="E214" s="356" t="str">
        <f ca="1">IF(B214="+","Unit",IF(ISERROR(OFFSET('HARGA SATUAN'!$E$6,MATCH(RAB!C214,'HARGA SATUAN'!$C$7:$C$1492,0),0)),"",OFFSET('HARGA SATUAN'!$E$6,MATCH(RAB!C214,'HARGA SATUAN'!$C$7:$C$1492,0),0)))</f>
        <v>Mtr</v>
      </c>
      <c r="F214" s="515">
        <f>F212*1</f>
        <v>1</v>
      </c>
      <c r="G214" s="357">
        <f ca="1">IF(ISERROR(OFFSET('HARGA SATUAN'!$I$6,MATCH(RAB!C214,'HARGA SATUAN'!$C$7:$C$1492,0),0)),0,OFFSET('HARGA SATUAN'!$I$6,MATCH(RAB!C214,'HARGA SATUAN'!$C$7:$C$1492,0),0))</f>
        <v>7789</v>
      </c>
      <c r="H214" s="358">
        <f t="shared" ca="1" si="68"/>
        <v>0</v>
      </c>
      <c r="I214" s="358">
        <f t="shared" ca="1" si="69"/>
        <v>7789</v>
      </c>
      <c r="J214" s="358">
        <f t="shared" ca="1" si="70"/>
        <v>0</v>
      </c>
      <c r="K214" s="359">
        <f t="shared" ca="1" si="71"/>
        <v>7789</v>
      </c>
      <c r="L214" s="339"/>
      <c r="M214" s="339"/>
      <c r="N214" s="366"/>
      <c r="O214" s="341"/>
      <c r="P214" s="394"/>
      <c r="Q214" s="341"/>
    </row>
    <row r="215" spans="1:17" s="362" customFormat="1">
      <c r="A215" s="333"/>
      <c r="B215" s="506">
        <v>3</v>
      </c>
      <c r="C215" s="507" t="s">
        <v>157</v>
      </c>
      <c r="D215" s="355" t="str">
        <f ca="1">IF(ISERROR(OFFSET('HARGA SATUAN'!$D$6,MATCH(RAB!C215,'HARGA SATUAN'!$C$7:$C$1492,0),0)),"",OFFSET('HARGA SATUAN'!$D$6,MATCH(RAB!C215,'HARGA SATUAN'!$C$7:$C$1492,0),0))</f>
        <v>HDW</v>
      </c>
      <c r="E215" s="356" t="str">
        <f ca="1">IF(B215="+","Unit",IF(ISERROR(OFFSET('HARGA SATUAN'!$E$6,MATCH(RAB!C215,'HARGA SATUAN'!$C$7:$C$1492,0),0)),"",OFFSET('HARGA SATUAN'!$E$6,MATCH(RAB!C215,'HARGA SATUAN'!$C$7:$C$1492,0),0)))</f>
        <v>Bh</v>
      </c>
      <c r="F215" s="515">
        <f>F212*2</f>
        <v>2</v>
      </c>
      <c r="G215" s="357">
        <f ca="1">IF(ISERROR(OFFSET('HARGA SATUAN'!$I$6,MATCH(RAB!C215,'HARGA SATUAN'!$C$7:$C$1492,0),0)),0,OFFSET('HARGA SATUAN'!$I$6,MATCH(RAB!C215,'HARGA SATUAN'!$C$7:$C$1492,0),0))</f>
        <v>40000</v>
      </c>
      <c r="H215" s="358">
        <f t="shared" ca="1" si="68"/>
        <v>0</v>
      </c>
      <c r="I215" s="358">
        <f t="shared" ca="1" si="69"/>
        <v>80000</v>
      </c>
      <c r="J215" s="358">
        <f t="shared" ca="1" si="70"/>
        <v>0</v>
      </c>
      <c r="K215" s="359">
        <f t="shared" ca="1" si="71"/>
        <v>80000</v>
      </c>
      <c r="L215" s="339"/>
      <c r="M215" s="339"/>
      <c r="N215" s="366"/>
      <c r="O215" s="341"/>
      <c r="P215" s="394"/>
      <c r="Q215" s="341"/>
    </row>
    <row r="216" spans="1:17" s="362" customFormat="1">
      <c r="A216" s="333"/>
      <c r="B216" s="506">
        <v>4</v>
      </c>
      <c r="C216" s="507" t="s">
        <v>28</v>
      </c>
      <c r="D216" s="355" t="str">
        <f ca="1">IF(ISERROR(OFFSET('HARGA SATUAN'!$D$6,MATCH(RAB!C216,'HARGA SATUAN'!$C$7:$C$1492,0),0)),"",OFFSET('HARGA SATUAN'!$D$6,MATCH(RAB!C216,'HARGA SATUAN'!$C$7:$C$1492,0),0))</f>
        <v>HDW</v>
      </c>
      <c r="E216" s="356" t="str">
        <f ca="1">IF(B216="+","Unit",IF(ISERROR(OFFSET('HARGA SATUAN'!$E$6,MATCH(RAB!C216,'HARGA SATUAN'!$C$7:$C$1492,0),0)),"",OFFSET('HARGA SATUAN'!$E$6,MATCH(RAB!C216,'HARGA SATUAN'!$C$7:$C$1492,0),0)))</f>
        <v>Bh</v>
      </c>
      <c r="F216" s="515">
        <f>F212*1</f>
        <v>1</v>
      </c>
      <c r="G216" s="357">
        <f ca="1">IF(ISERROR(OFFSET('HARGA SATUAN'!$I$6,MATCH(RAB!C216,'HARGA SATUAN'!$C$7:$C$1492,0),0)),0,OFFSET('HARGA SATUAN'!$I$6,MATCH(RAB!C216,'HARGA SATUAN'!$C$7:$C$1492,0),0))</f>
        <v>26500</v>
      </c>
      <c r="H216" s="358">
        <f t="shared" ca="1" si="68"/>
        <v>0</v>
      </c>
      <c r="I216" s="358">
        <f t="shared" ca="1" si="69"/>
        <v>26500</v>
      </c>
      <c r="J216" s="358">
        <f t="shared" ca="1" si="70"/>
        <v>0</v>
      </c>
      <c r="K216" s="359">
        <f t="shared" ca="1" si="71"/>
        <v>26500</v>
      </c>
      <c r="L216" s="339"/>
      <c r="M216" s="339"/>
      <c r="N216" s="366"/>
      <c r="O216" s="341"/>
      <c r="P216" s="394"/>
      <c r="Q216" s="341"/>
    </row>
    <row r="217" spans="1:17" s="362" customFormat="1">
      <c r="A217" s="333"/>
      <c r="B217" s="506">
        <v>5</v>
      </c>
      <c r="C217" s="507" t="s">
        <v>163</v>
      </c>
      <c r="D217" s="355" t="str">
        <f ca="1">IF(ISERROR(OFFSET('HARGA SATUAN'!$D$6,MATCH(RAB!C217,'HARGA SATUAN'!$C$7:$C$1492,0),0)),"",OFFSET('HARGA SATUAN'!$D$6,MATCH(RAB!C217,'HARGA SATUAN'!$C$7:$C$1492,0),0))</f>
        <v>HDW</v>
      </c>
      <c r="E217" s="356" t="str">
        <f ca="1">IF(B217="+","Unit",IF(ISERROR(OFFSET('HARGA SATUAN'!$E$6,MATCH(RAB!C217,'HARGA SATUAN'!$C$7:$C$1492,0),0)),"",OFFSET('HARGA SATUAN'!$E$6,MATCH(RAB!C217,'HARGA SATUAN'!$C$7:$C$1492,0),0)))</f>
        <v>Bh</v>
      </c>
      <c r="F217" s="515">
        <f>F212*4</f>
        <v>4</v>
      </c>
      <c r="G217" s="357">
        <f ca="1">IF(ISERROR(OFFSET('HARGA SATUAN'!$I$6,MATCH(RAB!C217,'HARGA SATUAN'!$C$7:$C$1492,0),0)),0,OFFSET('HARGA SATUAN'!$I$6,MATCH(RAB!C217,'HARGA SATUAN'!$C$7:$C$1492,0),0))</f>
        <v>7938</v>
      </c>
      <c r="H217" s="358">
        <f t="shared" ca="1" si="68"/>
        <v>0</v>
      </c>
      <c r="I217" s="358">
        <f t="shared" ca="1" si="69"/>
        <v>31752</v>
      </c>
      <c r="J217" s="358">
        <f t="shared" ca="1" si="70"/>
        <v>0</v>
      </c>
      <c r="K217" s="359">
        <f t="shared" ca="1" si="71"/>
        <v>31752</v>
      </c>
      <c r="L217" s="339"/>
      <c r="M217" s="339"/>
      <c r="N217" s="366"/>
      <c r="O217" s="341"/>
      <c r="P217" s="394"/>
      <c r="Q217" s="341"/>
    </row>
    <row r="218" spans="1:17" s="362" customFormat="1">
      <c r="A218" s="333"/>
      <c r="B218" s="506">
        <v>6</v>
      </c>
      <c r="C218" s="507" t="s">
        <v>173</v>
      </c>
      <c r="D218" s="355" t="str">
        <f ca="1">IF(ISERROR(OFFSET('HARGA SATUAN'!$D$6,MATCH(RAB!C218,'HARGA SATUAN'!$C$7:$C$1492,0),0)),"",OFFSET('HARGA SATUAN'!$D$6,MATCH(RAB!C218,'HARGA SATUAN'!$C$7:$C$1492,0),0))</f>
        <v>HDW</v>
      </c>
      <c r="E218" s="356" t="str">
        <f ca="1">IF(B218="+","Unit",IF(ISERROR(OFFSET('HARGA SATUAN'!$E$6,MATCH(RAB!C218,'HARGA SATUAN'!$C$7:$C$1492,0),0)),"",OFFSET('HARGA SATUAN'!$E$6,MATCH(RAB!C218,'HARGA SATUAN'!$C$7:$C$1492,0),0)))</f>
        <v>Bh</v>
      </c>
      <c r="F218" s="515">
        <f>F212*4</f>
        <v>4</v>
      </c>
      <c r="G218" s="357">
        <f ca="1">IF(ISERROR(OFFSET('HARGA SATUAN'!$I$6,MATCH(RAB!C218,'HARGA SATUAN'!$C$7:$C$1492,0),0)),0,OFFSET('HARGA SATUAN'!$I$6,MATCH(RAB!C218,'HARGA SATUAN'!$C$7:$C$1492,0),0))</f>
        <v>45000</v>
      </c>
      <c r="H218" s="358">
        <f t="shared" ca="1" si="68"/>
        <v>0</v>
      </c>
      <c r="I218" s="358">
        <f t="shared" ca="1" si="69"/>
        <v>180000</v>
      </c>
      <c r="J218" s="358">
        <f t="shared" ca="1" si="70"/>
        <v>0</v>
      </c>
      <c r="K218" s="359">
        <f t="shared" ca="1" si="71"/>
        <v>180000</v>
      </c>
      <c r="L218" s="339"/>
      <c r="M218" s="339"/>
      <c r="N218" s="366"/>
      <c r="O218" s="341"/>
      <c r="P218" s="394"/>
      <c r="Q218" s="341"/>
    </row>
    <row r="219" spans="1:17" s="362" customFormat="1">
      <c r="A219" s="333"/>
      <c r="B219" s="506">
        <v>7</v>
      </c>
      <c r="C219" s="507" t="s">
        <v>179</v>
      </c>
      <c r="D219" s="355" t="str">
        <f ca="1">IF(ISERROR(OFFSET('HARGA SATUAN'!$D$6,MATCH(RAB!C219,'HARGA SATUAN'!$C$7:$C$1492,0),0)),"",OFFSET('HARGA SATUAN'!$D$6,MATCH(RAB!C219,'HARGA SATUAN'!$C$7:$C$1492,0),0))</f>
        <v>HDW</v>
      </c>
      <c r="E219" s="356" t="str">
        <f ca="1">IF(B219="+","Unit",IF(ISERROR(OFFSET('HARGA SATUAN'!$E$6,MATCH(RAB!C219,'HARGA SATUAN'!$C$7:$C$1492,0),0)),"",OFFSET('HARGA SATUAN'!$E$6,MATCH(RAB!C219,'HARGA SATUAN'!$C$7:$C$1492,0),0)))</f>
        <v>Bh</v>
      </c>
      <c r="F219" s="515">
        <f>F212*1</f>
        <v>1</v>
      </c>
      <c r="G219" s="357">
        <f ca="1">IF(ISERROR(OFFSET('HARGA SATUAN'!$I$6,MATCH(RAB!C219,'HARGA SATUAN'!$C$7:$C$1492,0),0)),0,OFFSET('HARGA SATUAN'!$I$6,MATCH(RAB!C219,'HARGA SATUAN'!$C$7:$C$1492,0),0))</f>
        <v>15500</v>
      </c>
      <c r="H219" s="358">
        <f t="shared" ca="1" si="68"/>
        <v>0</v>
      </c>
      <c r="I219" s="358">
        <f t="shared" ca="1" si="69"/>
        <v>15500</v>
      </c>
      <c r="J219" s="358">
        <f t="shared" ca="1" si="70"/>
        <v>0</v>
      </c>
      <c r="K219" s="359">
        <f t="shared" ca="1" si="71"/>
        <v>15500</v>
      </c>
      <c r="L219" s="339"/>
      <c r="M219" s="339"/>
      <c r="N219" s="366"/>
      <c r="O219" s="341"/>
      <c r="P219" s="394"/>
      <c r="Q219" s="341"/>
    </row>
    <row r="220" spans="1:17" s="362" customFormat="1">
      <c r="A220" s="333"/>
      <c r="B220" s="506">
        <v>8</v>
      </c>
      <c r="C220" s="507" t="s">
        <v>593</v>
      </c>
      <c r="D220" s="355" t="str">
        <f ca="1">IF(ISERROR(OFFSET('HARGA SATUAN'!$D$6,MATCH(RAB!C220,'HARGA SATUAN'!$C$7:$C$1492,0),0)),"",OFFSET('HARGA SATUAN'!$D$6,MATCH(RAB!C220,'HARGA SATUAN'!$C$7:$C$1492,0),0))</f>
        <v>HDW</v>
      </c>
      <c r="E220" s="356" t="str">
        <f ca="1">IF(B220="+","Unit",IF(ISERROR(OFFSET('HARGA SATUAN'!$E$6,MATCH(RAB!C220,'HARGA SATUAN'!$C$7:$C$1492,0),0)),"",OFFSET('HARGA SATUAN'!$E$6,MATCH(RAB!C220,'HARGA SATUAN'!$C$7:$C$1492,0),0)))</f>
        <v>Bh</v>
      </c>
      <c r="F220" s="515">
        <f>F212*2</f>
        <v>2</v>
      </c>
      <c r="G220" s="357">
        <f ca="1">IF(ISERROR(OFFSET('HARGA SATUAN'!$I$6,MATCH(RAB!C220,'HARGA SATUAN'!$C$7:$C$1492,0),0)),0,OFFSET('HARGA SATUAN'!$I$6,MATCH(RAB!C220,'HARGA SATUAN'!$C$7:$C$1492,0),0))</f>
        <v>380500</v>
      </c>
      <c r="H220" s="358">
        <f t="shared" ca="1" si="68"/>
        <v>0</v>
      </c>
      <c r="I220" s="358">
        <f t="shared" ca="1" si="69"/>
        <v>761000</v>
      </c>
      <c r="J220" s="358">
        <f t="shared" ca="1" si="70"/>
        <v>0</v>
      </c>
      <c r="K220" s="359">
        <f t="shared" ca="1" si="71"/>
        <v>761000</v>
      </c>
      <c r="L220" s="339"/>
      <c r="M220" s="339"/>
      <c r="N220" s="366"/>
      <c r="O220" s="341"/>
      <c r="P220" s="394"/>
      <c r="Q220" s="341"/>
    </row>
    <row r="221" spans="1:17" s="362" customFormat="1">
      <c r="A221" s="333"/>
      <c r="B221" s="506">
        <v>9</v>
      </c>
      <c r="C221" s="507" t="s">
        <v>217</v>
      </c>
      <c r="D221" s="355" t="str">
        <f ca="1">IF(ISERROR(OFFSET('HARGA SATUAN'!$D$6,MATCH(RAB!C221,'HARGA SATUAN'!$C$7:$C$1492,0),0)),"",OFFSET('HARGA SATUAN'!$D$6,MATCH(RAB!C221,'HARGA SATUAN'!$C$7:$C$1492,0),0))</f>
        <v>HDW</v>
      </c>
      <c r="E221" s="356" t="str">
        <f ca="1">IF(B221="+","Unit",IF(ISERROR(OFFSET('HARGA SATUAN'!$E$6,MATCH(RAB!C221,'HARGA SATUAN'!$C$7:$C$1492,0),0)),"",OFFSET('HARGA SATUAN'!$E$6,MATCH(RAB!C221,'HARGA SATUAN'!$C$7:$C$1492,0),0)))</f>
        <v>Bh</v>
      </c>
      <c r="F221" s="515">
        <f>F212*4</f>
        <v>4</v>
      </c>
      <c r="G221" s="357">
        <f ca="1">IF(ISERROR(OFFSET('HARGA SATUAN'!$I$6,MATCH(RAB!C221,'HARGA SATUAN'!$C$7:$C$1492,0),0)),0,OFFSET('HARGA SATUAN'!$I$6,MATCH(RAB!C221,'HARGA SATUAN'!$C$7:$C$1492,0),0))</f>
        <v>11400</v>
      </c>
      <c r="H221" s="358">
        <f t="shared" ca="1" si="68"/>
        <v>0</v>
      </c>
      <c r="I221" s="358">
        <f t="shared" ca="1" si="69"/>
        <v>45600</v>
      </c>
      <c r="J221" s="358">
        <f t="shared" ca="1" si="70"/>
        <v>0</v>
      </c>
      <c r="K221" s="359">
        <f t="shared" ca="1" si="71"/>
        <v>45600</v>
      </c>
      <c r="L221" s="339"/>
      <c r="M221" s="339"/>
      <c r="N221" s="366"/>
      <c r="O221" s="341"/>
      <c r="P221" s="394"/>
      <c r="Q221" s="341"/>
    </row>
    <row r="222" spans="1:17" s="362" customFormat="1">
      <c r="A222" s="333"/>
      <c r="B222" s="506">
        <v>10</v>
      </c>
      <c r="C222" s="507" t="s">
        <v>218</v>
      </c>
      <c r="D222" s="355" t="str">
        <f ca="1">IF(ISERROR(OFFSET('HARGA SATUAN'!$D$6,MATCH(RAB!C222,'HARGA SATUAN'!$C$7:$C$1492,0),0)),"",OFFSET('HARGA SATUAN'!$D$6,MATCH(RAB!C222,'HARGA SATUAN'!$C$7:$C$1492,0),0))</f>
        <v>HDW</v>
      </c>
      <c r="E222" s="356" t="str">
        <f ca="1">IF(B222="+","Unit",IF(ISERROR(OFFSET('HARGA SATUAN'!$E$6,MATCH(RAB!C222,'HARGA SATUAN'!$C$7:$C$1492,0),0)),"",OFFSET('HARGA SATUAN'!$E$6,MATCH(RAB!C222,'HARGA SATUAN'!$C$7:$C$1492,0),0)))</f>
        <v>Bh</v>
      </c>
      <c r="F222" s="515">
        <f>F212*2</f>
        <v>2</v>
      </c>
      <c r="G222" s="357">
        <f ca="1">IF(ISERROR(OFFSET('HARGA SATUAN'!$I$6,MATCH(RAB!C222,'HARGA SATUAN'!$C$7:$C$1492,0),0)),0,OFFSET('HARGA SATUAN'!$I$6,MATCH(RAB!C222,'HARGA SATUAN'!$C$7:$C$1492,0),0))</f>
        <v>29600</v>
      </c>
      <c r="H222" s="358">
        <f t="shared" ca="1" si="68"/>
        <v>0</v>
      </c>
      <c r="I222" s="358">
        <f t="shared" ca="1" si="69"/>
        <v>59200</v>
      </c>
      <c r="J222" s="358">
        <f t="shared" ca="1" si="70"/>
        <v>0</v>
      </c>
      <c r="K222" s="359">
        <f t="shared" ca="1" si="71"/>
        <v>59200</v>
      </c>
      <c r="L222" s="339"/>
      <c r="M222" s="339"/>
      <c r="N222" s="366"/>
      <c r="O222" s="341"/>
      <c r="P222" s="394"/>
      <c r="Q222" s="341"/>
    </row>
    <row r="223" spans="1:17" s="362" customFormat="1">
      <c r="A223" s="333"/>
      <c r="B223" s="506">
        <v>11</v>
      </c>
      <c r="C223" s="507" t="s">
        <v>223</v>
      </c>
      <c r="D223" s="355" t="str">
        <f ca="1">IF(ISERROR(OFFSET('HARGA SATUAN'!$D$6,MATCH(RAB!C223,'HARGA SATUAN'!$C$7:$C$1492,0),0)),"",OFFSET('HARGA SATUAN'!$D$6,MATCH(RAB!C223,'HARGA SATUAN'!$C$7:$C$1492,0),0))</f>
        <v>HDW</v>
      </c>
      <c r="E223" s="356" t="str">
        <f ca="1">IF(B223="+","Unit",IF(ISERROR(OFFSET('HARGA SATUAN'!$E$6,MATCH(RAB!C223,'HARGA SATUAN'!$C$7:$C$1492,0),0)),"",OFFSET('HARGA SATUAN'!$E$6,MATCH(RAB!C223,'HARGA SATUAN'!$C$7:$C$1492,0),0)))</f>
        <v>Bh</v>
      </c>
      <c r="F223" s="515">
        <f>F212*1</f>
        <v>1</v>
      </c>
      <c r="G223" s="357">
        <f ca="1">IF(ISERROR(OFFSET('HARGA SATUAN'!$I$6,MATCH(RAB!C223,'HARGA SATUAN'!$C$7:$C$1492,0),0)),0,OFFSET('HARGA SATUAN'!$I$6,MATCH(RAB!C223,'HARGA SATUAN'!$C$7:$C$1492,0),0))</f>
        <v>27815</v>
      </c>
      <c r="H223" s="358">
        <f t="shared" ca="1" si="68"/>
        <v>0</v>
      </c>
      <c r="I223" s="358">
        <f t="shared" ca="1" si="69"/>
        <v>27815</v>
      </c>
      <c r="J223" s="358">
        <f t="shared" ca="1" si="70"/>
        <v>0</v>
      </c>
      <c r="K223" s="359">
        <f t="shared" ca="1" si="71"/>
        <v>27815</v>
      </c>
      <c r="L223" s="339"/>
      <c r="M223" s="339"/>
      <c r="N223" s="366"/>
      <c r="O223" s="341"/>
      <c r="P223" s="394"/>
      <c r="Q223" s="341"/>
    </row>
    <row r="224" spans="1:17" s="362" customFormat="1">
      <c r="A224" s="333"/>
      <c r="B224" s="506">
        <v>12</v>
      </c>
      <c r="C224" s="507" t="s">
        <v>25</v>
      </c>
      <c r="D224" s="355" t="str">
        <f ca="1">IF(ISERROR(OFFSET('HARGA SATUAN'!$D$6,MATCH(RAB!C224,'HARGA SATUAN'!$C$7:$C$1492,0),0)),"",OFFSET('HARGA SATUAN'!$D$6,MATCH(RAB!C224,'HARGA SATUAN'!$C$7:$C$1492,0),0))</f>
        <v>HDW</v>
      </c>
      <c r="E224" s="356" t="str">
        <f ca="1">IF(B224="+","Unit",IF(ISERROR(OFFSET('HARGA SATUAN'!$E$6,MATCH(RAB!C224,'HARGA SATUAN'!$C$7:$C$1492,0),0)),"",OFFSET('HARGA SATUAN'!$E$6,MATCH(RAB!C224,'HARGA SATUAN'!$C$7:$C$1492,0),0)))</f>
        <v>Bh</v>
      </c>
      <c r="F224" s="515">
        <f>F212*3</f>
        <v>3</v>
      </c>
      <c r="G224" s="357">
        <f ca="1">IF(ISERROR(OFFSET('HARGA SATUAN'!$I$6,MATCH(RAB!C224,'HARGA SATUAN'!$C$7:$C$1492,0),0)),0,OFFSET('HARGA SATUAN'!$I$6,MATCH(RAB!C224,'HARGA SATUAN'!$C$7:$C$1492,0),0))</f>
        <v>23936</v>
      </c>
      <c r="H224" s="358">
        <f t="shared" ca="1" si="68"/>
        <v>0</v>
      </c>
      <c r="I224" s="358">
        <f t="shared" ca="1" si="69"/>
        <v>71808</v>
      </c>
      <c r="J224" s="358">
        <f t="shared" ca="1" si="70"/>
        <v>0</v>
      </c>
      <c r="K224" s="359">
        <f t="shared" ca="1" si="71"/>
        <v>71808</v>
      </c>
      <c r="L224" s="339"/>
      <c r="M224" s="339"/>
      <c r="N224" s="366"/>
      <c r="O224" s="341"/>
      <c r="P224" s="394"/>
      <c r="Q224" s="341"/>
    </row>
    <row r="225" spans="1:17" s="362" customFormat="1">
      <c r="A225" s="333"/>
      <c r="B225" s="506">
        <v>13</v>
      </c>
      <c r="C225" s="507" t="s">
        <v>37</v>
      </c>
      <c r="D225" s="355" t="str">
        <f ca="1">IF(ISERROR(OFFSET('HARGA SATUAN'!$D$6,MATCH(RAB!C225,'HARGA SATUAN'!$C$7:$C$1492,0),0)),"",OFFSET('HARGA SATUAN'!$D$6,MATCH(RAB!C225,'HARGA SATUAN'!$C$7:$C$1492,0),0))</f>
        <v>HDW</v>
      </c>
      <c r="E225" s="356" t="str">
        <f ca="1">IF(B225="+","Unit",IF(ISERROR(OFFSET('HARGA SATUAN'!$E$6,MATCH(RAB!C225,'HARGA SATUAN'!$C$7:$C$1492,0),0)),"",OFFSET('HARGA SATUAN'!$E$6,MATCH(RAB!C225,'HARGA SATUAN'!$C$7:$C$1492,0),0)))</f>
        <v>Bh</v>
      </c>
      <c r="F225" s="515">
        <f>F212*1</f>
        <v>1</v>
      </c>
      <c r="G225" s="357">
        <f ca="1">IF(ISERROR(OFFSET('HARGA SATUAN'!$I$6,MATCH(RAB!C225,'HARGA SATUAN'!$C$7:$C$1492,0),0)),0,OFFSET('HARGA SATUAN'!$I$6,MATCH(RAB!C225,'HARGA SATUAN'!$C$7:$C$1492,0),0))</f>
        <v>63500</v>
      </c>
      <c r="H225" s="358">
        <f t="shared" ca="1" si="68"/>
        <v>0</v>
      </c>
      <c r="I225" s="358">
        <f t="shared" ca="1" si="69"/>
        <v>63500</v>
      </c>
      <c r="J225" s="358">
        <f t="shared" ca="1" si="70"/>
        <v>0</v>
      </c>
      <c r="K225" s="359">
        <f t="shared" ca="1" si="71"/>
        <v>63500</v>
      </c>
      <c r="L225" s="339"/>
      <c r="M225" s="339"/>
      <c r="N225" s="366"/>
      <c r="O225" s="341"/>
      <c r="P225" s="394"/>
      <c r="Q225" s="341"/>
    </row>
    <row r="226" spans="1:17" s="362" customFormat="1">
      <c r="A226" s="333"/>
      <c r="B226" s="509">
        <v>14</v>
      </c>
      <c r="C226" s="510" t="s">
        <v>247</v>
      </c>
      <c r="D226" s="355" t="str">
        <f ca="1">IF(ISERROR(OFFSET('HARGA SATUAN'!$D$6,MATCH(RAB!C226,'HARGA SATUAN'!$C$7:$C$1492,0),0)),"",OFFSET('HARGA SATUAN'!$D$6,MATCH(RAB!C226,'HARGA SATUAN'!$C$7:$C$1492,0),0))</f>
        <v>HDW</v>
      </c>
      <c r="E226" s="356" t="str">
        <f ca="1">IF(B226="+","Unit",IF(ISERROR(OFFSET('HARGA SATUAN'!$E$6,MATCH(RAB!C226,'HARGA SATUAN'!$C$7:$C$1492,0),0)),"",OFFSET('HARGA SATUAN'!$E$6,MATCH(RAB!C226,'HARGA SATUAN'!$C$7:$C$1492,0),0)))</f>
        <v>Bh</v>
      </c>
      <c r="F226" s="515">
        <f>F212*1</f>
        <v>1</v>
      </c>
      <c r="G226" s="357">
        <f ca="1">IF(ISERROR(OFFSET('HARGA SATUAN'!$I$6,MATCH(RAB!C226,'HARGA SATUAN'!$C$7:$C$1492,0),0)),0,OFFSET('HARGA SATUAN'!$I$6,MATCH(RAB!C226,'HARGA SATUAN'!$C$7:$C$1492,0),0))</f>
        <v>57690</v>
      </c>
      <c r="H226" s="358">
        <f t="shared" ca="1" si="68"/>
        <v>0</v>
      </c>
      <c r="I226" s="358">
        <f t="shared" ca="1" si="69"/>
        <v>57690</v>
      </c>
      <c r="J226" s="358">
        <f t="shared" ca="1" si="70"/>
        <v>0</v>
      </c>
      <c r="K226" s="359">
        <f t="shared" ca="1" si="71"/>
        <v>57690</v>
      </c>
      <c r="L226" s="339"/>
      <c r="M226" s="339"/>
      <c r="N226" s="366"/>
      <c r="O226" s="341"/>
      <c r="P226" s="394"/>
      <c r="Q226" s="341"/>
    </row>
    <row r="227" spans="1:17" s="362" customFormat="1">
      <c r="A227" s="333"/>
      <c r="B227" s="509">
        <v>15</v>
      </c>
      <c r="C227" s="510" t="s">
        <v>27</v>
      </c>
      <c r="D227" s="355" t="str">
        <f ca="1">IF(ISERROR(OFFSET('HARGA SATUAN'!$D$6,MATCH(RAB!C227,'HARGA SATUAN'!$C$7:$C$1492,0),0)),"",OFFSET('HARGA SATUAN'!$D$6,MATCH(RAB!C227,'HARGA SATUAN'!$C$7:$C$1492,0),0))</f>
        <v>HDW</v>
      </c>
      <c r="E227" s="356" t="str">
        <f ca="1">IF(B227="+","Unit",IF(ISERROR(OFFSET('HARGA SATUAN'!$E$6,MATCH(RAB!C227,'HARGA SATUAN'!$C$7:$C$1492,0),0)),"",OFFSET('HARGA SATUAN'!$E$6,MATCH(RAB!C227,'HARGA SATUAN'!$C$7:$C$1492,0),0)))</f>
        <v>Bh</v>
      </c>
      <c r="F227" s="515">
        <f>F212*3</f>
        <v>3</v>
      </c>
      <c r="G227" s="357">
        <f ca="1">IF(ISERROR(OFFSET('HARGA SATUAN'!$I$6,MATCH(RAB!C227,'HARGA SATUAN'!$C$7:$C$1492,0),0)),0,OFFSET('HARGA SATUAN'!$I$6,MATCH(RAB!C227,'HARGA SATUAN'!$C$7:$C$1492,0),0))</f>
        <v>16000</v>
      </c>
      <c r="H227" s="358">
        <f t="shared" ca="1" si="68"/>
        <v>0</v>
      </c>
      <c r="I227" s="358">
        <f t="shared" ca="1" si="69"/>
        <v>48000</v>
      </c>
      <c r="J227" s="358">
        <f t="shared" ca="1" si="70"/>
        <v>0</v>
      </c>
      <c r="K227" s="359">
        <f t="shared" ca="1" si="71"/>
        <v>48000</v>
      </c>
      <c r="L227" s="339"/>
      <c r="M227" s="339"/>
      <c r="N227" s="366"/>
      <c r="O227" s="341"/>
      <c r="P227" s="394"/>
      <c r="Q227" s="341"/>
    </row>
    <row r="228" spans="1:17" s="362" customFormat="1">
      <c r="A228" s="333"/>
      <c r="B228" s="509">
        <v>16</v>
      </c>
      <c r="C228" s="510" t="s">
        <v>265</v>
      </c>
      <c r="D228" s="355" t="str">
        <f ca="1">IF(ISERROR(OFFSET('HARGA SATUAN'!$D$6,MATCH(RAB!C228,'HARGA SATUAN'!$C$7:$C$1492,0),0)),"",OFFSET('HARGA SATUAN'!$D$6,MATCH(RAB!C228,'HARGA SATUAN'!$C$7:$C$1492,0),0))</f>
        <v>HDW</v>
      </c>
      <c r="E228" s="356" t="str">
        <f ca="1">IF(B228="+","Unit",IF(ISERROR(OFFSET('HARGA SATUAN'!$E$6,MATCH(RAB!C228,'HARGA SATUAN'!$C$7:$C$1492,0),0)),"",OFFSET('HARGA SATUAN'!$E$6,MATCH(RAB!C228,'HARGA SATUAN'!$C$7:$C$1492,0),0)))</f>
        <v>Bh</v>
      </c>
      <c r="F228" s="515">
        <f>F212*1</f>
        <v>1</v>
      </c>
      <c r="G228" s="357">
        <f ca="1">IF(ISERROR(OFFSET('HARGA SATUAN'!$I$6,MATCH(RAB!C228,'HARGA SATUAN'!$C$7:$C$1492,0),0)),0,OFFSET('HARGA SATUAN'!$I$6,MATCH(RAB!C228,'HARGA SATUAN'!$C$7:$C$1492,0),0))</f>
        <v>33501.866666666669</v>
      </c>
      <c r="H228" s="358">
        <f t="shared" ca="1" si="68"/>
        <v>0</v>
      </c>
      <c r="I228" s="358">
        <f t="shared" ca="1" si="69"/>
        <v>33501.866666666669</v>
      </c>
      <c r="J228" s="358">
        <f t="shared" ca="1" si="70"/>
        <v>0</v>
      </c>
      <c r="K228" s="359">
        <f t="shared" ca="1" si="71"/>
        <v>33501.866666666669</v>
      </c>
      <c r="L228" s="339"/>
      <c r="M228" s="339"/>
      <c r="N228" s="366"/>
      <c r="O228" s="341"/>
      <c r="P228" s="394"/>
      <c r="Q228" s="341"/>
    </row>
    <row r="229" spans="1:17" s="362" customFormat="1">
      <c r="A229" s="333"/>
      <c r="B229" s="509">
        <v>17</v>
      </c>
      <c r="C229" s="510" t="s">
        <v>26</v>
      </c>
      <c r="D229" s="355" t="str">
        <f ca="1">IF(ISERROR(OFFSET('HARGA SATUAN'!$D$6,MATCH(RAB!C229,'HARGA SATUAN'!$C$7:$C$1492,0),0)),"",OFFSET('HARGA SATUAN'!$D$6,MATCH(RAB!C229,'HARGA SATUAN'!$C$7:$C$1492,0),0))</f>
        <v>HDW</v>
      </c>
      <c r="E229" s="356" t="str">
        <f ca="1">IF(B229="+","Unit",IF(ISERROR(OFFSET('HARGA SATUAN'!$E$6,MATCH(RAB!C229,'HARGA SATUAN'!$C$7:$C$1492,0),0)),"",OFFSET('HARGA SATUAN'!$E$6,MATCH(RAB!C229,'HARGA SATUAN'!$C$7:$C$1492,0),0)))</f>
        <v>Bh</v>
      </c>
      <c r="F229" s="515">
        <f>F212*11</f>
        <v>11</v>
      </c>
      <c r="G229" s="357">
        <f ca="1">IF(ISERROR(OFFSET('HARGA SATUAN'!$I$6,MATCH(RAB!C229,'HARGA SATUAN'!$C$7:$C$1492,0),0)),0,OFFSET('HARGA SATUAN'!$I$6,MATCH(RAB!C229,'HARGA SATUAN'!$C$7:$C$1492,0),0))</f>
        <v>2500</v>
      </c>
      <c r="H229" s="358">
        <f t="shared" ca="1" si="68"/>
        <v>0</v>
      </c>
      <c r="I229" s="358">
        <f t="shared" ca="1" si="69"/>
        <v>27500</v>
      </c>
      <c r="J229" s="358">
        <f t="shared" ca="1" si="70"/>
        <v>0</v>
      </c>
      <c r="K229" s="359">
        <f t="shared" ca="1" si="71"/>
        <v>27500</v>
      </c>
      <c r="L229" s="339"/>
      <c r="M229" s="339"/>
      <c r="N229" s="366"/>
      <c r="O229" s="341"/>
      <c r="P229" s="394"/>
      <c r="Q229" s="341"/>
    </row>
    <row r="230" spans="1:17" s="362" customFormat="1">
      <c r="A230" s="333"/>
      <c r="B230" s="509">
        <v>18</v>
      </c>
      <c r="C230" s="510" t="s">
        <v>703</v>
      </c>
      <c r="D230" s="355" t="str">
        <f ca="1">IF(ISERROR(OFFSET('HARGA SATUAN'!$D$6,MATCH(RAB!C230,'HARGA SATUAN'!$C$7:$C$1492,0),0)),"",OFFSET('HARGA SATUAN'!$D$6,MATCH(RAB!C230,'HARGA SATUAN'!$C$7:$C$1492,0),0))</f>
        <v>JASA</v>
      </c>
      <c r="E230" s="356" t="str">
        <f ca="1">IF(B230="+","Unit",IF(ISERROR(OFFSET('HARGA SATUAN'!$E$6,MATCH(RAB!C230,'HARGA SATUAN'!$C$7:$C$1492,0),0)),"",OFFSET('HARGA SATUAN'!$E$6,MATCH(RAB!C230,'HARGA SATUAN'!$C$7:$C$1492,0),0)))</f>
        <v>Unit</v>
      </c>
      <c r="F230" s="515">
        <f>F212*1</f>
        <v>1</v>
      </c>
      <c r="G230" s="357">
        <f ca="1">IF(ISERROR(OFFSET('HARGA SATUAN'!$I$6,MATCH(RAB!C230,'HARGA SATUAN'!$C$7:$C$1492,0),0)),0,OFFSET('HARGA SATUAN'!$I$6,MATCH(RAB!C230,'HARGA SATUAN'!$C$7:$C$1492,0),0))</f>
        <v>134700</v>
      </c>
      <c r="H230" s="358">
        <f t="shared" ca="1" si="68"/>
        <v>0</v>
      </c>
      <c r="I230" s="358">
        <f t="shared" ca="1" si="69"/>
        <v>0</v>
      </c>
      <c r="J230" s="358">
        <f t="shared" ca="1" si="70"/>
        <v>134700</v>
      </c>
      <c r="K230" s="359">
        <f t="shared" ca="1" si="71"/>
        <v>134700</v>
      </c>
      <c r="L230" s="339"/>
      <c r="M230" s="339"/>
      <c r="N230" s="366"/>
      <c r="O230" s="341"/>
      <c r="P230" s="394"/>
      <c r="Q230" s="341"/>
    </row>
    <row r="231" spans="1:17" s="362" customFormat="1">
      <c r="A231" s="333"/>
      <c r="B231" s="506"/>
      <c r="C231" s="507"/>
      <c r="D231" s="355" t="str">
        <f ca="1">IF(ISERROR(OFFSET('HARGA SATUAN'!$D$6,MATCH(RAB!C231,'HARGA SATUAN'!$C$7:$C$1492,0),0)),"",OFFSET('HARGA SATUAN'!$D$6,MATCH(RAB!C231,'HARGA SATUAN'!$C$7:$C$1492,0),0))</f>
        <v/>
      </c>
      <c r="E231" s="356" t="str">
        <f ca="1">IF(B231="+","Unit",IF(ISERROR(OFFSET('HARGA SATUAN'!$E$6,MATCH(RAB!C231,'HARGA SATUAN'!$C$7:$C$1492,0),0)),"",OFFSET('HARGA SATUAN'!$E$6,MATCH(RAB!C231,'HARGA SATUAN'!$C$7:$C$1492,0),0)))</f>
        <v/>
      </c>
      <c r="F231" s="494"/>
      <c r="G231" s="357">
        <f ca="1">IF(ISERROR(OFFSET('HARGA SATUAN'!$I$6,MATCH(RAB!C231,'HARGA SATUAN'!$C$7:$C$1492,0),0)),0,OFFSET('HARGA SATUAN'!$I$6,MATCH(RAB!C231,'HARGA SATUAN'!$C$7:$C$1492,0),0))</f>
        <v>0</v>
      </c>
      <c r="H231" s="358">
        <f t="shared" ca="1" si="68"/>
        <v>0</v>
      </c>
      <c r="I231" s="358">
        <f t="shared" ca="1" si="69"/>
        <v>0</v>
      </c>
      <c r="J231" s="358">
        <f t="shared" ca="1" si="70"/>
        <v>0</v>
      </c>
      <c r="K231" s="359">
        <f t="shared" ca="1" si="71"/>
        <v>0</v>
      </c>
      <c r="L231" s="339"/>
      <c r="M231" s="339"/>
      <c r="N231" s="366"/>
      <c r="O231" s="341"/>
      <c r="P231" s="394"/>
      <c r="Q231" s="341"/>
    </row>
    <row r="232" spans="1:17" s="362" customFormat="1">
      <c r="A232" s="333"/>
      <c r="B232" s="532" t="s">
        <v>1035</v>
      </c>
      <c r="C232" s="533" t="s">
        <v>1641</v>
      </c>
      <c r="D232" s="355" t="str">
        <f ca="1">IF(ISERROR(OFFSET('HARGA SATUAN'!$D$6,MATCH(RAB!C232,'HARGA SATUAN'!$C$7:$C$1492,0),0)),"",OFFSET('HARGA SATUAN'!$D$6,MATCH(RAB!C232,'HARGA SATUAN'!$C$7:$C$1492,0),0))</f>
        <v/>
      </c>
      <c r="E232" s="356" t="str">
        <f ca="1">IF(B232="+","Unit",IF(ISERROR(OFFSET('HARGA SATUAN'!$E$6,MATCH(RAB!C232,'HARGA SATUAN'!$C$7:$C$1492,0),0)),"",OFFSET('HARGA SATUAN'!$E$6,MATCH(RAB!C232,'HARGA SATUAN'!$C$7:$C$1492,0),0)))</f>
        <v>Unit</v>
      </c>
      <c r="F232" s="494">
        <v>13</v>
      </c>
      <c r="G232" s="357">
        <f ca="1">IF(ISERROR(OFFSET('HARGA SATUAN'!$I$6,MATCH(RAB!C232,'HARGA SATUAN'!$C$7:$C$1492,0),0)),0,OFFSET('HARGA SATUAN'!$I$6,MATCH(RAB!C232,'HARGA SATUAN'!$C$7:$C$1492,0),0))</f>
        <v>0</v>
      </c>
      <c r="H232" s="358">
        <f t="shared" ca="1" si="68"/>
        <v>0</v>
      </c>
      <c r="I232" s="358">
        <f t="shared" ca="1" si="69"/>
        <v>0</v>
      </c>
      <c r="J232" s="358">
        <f t="shared" ca="1" si="70"/>
        <v>0</v>
      </c>
      <c r="K232" s="359">
        <f t="shared" ca="1" si="71"/>
        <v>0</v>
      </c>
      <c r="L232" s="339"/>
      <c r="M232" s="339"/>
      <c r="N232" s="366"/>
      <c r="O232" s="341"/>
      <c r="P232" s="394"/>
      <c r="Q232" s="341"/>
    </row>
    <row r="233" spans="1:17" s="362" customFormat="1">
      <c r="A233" s="333"/>
      <c r="B233" s="532">
        <v>1</v>
      </c>
      <c r="C233" s="109" t="s">
        <v>1129</v>
      </c>
      <c r="D233" s="355" t="str">
        <f ca="1">IF(ISERROR(OFFSET('HARGA SATUAN'!$D$6,MATCH(RAB!C233,'HARGA SATUAN'!$C$7:$C$1492,0),0)),"",OFFSET('HARGA SATUAN'!$D$6,MATCH(RAB!C233,'HARGA SATUAN'!$C$7:$C$1492,0),0))</f>
        <v>MDU-KD</v>
      </c>
      <c r="E233" s="356" t="str">
        <f ca="1">IF(B233="+","Unit",IF(ISERROR(OFFSET('HARGA SATUAN'!$E$6,MATCH(RAB!C233,'HARGA SATUAN'!$C$7:$C$1492,0),0)),"",OFFSET('HARGA SATUAN'!$E$6,MATCH(RAB!C233,'HARGA SATUAN'!$C$7:$C$1492,0),0)))</f>
        <v>Bh</v>
      </c>
      <c r="F233" s="494">
        <f>F232*1</f>
        <v>13</v>
      </c>
      <c r="G233" s="357">
        <f ca="1">IF(ISERROR(OFFSET('HARGA SATUAN'!$I$6,MATCH(RAB!C233,'HARGA SATUAN'!$C$7:$C$1492,0),0)),0,OFFSET('HARGA SATUAN'!$I$6,MATCH(RAB!C233,'HARGA SATUAN'!$C$7:$C$1492,0),0))</f>
        <v>176900</v>
      </c>
      <c r="H233" s="358">
        <f t="shared" ca="1" si="68"/>
        <v>2299700</v>
      </c>
      <c r="I233" s="358">
        <f t="shared" ca="1" si="69"/>
        <v>0</v>
      </c>
      <c r="J233" s="358">
        <f t="shared" ca="1" si="70"/>
        <v>0</v>
      </c>
      <c r="K233" s="359">
        <f t="shared" ca="1" si="71"/>
        <v>2299700</v>
      </c>
      <c r="L233" s="339"/>
      <c r="M233" s="339"/>
      <c r="N233" s="366"/>
      <c r="O233" s="341"/>
      <c r="P233" s="394"/>
      <c r="Q233" s="341"/>
    </row>
    <row r="234" spans="1:17" s="362" customFormat="1">
      <c r="A234" s="333"/>
      <c r="B234" s="532">
        <v>2</v>
      </c>
      <c r="C234" s="109" t="s">
        <v>1129</v>
      </c>
      <c r="D234" s="355" t="str">
        <f ca="1">IF(ISERROR(OFFSET('HARGA SATUAN'!$D$6,MATCH(RAB!C234,'HARGA SATUAN'!$C$7:$C$1492,0),0)),"",OFFSET('HARGA SATUAN'!$D$6,MATCH(RAB!C234,'HARGA SATUAN'!$C$7:$C$1492,0),0))</f>
        <v>MDU-KD</v>
      </c>
      <c r="E234" s="356" t="str">
        <f ca="1">IF(B234="+","Unit",IF(ISERROR(OFFSET('HARGA SATUAN'!$E$6,MATCH(RAB!C234,'HARGA SATUAN'!$C$7:$C$1492,0),0)),"",OFFSET('HARGA SATUAN'!$E$6,MATCH(RAB!C234,'HARGA SATUAN'!$C$7:$C$1492,0),0)))</f>
        <v>Bh</v>
      </c>
      <c r="F234" s="494">
        <f>F232*2</f>
        <v>26</v>
      </c>
      <c r="G234" s="357">
        <f ca="1">IF(ISERROR(OFFSET('HARGA SATUAN'!$I$6,MATCH(RAB!C234,'HARGA SATUAN'!$C$7:$C$1492,0),0)),0,OFFSET('HARGA SATUAN'!$I$6,MATCH(RAB!C234,'HARGA SATUAN'!$C$7:$C$1492,0),0))</f>
        <v>176900</v>
      </c>
      <c r="H234" s="358">
        <f t="shared" ca="1" si="68"/>
        <v>4599400</v>
      </c>
      <c r="I234" s="358">
        <f t="shared" ca="1" si="69"/>
        <v>0</v>
      </c>
      <c r="J234" s="358">
        <f t="shared" ca="1" si="70"/>
        <v>0</v>
      </c>
      <c r="K234" s="359">
        <f t="shared" ca="1" si="71"/>
        <v>4599400</v>
      </c>
      <c r="L234" s="339"/>
      <c r="M234" s="339"/>
      <c r="N234" s="366"/>
      <c r="O234" s="341"/>
      <c r="P234" s="394"/>
      <c r="Q234" s="341"/>
    </row>
    <row r="235" spans="1:17" s="362" customFormat="1">
      <c r="A235" s="333"/>
      <c r="B235" s="532">
        <v>3</v>
      </c>
      <c r="C235" s="533" t="s">
        <v>28</v>
      </c>
      <c r="D235" s="355" t="str">
        <f ca="1">IF(ISERROR(OFFSET('HARGA SATUAN'!$D$6,MATCH(RAB!C235,'HARGA SATUAN'!$C$7:$C$1492,0),0)),"",OFFSET('HARGA SATUAN'!$D$6,MATCH(RAB!C235,'HARGA SATUAN'!$C$7:$C$1492,0),0))</f>
        <v>HDW</v>
      </c>
      <c r="E235" s="356" t="str">
        <f ca="1">IF(B235="+","Unit",IF(ISERROR(OFFSET('HARGA SATUAN'!$E$6,MATCH(RAB!C235,'HARGA SATUAN'!$C$7:$C$1492,0),0)),"",OFFSET('HARGA SATUAN'!$E$6,MATCH(RAB!C235,'HARGA SATUAN'!$C$7:$C$1492,0),0)))</f>
        <v>Bh</v>
      </c>
      <c r="F235" s="494">
        <f>F232*3</f>
        <v>39</v>
      </c>
      <c r="G235" s="357">
        <f ca="1">IF(ISERROR(OFFSET('HARGA SATUAN'!$I$6,MATCH(RAB!C235,'HARGA SATUAN'!$C$7:$C$1492,0),0)),0,OFFSET('HARGA SATUAN'!$I$6,MATCH(RAB!C235,'HARGA SATUAN'!$C$7:$C$1492,0),0))</f>
        <v>26500</v>
      </c>
      <c r="H235" s="358">
        <f t="shared" ca="1" si="68"/>
        <v>0</v>
      </c>
      <c r="I235" s="358">
        <f t="shared" ca="1" si="69"/>
        <v>1033500</v>
      </c>
      <c r="J235" s="358">
        <f t="shared" ca="1" si="70"/>
        <v>0</v>
      </c>
      <c r="K235" s="359">
        <f t="shared" ca="1" si="71"/>
        <v>1033500</v>
      </c>
      <c r="L235" s="339"/>
      <c r="M235" s="339"/>
      <c r="N235" s="366"/>
      <c r="O235" s="341"/>
      <c r="P235" s="394"/>
      <c r="Q235" s="341"/>
    </row>
    <row r="236" spans="1:17" s="362" customFormat="1">
      <c r="A236" s="333"/>
      <c r="B236" s="532">
        <v>4</v>
      </c>
      <c r="C236" s="533" t="s">
        <v>163</v>
      </c>
      <c r="D236" s="355" t="str">
        <f ca="1">IF(ISERROR(OFFSET('HARGA SATUAN'!$D$6,MATCH(RAB!C236,'HARGA SATUAN'!$C$7:$C$1492,0),0)),"",OFFSET('HARGA SATUAN'!$D$6,MATCH(RAB!C236,'HARGA SATUAN'!$C$7:$C$1492,0),0))</f>
        <v>HDW</v>
      </c>
      <c r="E236" s="356" t="str">
        <f ca="1">IF(B236="+","Unit",IF(ISERROR(OFFSET('HARGA SATUAN'!$E$6,MATCH(RAB!C236,'HARGA SATUAN'!$C$7:$C$1492,0),0)),"",OFFSET('HARGA SATUAN'!$E$6,MATCH(RAB!C236,'HARGA SATUAN'!$C$7:$C$1492,0),0)))</f>
        <v>Bh</v>
      </c>
      <c r="F236" s="494">
        <f>F232*2</f>
        <v>26</v>
      </c>
      <c r="G236" s="357">
        <f ca="1">IF(ISERROR(OFFSET('HARGA SATUAN'!$I$6,MATCH(RAB!C236,'HARGA SATUAN'!$C$7:$C$1492,0),0)),0,OFFSET('HARGA SATUAN'!$I$6,MATCH(RAB!C236,'HARGA SATUAN'!$C$7:$C$1492,0),0))</f>
        <v>7938</v>
      </c>
      <c r="H236" s="358">
        <f t="shared" ca="1" si="68"/>
        <v>0</v>
      </c>
      <c r="I236" s="358">
        <f t="shared" ca="1" si="69"/>
        <v>206388</v>
      </c>
      <c r="J236" s="358">
        <f t="shared" ca="1" si="70"/>
        <v>0</v>
      </c>
      <c r="K236" s="359">
        <f t="shared" ca="1" si="71"/>
        <v>206388</v>
      </c>
      <c r="L236" s="339"/>
      <c r="M236" s="339"/>
      <c r="N236" s="366"/>
      <c r="O236" s="341"/>
      <c r="P236" s="394"/>
      <c r="Q236" s="341"/>
    </row>
    <row r="237" spans="1:17" s="362" customFormat="1">
      <c r="A237" s="333"/>
      <c r="B237" s="532">
        <v>5</v>
      </c>
      <c r="C237" s="533" t="s">
        <v>168</v>
      </c>
      <c r="D237" s="355" t="str">
        <f ca="1">IF(ISERROR(OFFSET('HARGA SATUAN'!$D$6,MATCH(RAB!C237,'HARGA SATUAN'!$C$7:$C$1492,0),0)),"",OFFSET('HARGA SATUAN'!$D$6,MATCH(RAB!C237,'HARGA SATUAN'!$C$7:$C$1492,0),0))</f>
        <v>HDW</v>
      </c>
      <c r="E237" s="356" t="str">
        <f ca="1">IF(B237="+","Unit",IF(ISERROR(OFFSET('HARGA SATUAN'!$E$6,MATCH(RAB!C237,'HARGA SATUAN'!$C$7:$C$1492,0),0)),"",OFFSET('HARGA SATUAN'!$E$6,MATCH(RAB!C237,'HARGA SATUAN'!$C$7:$C$1492,0),0)))</f>
        <v>Bh</v>
      </c>
      <c r="F237" s="494">
        <f>F232*1</f>
        <v>13</v>
      </c>
      <c r="G237" s="357">
        <f ca="1">IF(ISERROR(OFFSET('HARGA SATUAN'!$I$6,MATCH(RAB!C237,'HARGA SATUAN'!$C$7:$C$1492,0),0)),0,OFFSET('HARGA SATUAN'!$I$6,MATCH(RAB!C237,'HARGA SATUAN'!$C$7:$C$1492,0),0))</f>
        <v>33600</v>
      </c>
      <c r="H237" s="358">
        <f t="shared" ca="1" si="68"/>
        <v>0</v>
      </c>
      <c r="I237" s="358">
        <f t="shared" ca="1" si="69"/>
        <v>436800</v>
      </c>
      <c r="J237" s="358">
        <f t="shared" ca="1" si="70"/>
        <v>0</v>
      </c>
      <c r="K237" s="359">
        <f t="shared" ca="1" si="71"/>
        <v>436800</v>
      </c>
      <c r="L237" s="339"/>
      <c r="M237" s="339"/>
      <c r="N237" s="366"/>
      <c r="O237" s="341"/>
      <c r="P237" s="394"/>
      <c r="Q237" s="341"/>
    </row>
    <row r="238" spans="1:17" s="362" customFormat="1">
      <c r="A238" s="333"/>
      <c r="B238" s="532">
        <v>6</v>
      </c>
      <c r="C238" s="533" t="s">
        <v>173</v>
      </c>
      <c r="D238" s="355" t="str">
        <f ca="1">IF(ISERROR(OFFSET('HARGA SATUAN'!$D$6,MATCH(RAB!C238,'HARGA SATUAN'!$C$7:$C$1492,0),0)),"",OFFSET('HARGA SATUAN'!$D$6,MATCH(RAB!C238,'HARGA SATUAN'!$C$7:$C$1492,0),0))</f>
        <v>HDW</v>
      </c>
      <c r="E238" s="356" t="str">
        <f ca="1">IF(B238="+","Unit",IF(ISERROR(OFFSET('HARGA SATUAN'!$E$6,MATCH(RAB!C238,'HARGA SATUAN'!$C$7:$C$1492,0),0)),"",OFFSET('HARGA SATUAN'!$E$6,MATCH(RAB!C238,'HARGA SATUAN'!$C$7:$C$1492,0),0)))</f>
        <v>Bh</v>
      </c>
      <c r="F238" s="494">
        <f>F232*2</f>
        <v>26</v>
      </c>
      <c r="G238" s="357">
        <f ca="1">IF(ISERROR(OFFSET('HARGA SATUAN'!$I$6,MATCH(RAB!C238,'HARGA SATUAN'!$C$7:$C$1492,0),0)),0,OFFSET('HARGA SATUAN'!$I$6,MATCH(RAB!C238,'HARGA SATUAN'!$C$7:$C$1492,0),0))</f>
        <v>45000</v>
      </c>
      <c r="H238" s="358">
        <f t="shared" ca="1" si="68"/>
        <v>0</v>
      </c>
      <c r="I238" s="358">
        <f t="shared" ca="1" si="69"/>
        <v>1170000</v>
      </c>
      <c r="J238" s="358">
        <f t="shared" ca="1" si="70"/>
        <v>0</v>
      </c>
      <c r="K238" s="359">
        <f t="shared" ca="1" si="71"/>
        <v>1170000</v>
      </c>
      <c r="L238" s="339"/>
      <c r="M238" s="339"/>
      <c r="N238" s="366"/>
      <c r="O238" s="341"/>
      <c r="P238" s="394"/>
      <c r="Q238" s="341"/>
    </row>
    <row r="239" spans="1:17" s="362" customFormat="1">
      <c r="A239" s="333"/>
      <c r="B239" s="532">
        <v>7</v>
      </c>
      <c r="C239" s="533" t="s">
        <v>178</v>
      </c>
      <c r="D239" s="355" t="str">
        <f ca="1">IF(ISERROR(OFFSET('HARGA SATUAN'!$D$6,MATCH(RAB!C239,'HARGA SATUAN'!$C$7:$C$1492,0),0)),"",OFFSET('HARGA SATUAN'!$D$6,MATCH(RAB!C239,'HARGA SATUAN'!$C$7:$C$1492,0),0))</f>
        <v>HDW</v>
      </c>
      <c r="E239" s="356" t="str">
        <f ca="1">IF(B239="+","Unit",IF(ISERROR(OFFSET('HARGA SATUAN'!$E$6,MATCH(RAB!C239,'HARGA SATUAN'!$C$7:$C$1492,0),0)),"",OFFSET('HARGA SATUAN'!$E$6,MATCH(RAB!C239,'HARGA SATUAN'!$C$7:$C$1492,0),0)))</f>
        <v>Bh</v>
      </c>
      <c r="F239" s="494">
        <f>F232*1</f>
        <v>13</v>
      </c>
      <c r="G239" s="357">
        <f ca="1">IF(ISERROR(OFFSET('HARGA SATUAN'!$I$6,MATCH(RAB!C239,'HARGA SATUAN'!$C$7:$C$1492,0),0)),0,OFFSET('HARGA SATUAN'!$I$6,MATCH(RAB!C239,'HARGA SATUAN'!$C$7:$C$1492,0),0))</f>
        <v>95000</v>
      </c>
      <c r="H239" s="358">
        <f t="shared" ca="1" si="68"/>
        <v>0</v>
      </c>
      <c r="I239" s="358">
        <f t="shared" ca="1" si="69"/>
        <v>1235000</v>
      </c>
      <c r="J239" s="358">
        <f t="shared" ca="1" si="70"/>
        <v>0</v>
      </c>
      <c r="K239" s="359">
        <f t="shared" ca="1" si="71"/>
        <v>1235000</v>
      </c>
      <c r="L239" s="339"/>
      <c r="M239" s="339"/>
      <c r="N239" s="366"/>
      <c r="O239" s="341"/>
      <c r="P239" s="394"/>
      <c r="Q239" s="341"/>
    </row>
    <row r="240" spans="1:17" s="362" customFormat="1">
      <c r="A240" s="333"/>
      <c r="B240" s="532">
        <v>8</v>
      </c>
      <c r="C240" s="533" t="s">
        <v>593</v>
      </c>
      <c r="D240" s="355" t="str">
        <f ca="1">IF(ISERROR(OFFSET('HARGA SATUAN'!$D$6,MATCH(RAB!C240,'HARGA SATUAN'!$C$7:$C$1492,0),0)),"",OFFSET('HARGA SATUAN'!$D$6,MATCH(RAB!C240,'HARGA SATUAN'!$C$7:$C$1492,0),0))</f>
        <v>HDW</v>
      </c>
      <c r="E240" s="356" t="str">
        <f ca="1">IF(B240="+","Unit",IF(ISERROR(OFFSET('HARGA SATUAN'!$E$6,MATCH(RAB!C240,'HARGA SATUAN'!$C$7:$C$1492,0),0)),"",OFFSET('HARGA SATUAN'!$E$6,MATCH(RAB!C240,'HARGA SATUAN'!$C$7:$C$1492,0),0)))</f>
        <v>Bh</v>
      </c>
      <c r="F240" s="494">
        <f>F232*1</f>
        <v>13</v>
      </c>
      <c r="G240" s="357">
        <f ca="1">IF(ISERROR(OFFSET('HARGA SATUAN'!$I$6,MATCH(RAB!C240,'HARGA SATUAN'!$C$7:$C$1492,0),0)),0,OFFSET('HARGA SATUAN'!$I$6,MATCH(RAB!C240,'HARGA SATUAN'!$C$7:$C$1492,0),0))</f>
        <v>380500</v>
      </c>
      <c r="H240" s="358">
        <f t="shared" ca="1" si="68"/>
        <v>0</v>
      </c>
      <c r="I240" s="358">
        <f t="shared" ca="1" si="69"/>
        <v>4946500</v>
      </c>
      <c r="J240" s="358">
        <f t="shared" ca="1" si="70"/>
        <v>0</v>
      </c>
      <c r="K240" s="359">
        <f t="shared" ca="1" si="71"/>
        <v>4946500</v>
      </c>
      <c r="L240" s="339"/>
      <c r="M240" s="339"/>
      <c r="N240" s="366"/>
      <c r="O240" s="341"/>
      <c r="P240" s="394"/>
      <c r="Q240" s="341"/>
    </row>
    <row r="241" spans="1:17" s="362" customFormat="1">
      <c r="A241" s="333"/>
      <c r="B241" s="532">
        <v>9</v>
      </c>
      <c r="C241" s="533" t="s">
        <v>217</v>
      </c>
      <c r="D241" s="355" t="str">
        <f ca="1">IF(ISERROR(OFFSET('HARGA SATUAN'!$D$6,MATCH(RAB!C241,'HARGA SATUAN'!$C$7:$C$1492,0),0)),"",OFFSET('HARGA SATUAN'!$D$6,MATCH(RAB!C241,'HARGA SATUAN'!$C$7:$C$1492,0),0))</f>
        <v>HDW</v>
      </c>
      <c r="E241" s="356" t="str">
        <f ca="1">IF(B241="+","Unit",IF(ISERROR(OFFSET('HARGA SATUAN'!$E$6,MATCH(RAB!C241,'HARGA SATUAN'!$C$7:$C$1492,0),0)),"",OFFSET('HARGA SATUAN'!$E$6,MATCH(RAB!C241,'HARGA SATUAN'!$C$7:$C$1492,0),0)))</f>
        <v>Bh</v>
      </c>
      <c r="F241" s="494">
        <f>F232*4</f>
        <v>52</v>
      </c>
      <c r="G241" s="357">
        <f ca="1">IF(ISERROR(OFFSET('HARGA SATUAN'!$I$6,MATCH(RAB!C241,'HARGA SATUAN'!$C$7:$C$1492,0),0)),0,OFFSET('HARGA SATUAN'!$I$6,MATCH(RAB!C241,'HARGA SATUAN'!$C$7:$C$1492,0),0))</f>
        <v>11400</v>
      </c>
      <c r="H241" s="358">
        <f t="shared" ca="1" si="68"/>
        <v>0</v>
      </c>
      <c r="I241" s="358">
        <f t="shared" ca="1" si="69"/>
        <v>592800</v>
      </c>
      <c r="J241" s="358">
        <f t="shared" ca="1" si="70"/>
        <v>0</v>
      </c>
      <c r="K241" s="359">
        <f t="shared" ca="1" si="71"/>
        <v>592800</v>
      </c>
      <c r="L241" s="339"/>
      <c r="M241" s="339"/>
      <c r="N241" s="366"/>
      <c r="O241" s="341"/>
      <c r="P241" s="394"/>
      <c r="Q241" s="341"/>
    </row>
    <row r="242" spans="1:17" s="362" customFormat="1">
      <c r="A242" s="333"/>
      <c r="B242" s="532">
        <v>10</v>
      </c>
      <c r="C242" s="533" t="s">
        <v>247</v>
      </c>
      <c r="D242" s="355" t="str">
        <f ca="1">IF(ISERROR(OFFSET('HARGA SATUAN'!$D$6,MATCH(RAB!C242,'HARGA SATUAN'!$C$7:$C$1492,0),0)),"",OFFSET('HARGA SATUAN'!$D$6,MATCH(RAB!C242,'HARGA SATUAN'!$C$7:$C$1492,0),0))</f>
        <v>HDW</v>
      </c>
      <c r="E242" s="356" t="str">
        <f ca="1">IF(B242="+","Unit",IF(ISERROR(OFFSET('HARGA SATUAN'!$E$6,MATCH(RAB!C242,'HARGA SATUAN'!$C$7:$C$1492,0),0)),"",OFFSET('HARGA SATUAN'!$E$6,MATCH(RAB!C242,'HARGA SATUAN'!$C$7:$C$1492,0),0)))</f>
        <v>Bh</v>
      </c>
      <c r="F242" s="494">
        <f>F232*1</f>
        <v>13</v>
      </c>
      <c r="G242" s="357">
        <f ca="1">IF(ISERROR(OFFSET('HARGA SATUAN'!$I$6,MATCH(RAB!C242,'HARGA SATUAN'!$C$7:$C$1492,0),0)),0,OFFSET('HARGA SATUAN'!$I$6,MATCH(RAB!C242,'HARGA SATUAN'!$C$7:$C$1492,0),0))</f>
        <v>57690</v>
      </c>
      <c r="H242" s="358">
        <f t="shared" ca="1" si="68"/>
        <v>0</v>
      </c>
      <c r="I242" s="358">
        <f t="shared" ca="1" si="69"/>
        <v>749970</v>
      </c>
      <c r="J242" s="358">
        <f t="shared" ca="1" si="70"/>
        <v>0</v>
      </c>
      <c r="K242" s="359">
        <f t="shared" ca="1" si="71"/>
        <v>749970</v>
      </c>
      <c r="L242" s="339"/>
      <c r="M242" s="339"/>
      <c r="N242" s="366"/>
      <c r="O242" s="341"/>
      <c r="P242" s="394"/>
      <c r="Q242" s="341"/>
    </row>
    <row r="243" spans="1:17" s="362" customFormat="1">
      <c r="A243" s="333"/>
      <c r="B243" s="532">
        <v>11</v>
      </c>
      <c r="C243" s="533" t="s">
        <v>264</v>
      </c>
      <c r="D243" s="355" t="str">
        <f ca="1">IF(ISERROR(OFFSET('HARGA SATUAN'!$D$6,MATCH(RAB!C243,'HARGA SATUAN'!$C$7:$C$1492,0),0)),"",OFFSET('HARGA SATUAN'!$D$6,MATCH(RAB!C243,'HARGA SATUAN'!$C$7:$C$1492,0),0))</f>
        <v>HDW</v>
      </c>
      <c r="E243" s="356" t="str">
        <f ca="1">IF(B243="+","Unit",IF(ISERROR(OFFSET('HARGA SATUAN'!$E$6,MATCH(RAB!C243,'HARGA SATUAN'!$C$7:$C$1492,0),0)),"",OFFSET('HARGA SATUAN'!$E$6,MATCH(RAB!C243,'HARGA SATUAN'!$C$7:$C$1492,0),0)))</f>
        <v>Bh</v>
      </c>
      <c r="F243" s="494">
        <f>F232*1</f>
        <v>13</v>
      </c>
      <c r="G243" s="357">
        <f ca="1">IF(ISERROR(OFFSET('HARGA SATUAN'!$I$6,MATCH(RAB!C243,'HARGA SATUAN'!$C$7:$C$1492,0),0)),0,OFFSET('HARGA SATUAN'!$I$6,MATCH(RAB!C243,'HARGA SATUAN'!$C$7:$C$1492,0),0))</f>
        <v>28000</v>
      </c>
      <c r="H243" s="358">
        <f t="shared" ca="1" si="68"/>
        <v>0</v>
      </c>
      <c r="I243" s="358">
        <f t="shared" ca="1" si="69"/>
        <v>364000</v>
      </c>
      <c r="J243" s="358">
        <f t="shared" ca="1" si="70"/>
        <v>0</v>
      </c>
      <c r="K243" s="359">
        <f t="shared" ca="1" si="71"/>
        <v>364000</v>
      </c>
      <c r="L243" s="339"/>
      <c r="M243" s="339"/>
      <c r="N243" s="366"/>
      <c r="O243" s="341"/>
      <c r="P243" s="394"/>
      <c r="Q243" s="341"/>
    </row>
    <row r="244" spans="1:17" s="362" customFormat="1">
      <c r="A244" s="333"/>
      <c r="B244" s="532">
        <v>12</v>
      </c>
      <c r="C244" s="533" t="s">
        <v>38</v>
      </c>
      <c r="D244" s="355" t="str">
        <f ca="1">IF(ISERROR(OFFSET('HARGA SATUAN'!$D$6,MATCH(RAB!C244,'HARGA SATUAN'!$C$7:$C$1492,0),0)),"",OFFSET('HARGA SATUAN'!$D$6,MATCH(RAB!C244,'HARGA SATUAN'!$C$7:$C$1492,0),0))</f>
        <v>HDW</v>
      </c>
      <c r="E244" s="356" t="str">
        <f ca="1">IF(B244="+","Unit",IF(ISERROR(OFFSET('HARGA SATUAN'!$E$6,MATCH(RAB!C244,'HARGA SATUAN'!$C$7:$C$1492,0),0)),"",OFFSET('HARGA SATUAN'!$E$6,MATCH(RAB!C244,'HARGA SATUAN'!$C$7:$C$1492,0),0)))</f>
        <v>Mtr</v>
      </c>
      <c r="F244" s="494">
        <f>6.2*F232</f>
        <v>80.600000000000009</v>
      </c>
      <c r="G244" s="357">
        <f ca="1">IF(ISERROR(OFFSET('HARGA SATUAN'!$I$6,MATCH(RAB!C244,'HARGA SATUAN'!$C$7:$C$1492,0),0)),0,OFFSET('HARGA SATUAN'!$I$6,MATCH(RAB!C244,'HARGA SATUAN'!$C$7:$C$1492,0),0))</f>
        <v>8550</v>
      </c>
      <c r="H244" s="358">
        <f t="shared" ca="1" si="68"/>
        <v>0</v>
      </c>
      <c r="I244" s="358">
        <f t="shared" ca="1" si="69"/>
        <v>689130.00000000012</v>
      </c>
      <c r="J244" s="358">
        <f t="shared" ca="1" si="70"/>
        <v>0</v>
      </c>
      <c r="K244" s="359">
        <f t="shared" ca="1" si="71"/>
        <v>689130.00000000012</v>
      </c>
      <c r="L244" s="339"/>
      <c r="M244" s="339"/>
      <c r="N244" s="366"/>
      <c r="O244" s="341"/>
      <c r="P244" s="394"/>
      <c r="Q244" s="341"/>
    </row>
    <row r="245" spans="1:17" s="362" customFormat="1">
      <c r="A245" s="333"/>
      <c r="B245" s="532">
        <v>13</v>
      </c>
      <c r="C245" s="533" t="s">
        <v>26</v>
      </c>
      <c r="D245" s="355" t="str">
        <f ca="1">IF(ISERROR(OFFSET('HARGA SATUAN'!$D$6,MATCH(RAB!C245,'HARGA SATUAN'!$C$7:$C$1492,0),0)),"",OFFSET('HARGA SATUAN'!$D$6,MATCH(RAB!C245,'HARGA SATUAN'!$C$7:$C$1492,0),0))</f>
        <v>HDW</v>
      </c>
      <c r="E245" s="356" t="str">
        <f ca="1">IF(B245="+","Unit",IF(ISERROR(OFFSET('HARGA SATUAN'!$E$6,MATCH(RAB!C245,'HARGA SATUAN'!$C$7:$C$1492,0),0)),"",OFFSET('HARGA SATUAN'!$E$6,MATCH(RAB!C245,'HARGA SATUAN'!$C$7:$C$1492,0),0)))</f>
        <v>Bh</v>
      </c>
      <c r="F245" s="494">
        <f>F232*5</f>
        <v>65</v>
      </c>
      <c r="G245" s="357">
        <f ca="1">IF(ISERROR(OFFSET('HARGA SATUAN'!$I$6,MATCH(RAB!C245,'HARGA SATUAN'!$C$7:$C$1492,0),0)),0,OFFSET('HARGA SATUAN'!$I$6,MATCH(RAB!C245,'HARGA SATUAN'!$C$7:$C$1492,0),0))</f>
        <v>2500</v>
      </c>
      <c r="H245" s="358">
        <f t="shared" ca="1" si="68"/>
        <v>0</v>
      </c>
      <c r="I245" s="358">
        <f t="shared" ca="1" si="69"/>
        <v>162500</v>
      </c>
      <c r="J245" s="358">
        <f t="shared" ca="1" si="70"/>
        <v>0</v>
      </c>
      <c r="K245" s="359">
        <f t="shared" ca="1" si="71"/>
        <v>162500</v>
      </c>
      <c r="L245" s="339"/>
      <c r="M245" s="339"/>
      <c r="N245" s="366"/>
      <c r="O245" s="341"/>
      <c r="P245" s="394"/>
      <c r="Q245" s="341"/>
    </row>
    <row r="246" spans="1:17" s="362" customFormat="1">
      <c r="A246" s="333"/>
      <c r="B246" s="532">
        <v>14</v>
      </c>
      <c r="C246" s="533" t="s">
        <v>687</v>
      </c>
      <c r="D246" s="355" t="str">
        <f ca="1">IF(ISERROR(OFFSET('HARGA SATUAN'!$D$6,MATCH(RAB!C246,'HARGA SATUAN'!$C$7:$C$1492,0),0)),"",OFFSET('HARGA SATUAN'!$D$6,MATCH(RAB!C246,'HARGA SATUAN'!$C$7:$C$1492,0),0))</f>
        <v>JASA</v>
      </c>
      <c r="E246" s="356" t="str">
        <f ca="1">IF(B246="+","Unit",IF(ISERROR(OFFSET('HARGA SATUAN'!$E$6,MATCH(RAB!C246,'HARGA SATUAN'!$C$7:$C$1492,0),0)),"",OFFSET('HARGA SATUAN'!$E$6,MATCH(RAB!C246,'HARGA SATUAN'!$C$7:$C$1492,0),0)))</f>
        <v>Unit</v>
      </c>
      <c r="F246" s="494">
        <f>F232*1</f>
        <v>13</v>
      </c>
      <c r="G246" s="357">
        <f ca="1">IF(ISERROR(OFFSET('HARGA SATUAN'!$I$6,MATCH(RAB!C246,'HARGA SATUAN'!$C$7:$C$1492,0),0)),0,OFFSET('HARGA SATUAN'!$I$6,MATCH(RAB!C246,'HARGA SATUAN'!$C$7:$C$1492,0),0))</f>
        <v>111000</v>
      </c>
      <c r="H246" s="358">
        <f t="shared" ca="1" si="68"/>
        <v>0</v>
      </c>
      <c r="I246" s="358">
        <f t="shared" ca="1" si="69"/>
        <v>0</v>
      </c>
      <c r="J246" s="358">
        <f t="shared" ca="1" si="70"/>
        <v>1443000</v>
      </c>
      <c r="K246" s="359">
        <f t="shared" ca="1" si="71"/>
        <v>1443000</v>
      </c>
      <c r="L246" s="339"/>
      <c r="M246" s="339"/>
      <c r="N246" s="366"/>
      <c r="O246" s="341"/>
      <c r="P246" s="394"/>
      <c r="Q246" s="341"/>
    </row>
    <row r="247" spans="1:17" s="362" customFormat="1">
      <c r="A247" s="333"/>
      <c r="B247" s="509"/>
      <c r="C247" s="510"/>
      <c r="D247" s="355" t="str">
        <f ca="1">IF(ISERROR(OFFSET('HARGA SATUAN'!$D$6,MATCH(RAB!C247,'HARGA SATUAN'!$C$7:$C$1492,0),0)),"",OFFSET('HARGA SATUAN'!$D$6,MATCH(RAB!C247,'HARGA SATUAN'!$C$7:$C$1492,0),0))</f>
        <v/>
      </c>
      <c r="E247" s="356" t="str">
        <f ca="1">IF(B247="+","Unit",IF(ISERROR(OFFSET('HARGA SATUAN'!$E$6,MATCH(RAB!C247,'HARGA SATUAN'!$C$7:$C$1492,0),0)),"",OFFSET('HARGA SATUAN'!$E$6,MATCH(RAB!C247,'HARGA SATUAN'!$C$7:$C$1492,0),0)))</f>
        <v/>
      </c>
      <c r="F247" s="515"/>
      <c r="G247" s="357">
        <f ca="1">IF(ISERROR(OFFSET('HARGA SATUAN'!$I$6,MATCH(RAB!C247,'HARGA SATUAN'!$C$7:$C$1492,0),0)),0,OFFSET('HARGA SATUAN'!$I$6,MATCH(RAB!C247,'HARGA SATUAN'!$C$7:$C$1492,0),0))</f>
        <v>0</v>
      </c>
      <c r="H247" s="358">
        <f t="shared" ca="1" si="68"/>
        <v>0</v>
      </c>
      <c r="I247" s="358">
        <f t="shared" ca="1" si="69"/>
        <v>0</v>
      </c>
      <c r="J247" s="358">
        <f t="shared" ca="1" si="70"/>
        <v>0</v>
      </c>
      <c r="K247" s="359">
        <f t="shared" ca="1" si="71"/>
        <v>0</v>
      </c>
      <c r="L247" s="339"/>
      <c r="M247" s="339"/>
      <c r="N247" s="366"/>
      <c r="O247" s="341"/>
      <c r="P247" s="394"/>
      <c r="Q247" s="341"/>
    </row>
    <row r="248" spans="1:17" s="362" customFormat="1">
      <c r="A248" s="333"/>
      <c r="B248" s="532" t="s">
        <v>1035</v>
      </c>
      <c r="C248" s="498" t="s">
        <v>1642</v>
      </c>
      <c r="D248" s="355" t="str">
        <f ca="1">IF(ISERROR(OFFSET('HARGA SATUAN'!$D$6,MATCH(RAB!C248,'HARGA SATUAN'!$C$7:$C$1492,0),0)),"",OFFSET('HARGA SATUAN'!$D$6,MATCH(RAB!C248,'HARGA SATUAN'!$C$7:$C$1492,0),0))</f>
        <v/>
      </c>
      <c r="E248" s="356" t="str">
        <f ca="1">IF(B248="+","Unit",IF(ISERROR(OFFSET('HARGA SATUAN'!$E$6,MATCH(RAB!C248,'HARGA SATUAN'!$C$7:$C$1492,0),0)),"",OFFSET('HARGA SATUAN'!$E$6,MATCH(RAB!C248,'HARGA SATUAN'!$C$7:$C$1492,0),0)))</f>
        <v>Unit</v>
      </c>
      <c r="F248" s="536">
        <v>2</v>
      </c>
      <c r="G248" s="357">
        <f ca="1">IF(ISERROR(OFFSET('HARGA SATUAN'!$I$6,MATCH(RAB!C248,'HARGA SATUAN'!$C$7:$C$1492,0),0)),0,OFFSET('HARGA SATUAN'!$I$6,MATCH(RAB!C248,'HARGA SATUAN'!$C$7:$C$1492,0),0))</f>
        <v>0</v>
      </c>
      <c r="H248" s="358">
        <f t="shared" ref="H248:H264" ca="1" si="72">IF(OR(D248="MDU",D248="MDU-KD"),(IF($O$3="RAB NON MDU","PLN KD",G248*F248)),0)</f>
        <v>0</v>
      </c>
      <c r="I248" s="358">
        <f t="shared" ref="I248:I264" ca="1" si="73">IF(D248="HDW",G248*F248,0)</f>
        <v>0</v>
      </c>
      <c r="J248" s="358">
        <f t="shared" ref="J248:J264" ca="1" si="74">IF(D248="JASA",G248*F248,0)</f>
        <v>0</v>
      </c>
      <c r="K248" s="359">
        <f t="shared" ref="K248:K264" ca="1" si="75">SUM(H248:J248)</f>
        <v>0</v>
      </c>
      <c r="L248" s="339"/>
      <c r="M248" s="339"/>
      <c r="N248" s="366"/>
      <c r="O248" s="341"/>
      <c r="P248" s="394"/>
      <c r="Q248" s="341"/>
    </row>
    <row r="249" spans="1:17" s="362" customFormat="1">
      <c r="A249" s="333"/>
      <c r="B249" s="532">
        <v>1</v>
      </c>
      <c r="C249" s="109" t="s">
        <v>1129</v>
      </c>
      <c r="D249" s="355" t="str">
        <f ca="1">IF(ISERROR(OFFSET('HARGA SATUAN'!$D$6,MATCH(RAB!C249,'HARGA SATUAN'!$C$7:$C$1492,0),0)),"",OFFSET('HARGA SATUAN'!$D$6,MATCH(RAB!C249,'HARGA SATUAN'!$C$7:$C$1492,0),0))</f>
        <v>MDU-KD</v>
      </c>
      <c r="E249" s="356" t="str">
        <f ca="1">IF(B249="+","Unit",IF(ISERROR(OFFSET('HARGA SATUAN'!$E$6,MATCH(RAB!C249,'HARGA SATUAN'!$C$7:$C$1492,0),0)),"",OFFSET('HARGA SATUAN'!$E$6,MATCH(RAB!C249,'HARGA SATUAN'!$C$7:$C$1492,0),0)))</f>
        <v>Bh</v>
      </c>
      <c r="F249" s="536">
        <f>F248*2</f>
        <v>4</v>
      </c>
      <c r="G249" s="357">
        <f ca="1">IF(ISERROR(OFFSET('HARGA SATUAN'!$I$6,MATCH(RAB!C249,'HARGA SATUAN'!$C$7:$C$1492,0),0)),0,OFFSET('HARGA SATUAN'!$I$6,MATCH(RAB!C249,'HARGA SATUAN'!$C$7:$C$1492,0),0))</f>
        <v>176900</v>
      </c>
      <c r="H249" s="358">
        <f t="shared" ca="1" si="72"/>
        <v>707600</v>
      </c>
      <c r="I249" s="358">
        <f t="shared" ca="1" si="73"/>
        <v>0</v>
      </c>
      <c r="J249" s="358">
        <f t="shared" ca="1" si="74"/>
        <v>0</v>
      </c>
      <c r="K249" s="359">
        <f t="shared" ca="1" si="75"/>
        <v>707600</v>
      </c>
      <c r="L249" s="339"/>
      <c r="M249" s="339"/>
      <c r="N249" s="366"/>
      <c r="O249" s="341"/>
      <c r="P249" s="394"/>
      <c r="Q249" s="341"/>
    </row>
    <row r="250" spans="1:17" s="362" customFormat="1">
      <c r="A250" s="333"/>
      <c r="B250" s="532">
        <v>2</v>
      </c>
      <c r="C250" s="109" t="s">
        <v>1129</v>
      </c>
      <c r="D250" s="355" t="str">
        <f ca="1">IF(ISERROR(OFFSET('HARGA SATUAN'!$D$6,MATCH(RAB!C250,'HARGA SATUAN'!$C$7:$C$1492,0),0)),"",OFFSET('HARGA SATUAN'!$D$6,MATCH(RAB!C250,'HARGA SATUAN'!$C$7:$C$1492,0),0))</f>
        <v>MDU-KD</v>
      </c>
      <c r="E250" s="356" t="str">
        <f ca="1">IF(B250="+","Unit",IF(ISERROR(OFFSET('HARGA SATUAN'!$E$6,MATCH(RAB!C250,'HARGA SATUAN'!$C$7:$C$1492,0),0)),"",OFFSET('HARGA SATUAN'!$E$6,MATCH(RAB!C250,'HARGA SATUAN'!$C$7:$C$1492,0),0)))</f>
        <v>Bh</v>
      </c>
      <c r="F250" s="536">
        <f>F248*4</f>
        <v>8</v>
      </c>
      <c r="G250" s="357">
        <f ca="1">IF(ISERROR(OFFSET('HARGA SATUAN'!$I$6,MATCH(RAB!C250,'HARGA SATUAN'!$C$7:$C$1492,0),0)),0,OFFSET('HARGA SATUAN'!$I$6,MATCH(RAB!C250,'HARGA SATUAN'!$C$7:$C$1492,0),0))</f>
        <v>176900</v>
      </c>
      <c r="H250" s="358">
        <f t="shared" ca="1" si="72"/>
        <v>1415200</v>
      </c>
      <c r="I250" s="358">
        <f t="shared" ca="1" si="73"/>
        <v>0</v>
      </c>
      <c r="J250" s="358">
        <f t="shared" ca="1" si="74"/>
        <v>0</v>
      </c>
      <c r="K250" s="359">
        <f t="shared" ca="1" si="75"/>
        <v>1415200</v>
      </c>
      <c r="L250" s="339"/>
      <c r="M250" s="339"/>
      <c r="N250" s="366"/>
      <c r="O250" s="341"/>
      <c r="P250" s="394"/>
      <c r="Q250" s="341"/>
    </row>
    <row r="251" spans="1:17" s="362" customFormat="1">
      <c r="A251" s="333"/>
      <c r="B251" s="532">
        <v>3</v>
      </c>
      <c r="C251" s="498" t="s">
        <v>157</v>
      </c>
      <c r="D251" s="355" t="str">
        <f ca="1">IF(ISERROR(OFFSET('HARGA SATUAN'!$D$6,MATCH(RAB!C251,'HARGA SATUAN'!$C$7:$C$1492,0),0)),"",OFFSET('HARGA SATUAN'!$D$6,MATCH(RAB!C251,'HARGA SATUAN'!$C$7:$C$1492,0),0))</f>
        <v>HDW</v>
      </c>
      <c r="E251" s="356" t="str">
        <f ca="1">IF(B251="+","Unit",IF(ISERROR(OFFSET('HARGA SATUAN'!$E$6,MATCH(RAB!C251,'HARGA SATUAN'!$C$7:$C$1492,0),0)),"",OFFSET('HARGA SATUAN'!$E$6,MATCH(RAB!C251,'HARGA SATUAN'!$C$7:$C$1492,0),0)))</f>
        <v>Bh</v>
      </c>
      <c r="F251" s="536">
        <f>F248*2</f>
        <v>4</v>
      </c>
      <c r="G251" s="357">
        <f ca="1">IF(ISERROR(OFFSET('HARGA SATUAN'!$I$6,MATCH(RAB!C251,'HARGA SATUAN'!$C$7:$C$1492,0),0)),0,OFFSET('HARGA SATUAN'!$I$6,MATCH(RAB!C251,'HARGA SATUAN'!$C$7:$C$1492,0),0))</f>
        <v>40000</v>
      </c>
      <c r="H251" s="358">
        <f t="shared" ca="1" si="72"/>
        <v>0</v>
      </c>
      <c r="I251" s="358">
        <f t="shared" ca="1" si="73"/>
        <v>160000</v>
      </c>
      <c r="J251" s="358">
        <f t="shared" ca="1" si="74"/>
        <v>0</v>
      </c>
      <c r="K251" s="359">
        <f t="shared" ca="1" si="75"/>
        <v>160000</v>
      </c>
      <c r="L251" s="339"/>
      <c r="M251" s="339"/>
      <c r="N251" s="366"/>
      <c r="O251" s="341"/>
      <c r="P251" s="394"/>
      <c r="Q251" s="341"/>
    </row>
    <row r="252" spans="1:17" s="362" customFormat="1">
      <c r="A252" s="333"/>
      <c r="B252" s="532">
        <v>4</v>
      </c>
      <c r="C252" s="498" t="s">
        <v>28</v>
      </c>
      <c r="D252" s="355" t="str">
        <f ca="1">IF(ISERROR(OFFSET('HARGA SATUAN'!$D$6,MATCH(RAB!C252,'HARGA SATUAN'!$C$7:$C$1492,0),0)),"",OFFSET('HARGA SATUAN'!$D$6,MATCH(RAB!C252,'HARGA SATUAN'!$C$7:$C$1492,0),0))</f>
        <v>HDW</v>
      </c>
      <c r="E252" s="356" t="str">
        <f ca="1">IF(B252="+","Unit",IF(ISERROR(OFFSET('HARGA SATUAN'!$E$6,MATCH(RAB!C252,'HARGA SATUAN'!$C$7:$C$1492,0),0)),"",OFFSET('HARGA SATUAN'!$E$6,MATCH(RAB!C252,'HARGA SATUAN'!$C$7:$C$1492,0),0)))</f>
        <v>Bh</v>
      </c>
      <c r="F252" s="536">
        <f>F248*4</f>
        <v>8</v>
      </c>
      <c r="G252" s="357">
        <f ca="1">IF(ISERROR(OFFSET('HARGA SATUAN'!$I$6,MATCH(RAB!C252,'HARGA SATUAN'!$C$7:$C$1492,0),0)),0,OFFSET('HARGA SATUAN'!$I$6,MATCH(RAB!C252,'HARGA SATUAN'!$C$7:$C$1492,0),0))</f>
        <v>26500</v>
      </c>
      <c r="H252" s="358">
        <f t="shared" ca="1" si="72"/>
        <v>0</v>
      </c>
      <c r="I252" s="358">
        <f t="shared" ca="1" si="73"/>
        <v>212000</v>
      </c>
      <c r="J252" s="358">
        <f t="shared" ca="1" si="74"/>
        <v>0</v>
      </c>
      <c r="K252" s="359">
        <f t="shared" ca="1" si="75"/>
        <v>212000</v>
      </c>
      <c r="L252" s="339"/>
      <c r="M252" s="339"/>
      <c r="N252" s="366"/>
      <c r="O252" s="341"/>
      <c r="P252" s="394"/>
      <c r="Q252" s="341"/>
    </row>
    <row r="253" spans="1:17" s="362" customFormat="1">
      <c r="A253" s="333"/>
      <c r="B253" s="532">
        <v>5</v>
      </c>
      <c r="C253" s="498" t="s">
        <v>163</v>
      </c>
      <c r="D253" s="355" t="str">
        <f ca="1">IF(ISERROR(OFFSET('HARGA SATUAN'!$D$6,MATCH(RAB!C253,'HARGA SATUAN'!$C$7:$C$1492,0),0)),"",OFFSET('HARGA SATUAN'!$D$6,MATCH(RAB!C253,'HARGA SATUAN'!$C$7:$C$1492,0),0))</f>
        <v>HDW</v>
      </c>
      <c r="E253" s="356" t="str">
        <f ca="1">IF(B253="+","Unit",IF(ISERROR(OFFSET('HARGA SATUAN'!$E$6,MATCH(RAB!C253,'HARGA SATUAN'!$C$7:$C$1492,0),0)),"",OFFSET('HARGA SATUAN'!$E$6,MATCH(RAB!C253,'HARGA SATUAN'!$C$7:$C$1492,0),0)))</f>
        <v>Bh</v>
      </c>
      <c r="F253" s="536">
        <f>F248*4</f>
        <v>8</v>
      </c>
      <c r="G253" s="357">
        <f ca="1">IF(ISERROR(OFFSET('HARGA SATUAN'!$I$6,MATCH(RAB!C253,'HARGA SATUAN'!$C$7:$C$1492,0),0)),0,OFFSET('HARGA SATUAN'!$I$6,MATCH(RAB!C253,'HARGA SATUAN'!$C$7:$C$1492,0),0))</f>
        <v>7938</v>
      </c>
      <c r="H253" s="358">
        <f t="shared" ca="1" si="72"/>
        <v>0</v>
      </c>
      <c r="I253" s="358">
        <f t="shared" ca="1" si="73"/>
        <v>63504</v>
      </c>
      <c r="J253" s="358">
        <f t="shared" ca="1" si="74"/>
        <v>0</v>
      </c>
      <c r="K253" s="359">
        <f t="shared" ca="1" si="75"/>
        <v>63504</v>
      </c>
      <c r="L253" s="339"/>
      <c r="M253" s="339"/>
      <c r="N253" s="366"/>
      <c r="O253" s="341"/>
      <c r="P253" s="394"/>
      <c r="Q253" s="341"/>
    </row>
    <row r="254" spans="1:17" s="362" customFormat="1">
      <c r="A254" s="333"/>
      <c r="B254" s="532">
        <v>6</v>
      </c>
      <c r="C254" s="498" t="s">
        <v>173</v>
      </c>
      <c r="D254" s="355" t="str">
        <f ca="1">IF(ISERROR(OFFSET('HARGA SATUAN'!$D$6,MATCH(RAB!C254,'HARGA SATUAN'!$C$7:$C$1492,0),0)),"",OFFSET('HARGA SATUAN'!$D$6,MATCH(RAB!C254,'HARGA SATUAN'!$C$7:$C$1492,0),0))</f>
        <v>HDW</v>
      </c>
      <c r="E254" s="356" t="str">
        <f ca="1">IF(B254="+","Unit",IF(ISERROR(OFFSET('HARGA SATUAN'!$E$6,MATCH(RAB!C254,'HARGA SATUAN'!$C$7:$C$1492,0),0)),"",OFFSET('HARGA SATUAN'!$E$6,MATCH(RAB!C254,'HARGA SATUAN'!$C$7:$C$1492,0),0)))</f>
        <v>Bh</v>
      </c>
      <c r="F254" s="536">
        <f>F248*4</f>
        <v>8</v>
      </c>
      <c r="G254" s="357">
        <f ca="1">IF(ISERROR(OFFSET('HARGA SATUAN'!$I$6,MATCH(RAB!C254,'HARGA SATUAN'!$C$7:$C$1492,0),0)),0,OFFSET('HARGA SATUAN'!$I$6,MATCH(RAB!C254,'HARGA SATUAN'!$C$7:$C$1492,0),0))</f>
        <v>45000</v>
      </c>
      <c r="H254" s="358">
        <f t="shared" ca="1" si="72"/>
        <v>0</v>
      </c>
      <c r="I254" s="358">
        <f t="shared" ca="1" si="73"/>
        <v>360000</v>
      </c>
      <c r="J254" s="358">
        <f t="shared" ca="1" si="74"/>
        <v>0</v>
      </c>
      <c r="K254" s="359">
        <f t="shared" ca="1" si="75"/>
        <v>360000</v>
      </c>
      <c r="L254" s="339"/>
      <c r="M254" s="339"/>
      <c r="N254" s="366"/>
      <c r="O254" s="341"/>
      <c r="P254" s="394"/>
      <c r="Q254" s="341"/>
    </row>
    <row r="255" spans="1:17" s="362" customFormat="1">
      <c r="A255" s="333"/>
      <c r="B255" s="532">
        <v>7</v>
      </c>
      <c r="C255" s="498" t="s">
        <v>175</v>
      </c>
      <c r="D255" s="355" t="str">
        <f ca="1">IF(ISERROR(OFFSET('HARGA SATUAN'!$D$6,MATCH(RAB!C255,'HARGA SATUAN'!$C$7:$C$1492,0),0)),"",OFFSET('HARGA SATUAN'!$D$6,MATCH(RAB!C255,'HARGA SATUAN'!$C$7:$C$1492,0),0))</f>
        <v>HDW</v>
      </c>
      <c r="E255" s="356" t="str">
        <f ca="1">IF(B255="+","Unit",IF(ISERROR(OFFSET('HARGA SATUAN'!$E$6,MATCH(RAB!C255,'HARGA SATUAN'!$C$7:$C$1492,0),0)),"",OFFSET('HARGA SATUAN'!$E$6,MATCH(RAB!C255,'HARGA SATUAN'!$C$7:$C$1492,0),0)))</f>
        <v>Bh</v>
      </c>
      <c r="F255" s="536">
        <f>F248*1</f>
        <v>2</v>
      </c>
      <c r="G255" s="357">
        <f ca="1">IF(ISERROR(OFFSET('HARGA SATUAN'!$I$6,MATCH(RAB!C255,'HARGA SATUAN'!$C$7:$C$1492,0),0)),0,OFFSET('HARGA SATUAN'!$I$6,MATCH(RAB!C255,'HARGA SATUAN'!$C$7:$C$1492,0),0))</f>
        <v>13100</v>
      </c>
      <c r="H255" s="358">
        <f t="shared" ca="1" si="72"/>
        <v>0</v>
      </c>
      <c r="I255" s="358">
        <f t="shared" ca="1" si="73"/>
        <v>26200</v>
      </c>
      <c r="J255" s="358">
        <f t="shared" ca="1" si="74"/>
        <v>0</v>
      </c>
      <c r="K255" s="359">
        <f t="shared" ca="1" si="75"/>
        <v>26200</v>
      </c>
      <c r="L255" s="339"/>
      <c r="M255" s="339"/>
      <c r="N255" s="366"/>
      <c r="O255" s="341"/>
      <c r="P255" s="394"/>
      <c r="Q255" s="341"/>
    </row>
    <row r="256" spans="1:17" s="362" customFormat="1">
      <c r="A256" s="333"/>
      <c r="B256" s="532">
        <v>8</v>
      </c>
      <c r="C256" s="498" t="s">
        <v>178</v>
      </c>
      <c r="D256" s="355" t="str">
        <f ca="1">IF(ISERROR(OFFSET('HARGA SATUAN'!$D$6,MATCH(RAB!C256,'HARGA SATUAN'!$C$7:$C$1492,0),0)),"",OFFSET('HARGA SATUAN'!$D$6,MATCH(RAB!C256,'HARGA SATUAN'!$C$7:$C$1492,0),0))</f>
        <v>HDW</v>
      </c>
      <c r="E256" s="356" t="str">
        <f ca="1">IF(B256="+","Unit",IF(ISERROR(OFFSET('HARGA SATUAN'!$E$6,MATCH(RAB!C256,'HARGA SATUAN'!$C$7:$C$1492,0),0)),"",OFFSET('HARGA SATUAN'!$E$6,MATCH(RAB!C256,'HARGA SATUAN'!$C$7:$C$1492,0),0)))</f>
        <v>Bh</v>
      </c>
      <c r="F256" s="536">
        <f>F248*2</f>
        <v>4</v>
      </c>
      <c r="G256" s="357">
        <f ca="1">IF(ISERROR(OFFSET('HARGA SATUAN'!$I$6,MATCH(RAB!C256,'HARGA SATUAN'!$C$7:$C$1492,0),0)),0,OFFSET('HARGA SATUAN'!$I$6,MATCH(RAB!C256,'HARGA SATUAN'!$C$7:$C$1492,0),0))</f>
        <v>95000</v>
      </c>
      <c r="H256" s="358">
        <f t="shared" ca="1" si="72"/>
        <v>0</v>
      </c>
      <c r="I256" s="358">
        <f t="shared" ca="1" si="73"/>
        <v>380000</v>
      </c>
      <c r="J256" s="358">
        <f t="shared" ca="1" si="74"/>
        <v>0</v>
      </c>
      <c r="K256" s="359">
        <f t="shared" ca="1" si="75"/>
        <v>380000</v>
      </c>
      <c r="L256" s="339"/>
      <c r="M256" s="339"/>
      <c r="N256" s="366"/>
      <c r="O256" s="341"/>
      <c r="P256" s="394"/>
      <c r="Q256" s="341"/>
    </row>
    <row r="257" spans="1:17" s="362" customFormat="1">
      <c r="A257" s="333"/>
      <c r="B257" s="532">
        <v>9</v>
      </c>
      <c r="C257" s="498" t="s">
        <v>593</v>
      </c>
      <c r="D257" s="355" t="str">
        <f ca="1">IF(ISERROR(OFFSET('HARGA SATUAN'!$D$6,MATCH(RAB!C257,'HARGA SATUAN'!$C$7:$C$1492,0),0)),"",OFFSET('HARGA SATUAN'!$D$6,MATCH(RAB!C257,'HARGA SATUAN'!$C$7:$C$1492,0),0))</f>
        <v>HDW</v>
      </c>
      <c r="E257" s="356" t="str">
        <f ca="1">IF(B257="+","Unit",IF(ISERROR(OFFSET('HARGA SATUAN'!$E$6,MATCH(RAB!C257,'HARGA SATUAN'!$C$7:$C$1492,0),0)),"",OFFSET('HARGA SATUAN'!$E$6,MATCH(RAB!C257,'HARGA SATUAN'!$C$7:$C$1492,0),0)))</f>
        <v>Bh</v>
      </c>
      <c r="F257" s="536">
        <f>F248*2</f>
        <v>4</v>
      </c>
      <c r="G257" s="357">
        <f ca="1">IF(ISERROR(OFFSET('HARGA SATUAN'!$I$6,MATCH(RAB!C257,'HARGA SATUAN'!$C$7:$C$1492,0),0)),0,OFFSET('HARGA SATUAN'!$I$6,MATCH(RAB!C257,'HARGA SATUAN'!$C$7:$C$1492,0),0))</f>
        <v>380500</v>
      </c>
      <c r="H257" s="358">
        <f t="shared" ca="1" si="72"/>
        <v>0</v>
      </c>
      <c r="I257" s="358">
        <f t="shared" ca="1" si="73"/>
        <v>1522000</v>
      </c>
      <c r="J257" s="358">
        <f t="shared" ca="1" si="74"/>
        <v>0</v>
      </c>
      <c r="K257" s="359">
        <f t="shared" ca="1" si="75"/>
        <v>1522000</v>
      </c>
      <c r="L257" s="339"/>
      <c r="M257" s="339"/>
      <c r="N257" s="366"/>
      <c r="O257" s="341"/>
      <c r="P257" s="394"/>
      <c r="Q257" s="341"/>
    </row>
    <row r="258" spans="1:17" s="362" customFormat="1">
      <c r="A258" s="333"/>
      <c r="B258" s="532">
        <v>10</v>
      </c>
      <c r="C258" s="498" t="s">
        <v>217</v>
      </c>
      <c r="D258" s="355" t="str">
        <f ca="1">IF(ISERROR(OFFSET('HARGA SATUAN'!$D$6,MATCH(RAB!C258,'HARGA SATUAN'!$C$7:$C$1492,0),0)),"",OFFSET('HARGA SATUAN'!$D$6,MATCH(RAB!C258,'HARGA SATUAN'!$C$7:$C$1492,0),0))</f>
        <v>HDW</v>
      </c>
      <c r="E258" s="356" t="str">
        <f ca="1">IF(B258="+","Unit",IF(ISERROR(OFFSET('HARGA SATUAN'!$E$6,MATCH(RAB!C258,'HARGA SATUAN'!$C$7:$C$1492,0),0)),"",OFFSET('HARGA SATUAN'!$E$6,MATCH(RAB!C258,'HARGA SATUAN'!$C$7:$C$1492,0),0)))</f>
        <v>Bh</v>
      </c>
      <c r="F258" s="536">
        <f>F248*8</f>
        <v>16</v>
      </c>
      <c r="G258" s="357">
        <f ca="1">IF(ISERROR(OFFSET('HARGA SATUAN'!$I$6,MATCH(RAB!C258,'HARGA SATUAN'!$C$7:$C$1492,0),0)),0,OFFSET('HARGA SATUAN'!$I$6,MATCH(RAB!C258,'HARGA SATUAN'!$C$7:$C$1492,0),0))</f>
        <v>11400</v>
      </c>
      <c r="H258" s="358">
        <f t="shared" ca="1" si="72"/>
        <v>0</v>
      </c>
      <c r="I258" s="358">
        <f t="shared" ca="1" si="73"/>
        <v>182400</v>
      </c>
      <c r="J258" s="358">
        <f t="shared" ca="1" si="74"/>
        <v>0</v>
      </c>
      <c r="K258" s="359">
        <f t="shared" ca="1" si="75"/>
        <v>182400</v>
      </c>
      <c r="L258" s="339"/>
      <c r="M258" s="339"/>
      <c r="N258" s="366"/>
      <c r="O258" s="341"/>
      <c r="P258" s="394"/>
      <c r="Q258" s="341"/>
    </row>
    <row r="259" spans="1:17" s="362" customFormat="1">
      <c r="A259" s="333"/>
      <c r="B259" s="532">
        <v>11</v>
      </c>
      <c r="C259" s="535" t="s">
        <v>37</v>
      </c>
      <c r="D259" s="355" t="str">
        <f ca="1">IF(ISERROR(OFFSET('HARGA SATUAN'!$D$6,MATCH(RAB!C259,'HARGA SATUAN'!$C$7:$C$1492,0),0)),"",OFFSET('HARGA SATUAN'!$D$6,MATCH(RAB!C259,'HARGA SATUAN'!$C$7:$C$1492,0),0))</f>
        <v>HDW</v>
      </c>
      <c r="E259" s="356" t="str">
        <f ca="1">IF(B259="+","Unit",IF(ISERROR(OFFSET('HARGA SATUAN'!$E$6,MATCH(RAB!C259,'HARGA SATUAN'!$C$7:$C$1492,0),0)),"",OFFSET('HARGA SATUAN'!$E$6,MATCH(RAB!C259,'HARGA SATUAN'!$C$7:$C$1492,0),0)))</f>
        <v>Bh</v>
      </c>
      <c r="F259" s="536">
        <f>F248*1</f>
        <v>2</v>
      </c>
      <c r="G259" s="357">
        <f ca="1">IF(ISERROR(OFFSET('HARGA SATUAN'!$I$6,MATCH(RAB!C259,'HARGA SATUAN'!$C$7:$C$1492,0),0)),0,OFFSET('HARGA SATUAN'!$I$6,MATCH(RAB!C259,'HARGA SATUAN'!$C$7:$C$1492,0),0))</f>
        <v>63500</v>
      </c>
      <c r="H259" s="358">
        <f t="shared" ca="1" si="72"/>
        <v>0</v>
      </c>
      <c r="I259" s="358">
        <f t="shared" ca="1" si="73"/>
        <v>127000</v>
      </c>
      <c r="J259" s="358">
        <f t="shared" ca="1" si="74"/>
        <v>0</v>
      </c>
      <c r="K259" s="359">
        <f t="shared" ca="1" si="75"/>
        <v>127000</v>
      </c>
      <c r="L259" s="339"/>
      <c r="M259" s="339"/>
      <c r="N259" s="366"/>
      <c r="O259" s="341"/>
      <c r="P259" s="394"/>
      <c r="Q259" s="341"/>
    </row>
    <row r="260" spans="1:17" s="362" customFormat="1">
      <c r="A260" s="333"/>
      <c r="B260" s="532">
        <v>12</v>
      </c>
      <c r="C260" s="498" t="s">
        <v>264</v>
      </c>
      <c r="D260" s="355" t="str">
        <f ca="1">IF(ISERROR(OFFSET('HARGA SATUAN'!$D$6,MATCH(RAB!C260,'HARGA SATUAN'!$C$7:$C$1492,0),0)),"",OFFSET('HARGA SATUAN'!$D$6,MATCH(RAB!C260,'HARGA SATUAN'!$C$7:$C$1492,0),0))</f>
        <v>HDW</v>
      </c>
      <c r="E260" s="356" t="str">
        <f ca="1">IF(B260="+","Unit",IF(ISERROR(OFFSET('HARGA SATUAN'!$E$6,MATCH(RAB!C260,'HARGA SATUAN'!$C$7:$C$1492,0),0)),"",OFFSET('HARGA SATUAN'!$E$6,MATCH(RAB!C260,'HARGA SATUAN'!$C$7:$C$1492,0),0)))</f>
        <v>Bh</v>
      </c>
      <c r="F260" s="536">
        <f>F248*1</f>
        <v>2</v>
      </c>
      <c r="G260" s="357">
        <f ca="1">IF(ISERROR(OFFSET('HARGA SATUAN'!$I$6,MATCH(RAB!C260,'HARGA SATUAN'!$C$7:$C$1492,0),0)),0,OFFSET('HARGA SATUAN'!$I$6,MATCH(RAB!C260,'HARGA SATUAN'!$C$7:$C$1492,0),0))</f>
        <v>28000</v>
      </c>
      <c r="H260" s="358">
        <f t="shared" ca="1" si="72"/>
        <v>0</v>
      </c>
      <c r="I260" s="358">
        <f t="shared" ca="1" si="73"/>
        <v>56000</v>
      </c>
      <c r="J260" s="358">
        <f t="shared" ca="1" si="74"/>
        <v>0</v>
      </c>
      <c r="K260" s="359">
        <f t="shared" ca="1" si="75"/>
        <v>56000</v>
      </c>
      <c r="L260" s="339"/>
      <c r="M260" s="339"/>
      <c r="N260" s="366"/>
      <c r="O260" s="341"/>
      <c r="P260" s="394"/>
      <c r="Q260" s="341"/>
    </row>
    <row r="261" spans="1:17" s="362" customFormat="1">
      <c r="A261" s="333"/>
      <c r="B261" s="532">
        <v>13</v>
      </c>
      <c r="C261" s="498" t="s">
        <v>38</v>
      </c>
      <c r="D261" s="355" t="str">
        <f ca="1">IF(ISERROR(OFFSET('HARGA SATUAN'!$D$6,MATCH(RAB!C261,'HARGA SATUAN'!$C$7:$C$1492,0),0)),"",OFFSET('HARGA SATUAN'!$D$6,MATCH(RAB!C261,'HARGA SATUAN'!$C$7:$C$1492,0),0))</f>
        <v>HDW</v>
      </c>
      <c r="E261" s="356" t="str">
        <f ca="1">IF(B261="+","Unit",IF(ISERROR(OFFSET('HARGA SATUAN'!$E$6,MATCH(RAB!C261,'HARGA SATUAN'!$C$7:$C$1492,0),0)),"",OFFSET('HARGA SATUAN'!$E$6,MATCH(RAB!C261,'HARGA SATUAN'!$C$7:$C$1492,0),0)))</f>
        <v>Mtr</v>
      </c>
      <c r="F261" s="536">
        <f>11.6*F248</f>
        <v>23.2</v>
      </c>
      <c r="G261" s="357">
        <f ca="1">IF(ISERROR(OFFSET('HARGA SATUAN'!$I$6,MATCH(RAB!C261,'HARGA SATUAN'!$C$7:$C$1492,0),0)),0,OFFSET('HARGA SATUAN'!$I$6,MATCH(RAB!C261,'HARGA SATUAN'!$C$7:$C$1492,0),0))</f>
        <v>8550</v>
      </c>
      <c r="H261" s="358">
        <f t="shared" ca="1" si="72"/>
        <v>0</v>
      </c>
      <c r="I261" s="358">
        <f t="shared" ca="1" si="73"/>
        <v>198360</v>
      </c>
      <c r="J261" s="358">
        <f t="shared" ca="1" si="74"/>
        <v>0</v>
      </c>
      <c r="K261" s="359">
        <f t="shared" ca="1" si="75"/>
        <v>198360</v>
      </c>
      <c r="L261" s="339"/>
      <c r="M261" s="339"/>
      <c r="N261" s="366"/>
      <c r="O261" s="341"/>
      <c r="P261" s="394"/>
      <c r="Q261" s="341"/>
    </row>
    <row r="262" spans="1:17" s="362" customFormat="1">
      <c r="A262" s="333"/>
      <c r="B262" s="532">
        <v>14</v>
      </c>
      <c r="C262" s="498" t="s">
        <v>26</v>
      </c>
      <c r="D262" s="355" t="str">
        <f ca="1">IF(ISERROR(OFFSET('HARGA SATUAN'!$D$6,MATCH(RAB!C262,'HARGA SATUAN'!$C$7:$C$1492,0),0)),"",OFFSET('HARGA SATUAN'!$D$6,MATCH(RAB!C262,'HARGA SATUAN'!$C$7:$C$1492,0),0))</f>
        <v>HDW</v>
      </c>
      <c r="E262" s="356" t="str">
        <f ca="1">IF(B262="+","Unit",IF(ISERROR(OFFSET('HARGA SATUAN'!$E$6,MATCH(RAB!C262,'HARGA SATUAN'!$C$7:$C$1492,0),0)),"",OFFSET('HARGA SATUAN'!$E$6,MATCH(RAB!C262,'HARGA SATUAN'!$C$7:$C$1492,0),0)))</f>
        <v>Bh</v>
      </c>
      <c r="F262" s="536">
        <f>F248*13</f>
        <v>26</v>
      </c>
      <c r="G262" s="357">
        <f ca="1">IF(ISERROR(OFFSET('HARGA SATUAN'!$I$6,MATCH(RAB!C262,'HARGA SATUAN'!$C$7:$C$1492,0),0)),0,OFFSET('HARGA SATUAN'!$I$6,MATCH(RAB!C262,'HARGA SATUAN'!$C$7:$C$1492,0),0))</f>
        <v>2500</v>
      </c>
      <c r="H262" s="358">
        <f t="shared" ca="1" si="72"/>
        <v>0</v>
      </c>
      <c r="I262" s="358">
        <f t="shared" ca="1" si="73"/>
        <v>65000</v>
      </c>
      <c r="J262" s="358">
        <f t="shared" ca="1" si="74"/>
        <v>0</v>
      </c>
      <c r="K262" s="359">
        <f t="shared" ca="1" si="75"/>
        <v>65000</v>
      </c>
      <c r="L262" s="339"/>
      <c r="M262" s="339"/>
      <c r="N262" s="366"/>
      <c r="O262" s="341"/>
      <c r="P262" s="394"/>
      <c r="Q262" s="341"/>
    </row>
    <row r="263" spans="1:17" s="362" customFormat="1">
      <c r="A263" s="333"/>
      <c r="B263" s="532">
        <v>15</v>
      </c>
      <c r="C263" s="533" t="s">
        <v>693</v>
      </c>
      <c r="D263" s="355" t="str">
        <f ca="1">IF(ISERROR(OFFSET('HARGA SATUAN'!$D$6,MATCH(RAB!C263,'HARGA SATUAN'!$C$7:$C$1492,0),0)),"",OFFSET('HARGA SATUAN'!$D$6,MATCH(RAB!C263,'HARGA SATUAN'!$C$7:$C$1492,0),0))</f>
        <v>JASA</v>
      </c>
      <c r="E263" s="356" t="str">
        <f ca="1">IF(B263="+","Unit",IF(ISERROR(OFFSET('HARGA SATUAN'!$E$6,MATCH(RAB!C263,'HARGA SATUAN'!$C$7:$C$1492,0),0)),"",OFFSET('HARGA SATUAN'!$E$6,MATCH(RAB!C263,'HARGA SATUAN'!$C$7:$C$1492,0),0)))</f>
        <v>Unit</v>
      </c>
      <c r="F263" s="536">
        <f>F248*1</f>
        <v>2</v>
      </c>
      <c r="G263" s="357">
        <f ca="1">IF(ISERROR(OFFSET('HARGA SATUAN'!$I$6,MATCH(RAB!C263,'HARGA SATUAN'!$C$7:$C$1492,0),0)),0,OFFSET('HARGA SATUAN'!$I$6,MATCH(RAB!C263,'HARGA SATUAN'!$C$7:$C$1492,0),0))</f>
        <v>132200</v>
      </c>
      <c r="H263" s="358">
        <f t="shared" ca="1" si="72"/>
        <v>0</v>
      </c>
      <c r="I263" s="358">
        <f t="shared" ca="1" si="73"/>
        <v>0</v>
      </c>
      <c r="J263" s="358">
        <f t="shared" ca="1" si="74"/>
        <v>264400</v>
      </c>
      <c r="K263" s="359">
        <f t="shared" ca="1" si="75"/>
        <v>264400</v>
      </c>
      <c r="L263" s="339"/>
      <c r="M263" s="339"/>
      <c r="N263" s="366"/>
      <c r="O263" s="341"/>
      <c r="P263" s="394"/>
      <c r="Q263" s="341"/>
    </row>
    <row r="264" spans="1:17" s="362" customFormat="1">
      <c r="A264" s="333"/>
      <c r="B264" s="509"/>
      <c r="C264" s="510"/>
      <c r="D264" s="355" t="str">
        <f ca="1">IF(ISERROR(OFFSET('HARGA SATUAN'!$D$6,MATCH(RAB!C264,'HARGA SATUAN'!$C$7:$C$1492,0),0)),"",OFFSET('HARGA SATUAN'!$D$6,MATCH(RAB!C264,'HARGA SATUAN'!$C$7:$C$1492,0),0))</f>
        <v/>
      </c>
      <c r="E264" s="356" t="str">
        <f ca="1">IF(B264="+","Unit",IF(ISERROR(OFFSET('HARGA SATUAN'!$E$6,MATCH(RAB!C264,'HARGA SATUAN'!$C$7:$C$1492,0),0)),"",OFFSET('HARGA SATUAN'!$E$6,MATCH(RAB!C264,'HARGA SATUAN'!$C$7:$C$1492,0),0)))</f>
        <v/>
      </c>
      <c r="F264" s="515"/>
      <c r="G264" s="357">
        <f ca="1">IF(ISERROR(OFFSET('HARGA SATUAN'!$I$6,MATCH(RAB!C264,'HARGA SATUAN'!$C$7:$C$1492,0),0)),0,OFFSET('HARGA SATUAN'!$I$6,MATCH(RAB!C264,'HARGA SATUAN'!$C$7:$C$1492,0),0))</f>
        <v>0</v>
      </c>
      <c r="H264" s="358">
        <f t="shared" ca="1" si="72"/>
        <v>0</v>
      </c>
      <c r="I264" s="358">
        <f t="shared" ca="1" si="73"/>
        <v>0</v>
      </c>
      <c r="J264" s="358">
        <f t="shared" ca="1" si="74"/>
        <v>0</v>
      </c>
      <c r="K264" s="359">
        <f t="shared" ca="1" si="75"/>
        <v>0</v>
      </c>
      <c r="L264" s="339"/>
      <c r="M264" s="339"/>
      <c r="N264" s="366"/>
      <c r="O264" s="341"/>
      <c r="P264" s="394"/>
      <c r="Q264" s="341"/>
    </row>
    <row r="265" spans="1:17" s="362" customFormat="1">
      <c r="A265" s="333"/>
      <c r="B265" s="532" t="s">
        <v>1035</v>
      </c>
      <c r="C265" s="533" t="s">
        <v>1639</v>
      </c>
      <c r="D265" s="355" t="str">
        <f ca="1">IF(ISERROR(OFFSET('HARGA SATUAN'!$D$6,MATCH(RAB!C265,'HARGA SATUAN'!$C$7:$C$1492,0),0)),"",OFFSET('HARGA SATUAN'!$D$6,MATCH(RAB!C265,'HARGA SATUAN'!$C$7:$C$1492,0),0))</f>
        <v/>
      </c>
      <c r="E265" s="356" t="str">
        <f ca="1">IF(B265="+","Unit",IF(ISERROR(OFFSET('HARGA SATUAN'!$E$6,MATCH(RAB!C265,'HARGA SATUAN'!$C$7:$C$1492,0),0)),"",OFFSET('HARGA SATUAN'!$E$6,MATCH(RAB!C265,'HARGA SATUAN'!$C$7:$C$1492,0),0)))</f>
        <v>Unit</v>
      </c>
      <c r="F265" s="494">
        <v>1</v>
      </c>
      <c r="G265" s="357">
        <f ca="1">IF(ISERROR(OFFSET('HARGA SATUAN'!$I$6,MATCH(RAB!C265,'HARGA SATUAN'!$C$7:$C$1492,0),0)),0,OFFSET('HARGA SATUAN'!$I$6,MATCH(RAB!C265,'HARGA SATUAN'!$C$7:$C$1492,0),0))</f>
        <v>0</v>
      </c>
      <c r="H265" s="358">
        <f t="shared" ca="1" si="68"/>
        <v>0</v>
      </c>
      <c r="I265" s="358">
        <f t="shared" ca="1" si="69"/>
        <v>0</v>
      </c>
      <c r="J265" s="358">
        <f t="shared" ca="1" si="70"/>
        <v>0</v>
      </c>
      <c r="K265" s="359">
        <f t="shared" ca="1" si="71"/>
        <v>0</v>
      </c>
      <c r="L265" s="339"/>
      <c r="M265" s="339"/>
      <c r="N265" s="366"/>
      <c r="O265" s="341"/>
      <c r="P265" s="394"/>
      <c r="Q265" s="341"/>
    </row>
    <row r="266" spans="1:17" s="362" customFormat="1">
      <c r="A266" s="333"/>
      <c r="B266" s="532">
        <v>1</v>
      </c>
      <c r="C266" s="109" t="s">
        <v>1129</v>
      </c>
      <c r="D266" s="355" t="str">
        <f ca="1">IF(ISERROR(OFFSET('HARGA SATUAN'!$D$6,MATCH(RAB!C266,'HARGA SATUAN'!$C$7:$C$1492,0),0)),"",OFFSET('HARGA SATUAN'!$D$6,MATCH(RAB!C266,'HARGA SATUAN'!$C$7:$C$1492,0),0))</f>
        <v>MDU-KD</v>
      </c>
      <c r="E266" s="356" t="str">
        <f ca="1">IF(B266="+","Unit",IF(ISERROR(OFFSET('HARGA SATUAN'!$E$6,MATCH(RAB!C266,'HARGA SATUAN'!$C$7:$C$1492,0),0)),"",OFFSET('HARGA SATUAN'!$E$6,MATCH(RAB!C266,'HARGA SATUAN'!$C$7:$C$1492,0),0)))</f>
        <v>Bh</v>
      </c>
      <c r="F266" s="494">
        <f>F265*1</f>
        <v>1</v>
      </c>
      <c r="G266" s="357">
        <f ca="1">IF(ISERROR(OFFSET('HARGA SATUAN'!$I$6,MATCH(RAB!C266,'HARGA SATUAN'!$C$7:$C$1492,0),0)),0,OFFSET('HARGA SATUAN'!$I$6,MATCH(RAB!C266,'HARGA SATUAN'!$C$7:$C$1492,0),0))</f>
        <v>176900</v>
      </c>
      <c r="H266" s="358">
        <f t="shared" ca="1" si="68"/>
        <v>176900</v>
      </c>
      <c r="I266" s="358">
        <f t="shared" ca="1" si="69"/>
        <v>0</v>
      </c>
      <c r="J266" s="358">
        <f t="shared" ca="1" si="70"/>
        <v>0</v>
      </c>
      <c r="K266" s="359">
        <f t="shared" ca="1" si="71"/>
        <v>176900</v>
      </c>
      <c r="L266" s="339"/>
      <c r="M266" s="339"/>
      <c r="N266" s="366"/>
      <c r="O266" s="341"/>
      <c r="P266" s="394"/>
      <c r="Q266" s="341"/>
    </row>
    <row r="267" spans="1:17" s="362" customFormat="1">
      <c r="A267" s="333"/>
      <c r="B267" s="532">
        <v>2</v>
      </c>
      <c r="C267" s="109" t="s">
        <v>1129</v>
      </c>
      <c r="D267" s="355" t="str">
        <f ca="1">IF(ISERROR(OFFSET('HARGA SATUAN'!$D$6,MATCH(RAB!C267,'HARGA SATUAN'!$C$7:$C$1492,0),0)),"",OFFSET('HARGA SATUAN'!$D$6,MATCH(RAB!C267,'HARGA SATUAN'!$C$7:$C$1492,0),0))</f>
        <v>MDU-KD</v>
      </c>
      <c r="E267" s="356" t="str">
        <f ca="1">IF(B267="+","Unit",IF(ISERROR(OFFSET('HARGA SATUAN'!$E$6,MATCH(RAB!C267,'HARGA SATUAN'!$C$7:$C$1492,0),0)),"",OFFSET('HARGA SATUAN'!$E$6,MATCH(RAB!C267,'HARGA SATUAN'!$C$7:$C$1492,0),0)))</f>
        <v>Bh</v>
      </c>
      <c r="F267" s="494">
        <f>F265*2</f>
        <v>2</v>
      </c>
      <c r="G267" s="357">
        <f ca="1">IF(ISERROR(OFFSET('HARGA SATUAN'!$I$6,MATCH(RAB!C267,'HARGA SATUAN'!$C$7:$C$1492,0),0)),0,OFFSET('HARGA SATUAN'!$I$6,MATCH(RAB!C267,'HARGA SATUAN'!$C$7:$C$1492,0),0))</f>
        <v>176900</v>
      </c>
      <c r="H267" s="358">
        <f t="shared" ca="1" si="68"/>
        <v>353800</v>
      </c>
      <c r="I267" s="358">
        <f t="shared" ca="1" si="69"/>
        <v>0</v>
      </c>
      <c r="J267" s="358">
        <f t="shared" ca="1" si="70"/>
        <v>0</v>
      </c>
      <c r="K267" s="359">
        <f t="shared" ca="1" si="71"/>
        <v>353800</v>
      </c>
      <c r="L267" s="339"/>
      <c r="M267" s="339"/>
      <c r="N267" s="366"/>
      <c r="O267" s="341"/>
      <c r="P267" s="394"/>
      <c r="Q267" s="341"/>
    </row>
    <row r="268" spans="1:17" s="362" customFormat="1">
      <c r="A268" s="333"/>
      <c r="B268" s="532">
        <v>3</v>
      </c>
      <c r="C268" s="507" t="s">
        <v>1566</v>
      </c>
      <c r="D268" s="355" t="str">
        <f ca="1">IF(ISERROR(OFFSET('HARGA SATUAN'!$D$6,MATCH(RAB!C268,'HARGA SATUAN'!$C$7:$C$1492,0),0)),"",OFFSET('HARGA SATUAN'!$D$6,MATCH(RAB!C268,'HARGA SATUAN'!$C$7:$C$1492,0),0))</f>
        <v>MDU-KD</v>
      </c>
      <c r="E268" s="356" t="str">
        <f ca="1">IF(B268="+","Unit",IF(ISERROR(OFFSET('HARGA SATUAN'!$E$6,MATCH(RAB!C268,'HARGA SATUAN'!$C$7:$C$1492,0),0)),"",OFFSET('HARGA SATUAN'!$E$6,MATCH(RAB!C268,'HARGA SATUAN'!$C$7:$C$1492,0),0)))</f>
        <v>Set</v>
      </c>
      <c r="F268" s="536">
        <f>F265*6</f>
        <v>6</v>
      </c>
      <c r="G268" s="357">
        <f ca="1">IF(ISERROR(OFFSET('HARGA SATUAN'!$I$6,MATCH(RAB!C268,'HARGA SATUAN'!$C$7:$C$1492,0),0)),0,OFFSET('HARGA SATUAN'!$I$6,MATCH(RAB!C268,'HARGA SATUAN'!$C$7:$C$1492,0),0))</f>
        <v>205700</v>
      </c>
      <c r="H268" s="358">
        <f t="shared" ca="1" si="68"/>
        <v>1234200</v>
      </c>
      <c r="I268" s="358">
        <f t="shared" ca="1" si="69"/>
        <v>0</v>
      </c>
      <c r="J268" s="358">
        <f t="shared" ca="1" si="70"/>
        <v>0</v>
      </c>
      <c r="K268" s="359">
        <f t="shared" ca="1" si="71"/>
        <v>1234200</v>
      </c>
      <c r="L268" s="339"/>
      <c r="M268" s="339"/>
      <c r="N268" s="366"/>
      <c r="O268" s="341"/>
      <c r="P268" s="394"/>
      <c r="Q268" s="341"/>
    </row>
    <row r="269" spans="1:17" s="362" customFormat="1">
      <c r="A269" s="333"/>
      <c r="B269" s="532">
        <v>4</v>
      </c>
      <c r="C269" s="533" t="s">
        <v>152</v>
      </c>
      <c r="D269" s="355" t="str">
        <f ca="1">IF(ISERROR(OFFSET('HARGA SATUAN'!$D$6,MATCH(RAB!C269,'HARGA SATUAN'!$C$7:$C$1492,0),0)),"",OFFSET('HARGA SATUAN'!$D$6,MATCH(RAB!C269,'HARGA SATUAN'!$C$7:$C$1492,0),0))</f>
        <v>HDW</v>
      </c>
      <c r="E269" s="356" t="str">
        <f ca="1">IF(B269="+","Unit",IF(ISERROR(OFFSET('HARGA SATUAN'!$E$6,MATCH(RAB!C269,'HARGA SATUAN'!$C$7:$C$1492,0),0)),"",OFFSET('HARGA SATUAN'!$E$6,MATCH(RAB!C269,'HARGA SATUAN'!$C$7:$C$1492,0),0)))</f>
        <v>Mtr</v>
      </c>
      <c r="F269" s="494">
        <f>F265*2</f>
        <v>2</v>
      </c>
      <c r="G269" s="357">
        <f ca="1">IF(ISERROR(OFFSET('HARGA SATUAN'!$I$6,MATCH(RAB!C269,'HARGA SATUAN'!$C$7:$C$1492,0),0)),0,OFFSET('HARGA SATUAN'!$I$6,MATCH(RAB!C269,'HARGA SATUAN'!$C$7:$C$1492,0),0))</f>
        <v>7789</v>
      </c>
      <c r="H269" s="358">
        <f t="shared" ca="1" si="68"/>
        <v>0</v>
      </c>
      <c r="I269" s="358">
        <f t="shared" ca="1" si="69"/>
        <v>15578</v>
      </c>
      <c r="J269" s="358">
        <f t="shared" ca="1" si="70"/>
        <v>0</v>
      </c>
      <c r="K269" s="359">
        <f t="shared" ca="1" si="71"/>
        <v>15578</v>
      </c>
      <c r="L269" s="339"/>
      <c r="M269" s="339"/>
      <c r="N269" s="366"/>
      <c r="O269" s="341"/>
      <c r="P269" s="394"/>
      <c r="Q269" s="341"/>
    </row>
    <row r="270" spans="1:17" s="362" customFormat="1">
      <c r="A270" s="333"/>
      <c r="B270" s="534">
        <v>5</v>
      </c>
      <c r="C270" s="535" t="s">
        <v>157</v>
      </c>
      <c r="D270" s="355" t="str">
        <f ca="1">IF(ISERROR(OFFSET('HARGA SATUAN'!$D$6,MATCH(RAB!C270,'HARGA SATUAN'!$C$7:$C$1492,0),0)),"",OFFSET('HARGA SATUAN'!$D$6,MATCH(RAB!C270,'HARGA SATUAN'!$C$7:$C$1492,0),0))</f>
        <v>HDW</v>
      </c>
      <c r="E270" s="356" t="str">
        <f ca="1">IF(B270="+","Unit",IF(ISERROR(OFFSET('HARGA SATUAN'!$E$6,MATCH(RAB!C270,'HARGA SATUAN'!$C$7:$C$1492,0),0)),"",OFFSET('HARGA SATUAN'!$E$6,MATCH(RAB!C270,'HARGA SATUAN'!$C$7:$C$1492,0),0)))</f>
        <v>Bh</v>
      </c>
      <c r="F270" s="537">
        <f>F265*2</f>
        <v>2</v>
      </c>
      <c r="G270" s="357">
        <f ca="1">IF(ISERROR(OFFSET('HARGA SATUAN'!$I$6,MATCH(RAB!C270,'HARGA SATUAN'!$C$7:$C$1492,0),0)),0,OFFSET('HARGA SATUAN'!$I$6,MATCH(RAB!C270,'HARGA SATUAN'!$C$7:$C$1492,0),0))</f>
        <v>40000</v>
      </c>
      <c r="H270" s="358">
        <f t="shared" ca="1" si="68"/>
        <v>0</v>
      </c>
      <c r="I270" s="358">
        <f t="shared" ca="1" si="69"/>
        <v>80000</v>
      </c>
      <c r="J270" s="358">
        <f t="shared" ca="1" si="70"/>
        <v>0</v>
      </c>
      <c r="K270" s="359">
        <f t="shared" ca="1" si="71"/>
        <v>80000</v>
      </c>
      <c r="L270" s="339"/>
      <c r="M270" s="339"/>
      <c r="N270" s="366"/>
      <c r="O270" s="341"/>
      <c r="P270" s="394"/>
      <c r="Q270" s="341"/>
    </row>
    <row r="271" spans="1:17" s="362" customFormat="1">
      <c r="A271" s="333"/>
      <c r="B271" s="534">
        <v>6</v>
      </c>
      <c r="C271" s="535" t="s">
        <v>28</v>
      </c>
      <c r="D271" s="355" t="str">
        <f ca="1">IF(ISERROR(OFFSET('HARGA SATUAN'!$D$6,MATCH(RAB!C271,'HARGA SATUAN'!$C$7:$C$1492,0),0)),"",OFFSET('HARGA SATUAN'!$D$6,MATCH(RAB!C271,'HARGA SATUAN'!$C$7:$C$1492,0),0))</f>
        <v>HDW</v>
      </c>
      <c r="E271" s="356" t="str">
        <f ca="1">IF(B271="+","Unit",IF(ISERROR(OFFSET('HARGA SATUAN'!$E$6,MATCH(RAB!C271,'HARGA SATUAN'!$C$7:$C$1492,0),0)),"",OFFSET('HARGA SATUAN'!$E$6,MATCH(RAB!C271,'HARGA SATUAN'!$C$7:$C$1492,0),0)))</f>
        <v>Bh</v>
      </c>
      <c r="F271" s="537">
        <f>F265*3</f>
        <v>3</v>
      </c>
      <c r="G271" s="357">
        <f ca="1">IF(ISERROR(OFFSET('HARGA SATUAN'!$I$6,MATCH(RAB!C271,'HARGA SATUAN'!$C$7:$C$1492,0),0)),0,OFFSET('HARGA SATUAN'!$I$6,MATCH(RAB!C271,'HARGA SATUAN'!$C$7:$C$1492,0),0))</f>
        <v>26500</v>
      </c>
      <c r="H271" s="358">
        <f t="shared" ca="1" si="68"/>
        <v>0</v>
      </c>
      <c r="I271" s="358">
        <f t="shared" ca="1" si="69"/>
        <v>79500</v>
      </c>
      <c r="J271" s="358">
        <f t="shared" ca="1" si="70"/>
        <v>0</v>
      </c>
      <c r="K271" s="359">
        <f t="shared" ca="1" si="71"/>
        <v>79500</v>
      </c>
      <c r="L271" s="339"/>
      <c r="M271" s="339"/>
      <c r="N271" s="366"/>
      <c r="O271" s="341"/>
      <c r="P271" s="394"/>
      <c r="Q271" s="341"/>
    </row>
    <row r="272" spans="1:17" s="362" customFormat="1">
      <c r="A272" s="333"/>
      <c r="B272" s="534">
        <v>7</v>
      </c>
      <c r="C272" s="535" t="s">
        <v>163</v>
      </c>
      <c r="D272" s="355" t="str">
        <f ca="1">IF(ISERROR(OFFSET('HARGA SATUAN'!$D$6,MATCH(RAB!C272,'HARGA SATUAN'!$C$7:$C$1492,0),0)),"",OFFSET('HARGA SATUAN'!$D$6,MATCH(RAB!C272,'HARGA SATUAN'!$C$7:$C$1492,0),0))</f>
        <v>HDW</v>
      </c>
      <c r="E272" s="356" t="str">
        <f ca="1">IF(B272="+","Unit",IF(ISERROR(OFFSET('HARGA SATUAN'!$E$6,MATCH(RAB!C272,'HARGA SATUAN'!$C$7:$C$1492,0),0)),"",OFFSET('HARGA SATUAN'!$E$6,MATCH(RAB!C272,'HARGA SATUAN'!$C$7:$C$1492,0),0)))</f>
        <v>Bh</v>
      </c>
      <c r="F272" s="537">
        <f>F265*4</f>
        <v>4</v>
      </c>
      <c r="G272" s="357">
        <f ca="1">IF(ISERROR(OFFSET('HARGA SATUAN'!$I$6,MATCH(RAB!C272,'HARGA SATUAN'!$C$7:$C$1492,0),0)),0,OFFSET('HARGA SATUAN'!$I$6,MATCH(RAB!C272,'HARGA SATUAN'!$C$7:$C$1492,0),0))</f>
        <v>7938</v>
      </c>
      <c r="H272" s="358">
        <f t="shared" ca="1" si="68"/>
        <v>0</v>
      </c>
      <c r="I272" s="358">
        <f t="shared" ca="1" si="69"/>
        <v>31752</v>
      </c>
      <c r="J272" s="358">
        <f t="shared" ca="1" si="70"/>
        <v>0</v>
      </c>
      <c r="K272" s="359">
        <f t="shared" ca="1" si="71"/>
        <v>31752</v>
      </c>
      <c r="L272" s="339"/>
      <c r="M272" s="339"/>
      <c r="N272" s="366"/>
      <c r="O272" s="341"/>
      <c r="P272" s="394"/>
      <c r="Q272" s="341"/>
    </row>
    <row r="273" spans="1:17" s="362" customFormat="1">
      <c r="A273" s="333"/>
      <c r="B273" s="534">
        <v>8</v>
      </c>
      <c r="C273" s="535" t="s">
        <v>173</v>
      </c>
      <c r="D273" s="355" t="str">
        <f ca="1">IF(ISERROR(OFFSET('HARGA SATUAN'!$D$6,MATCH(RAB!C273,'HARGA SATUAN'!$C$7:$C$1492,0),0)),"",OFFSET('HARGA SATUAN'!$D$6,MATCH(RAB!C273,'HARGA SATUAN'!$C$7:$C$1492,0),0))</f>
        <v>HDW</v>
      </c>
      <c r="E273" s="356" t="str">
        <f ca="1">IF(B273="+","Unit",IF(ISERROR(OFFSET('HARGA SATUAN'!$E$6,MATCH(RAB!C273,'HARGA SATUAN'!$C$7:$C$1492,0),0)),"",OFFSET('HARGA SATUAN'!$E$6,MATCH(RAB!C273,'HARGA SATUAN'!$C$7:$C$1492,0),0)))</f>
        <v>Bh</v>
      </c>
      <c r="F273" s="537">
        <f>F265*4</f>
        <v>4</v>
      </c>
      <c r="G273" s="357">
        <f ca="1">IF(ISERROR(OFFSET('HARGA SATUAN'!$I$6,MATCH(RAB!C273,'HARGA SATUAN'!$C$7:$C$1492,0),0)),0,OFFSET('HARGA SATUAN'!$I$6,MATCH(RAB!C273,'HARGA SATUAN'!$C$7:$C$1492,0),0))</f>
        <v>45000</v>
      </c>
      <c r="H273" s="358">
        <f t="shared" ca="1" si="68"/>
        <v>0</v>
      </c>
      <c r="I273" s="358">
        <f t="shared" ca="1" si="69"/>
        <v>180000</v>
      </c>
      <c r="J273" s="358">
        <f t="shared" ca="1" si="70"/>
        <v>0</v>
      </c>
      <c r="K273" s="359">
        <f t="shared" ca="1" si="71"/>
        <v>180000</v>
      </c>
      <c r="L273" s="339"/>
      <c r="M273" s="339"/>
      <c r="N273" s="366"/>
      <c r="O273" s="341"/>
      <c r="P273" s="394"/>
      <c r="Q273" s="341"/>
    </row>
    <row r="274" spans="1:17" s="362" customFormat="1">
      <c r="A274" s="333"/>
      <c r="B274" s="534">
        <v>9</v>
      </c>
      <c r="C274" s="535" t="s">
        <v>178</v>
      </c>
      <c r="D274" s="355" t="str">
        <f ca="1">IF(ISERROR(OFFSET('HARGA SATUAN'!$D$6,MATCH(RAB!C274,'HARGA SATUAN'!$C$7:$C$1492,0),0)),"",OFFSET('HARGA SATUAN'!$D$6,MATCH(RAB!C274,'HARGA SATUAN'!$C$7:$C$1492,0),0))</f>
        <v>HDW</v>
      </c>
      <c r="E274" s="356" t="str">
        <f ca="1">IF(B274="+","Unit",IF(ISERROR(OFFSET('HARGA SATUAN'!$E$6,MATCH(RAB!C274,'HARGA SATUAN'!$C$7:$C$1492,0),0)),"",OFFSET('HARGA SATUAN'!$E$6,MATCH(RAB!C274,'HARGA SATUAN'!$C$7:$C$1492,0),0)))</f>
        <v>Bh</v>
      </c>
      <c r="F274" s="537">
        <f>F265*1</f>
        <v>1</v>
      </c>
      <c r="G274" s="357">
        <f ca="1">IF(ISERROR(OFFSET('HARGA SATUAN'!$I$6,MATCH(RAB!C274,'HARGA SATUAN'!$C$7:$C$1492,0),0)),0,OFFSET('HARGA SATUAN'!$I$6,MATCH(RAB!C274,'HARGA SATUAN'!$C$7:$C$1492,0),0))</f>
        <v>95000</v>
      </c>
      <c r="H274" s="358">
        <f t="shared" ca="1" si="68"/>
        <v>0</v>
      </c>
      <c r="I274" s="358">
        <f t="shared" ca="1" si="69"/>
        <v>95000</v>
      </c>
      <c r="J274" s="358">
        <f t="shared" ca="1" si="70"/>
        <v>0</v>
      </c>
      <c r="K274" s="359">
        <f t="shared" ca="1" si="71"/>
        <v>95000</v>
      </c>
      <c r="L274" s="339"/>
      <c r="M274" s="339"/>
      <c r="N274" s="366"/>
      <c r="O274" s="341"/>
      <c r="P274" s="394"/>
      <c r="Q274" s="341"/>
    </row>
    <row r="275" spans="1:17" s="362" customFormat="1">
      <c r="A275" s="333"/>
      <c r="B275" s="534">
        <v>10</v>
      </c>
      <c r="C275" s="535" t="s">
        <v>179</v>
      </c>
      <c r="D275" s="355" t="str">
        <f ca="1">IF(ISERROR(OFFSET('HARGA SATUAN'!$D$6,MATCH(RAB!C275,'HARGA SATUAN'!$C$7:$C$1492,0),0)),"",OFFSET('HARGA SATUAN'!$D$6,MATCH(RAB!C275,'HARGA SATUAN'!$C$7:$C$1492,0),0))</f>
        <v>HDW</v>
      </c>
      <c r="E275" s="356" t="str">
        <f ca="1">IF(B275="+","Unit",IF(ISERROR(OFFSET('HARGA SATUAN'!$E$6,MATCH(RAB!C275,'HARGA SATUAN'!$C$7:$C$1492,0),0)),"",OFFSET('HARGA SATUAN'!$E$6,MATCH(RAB!C275,'HARGA SATUAN'!$C$7:$C$1492,0),0)))</f>
        <v>Bh</v>
      </c>
      <c r="F275" s="537">
        <f>F265*2</f>
        <v>2</v>
      </c>
      <c r="G275" s="357">
        <f ca="1">IF(ISERROR(OFFSET('HARGA SATUAN'!$I$6,MATCH(RAB!C275,'HARGA SATUAN'!$C$7:$C$1492,0),0)),0,OFFSET('HARGA SATUAN'!$I$6,MATCH(RAB!C275,'HARGA SATUAN'!$C$7:$C$1492,0),0))</f>
        <v>15500</v>
      </c>
      <c r="H275" s="358">
        <f t="shared" ca="1" si="68"/>
        <v>0</v>
      </c>
      <c r="I275" s="358">
        <f t="shared" ca="1" si="69"/>
        <v>31000</v>
      </c>
      <c r="J275" s="358">
        <f t="shared" ca="1" si="70"/>
        <v>0</v>
      </c>
      <c r="K275" s="359">
        <f t="shared" ca="1" si="71"/>
        <v>31000</v>
      </c>
      <c r="L275" s="339"/>
      <c r="M275" s="339"/>
      <c r="N275" s="366"/>
      <c r="O275" s="341"/>
      <c r="P275" s="394"/>
      <c r="Q275" s="341"/>
    </row>
    <row r="276" spans="1:17" s="362" customFormat="1">
      <c r="A276" s="333"/>
      <c r="B276" s="534">
        <v>11</v>
      </c>
      <c r="C276" s="535" t="s">
        <v>181</v>
      </c>
      <c r="D276" s="355" t="str">
        <f ca="1">IF(ISERROR(OFFSET('HARGA SATUAN'!$D$6,MATCH(RAB!C276,'HARGA SATUAN'!$C$7:$C$1492,0),0)),"",OFFSET('HARGA SATUAN'!$D$6,MATCH(RAB!C276,'HARGA SATUAN'!$C$7:$C$1492,0),0))</f>
        <v>HDW</v>
      </c>
      <c r="E276" s="356" t="str">
        <f ca="1">IF(B276="+","Unit",IF(ISERROR(OFFSET('HARGA SATUAN'!$E$6,MATCH(RAB!C276,'HARGA SATUAN'!$C$7:$C$1492,0),0)),"",OFFSET('HARGA SATUAN'!$E$6,MATCH(RAB!C276,'HARGA SATUAN'!$C$7:$C$1492,0),0)))</f>
        <v>Bh</v>
      </c>
      <c r="F276" s="537">
        <f>F265*4</f>
        <v>4</v>
      </c>
      <c r="G276" s="357">
        <f ca="1">IF(ISERROR(OFFSET('HARGA SATUAN'!$I$6,MATCH(RAB!C276,'HARGA SATUAN'!$C$7:$C$1492,0),0)),0,OFFSET('HARGA SATUAN'!$I$6,MATCH(RAB!C276,'HARGA SATUAN'!$C$7:$C$1492,0),0))</f>
        <v>28100</v>
      </c>
      <c r="H276" s="358">
        <f t="shared" ca="1" si="68"/>
        <v>0</v>
      </c>
      <c r="I276" s="358">
        <f t="shared" ca="1" si="69"/>
        <v>112400</v>
      </c>
      <c r="J276" s="358">
        <f t="shared" ca="1" si="70"/>
        <v>0</v>
      </c>
      <c r="K276" s="359">
        <f t="shared" ca="1" si="71"/>
        <v>112400</v>
      </c>
      <c r="L276" s="339"/>
      <c r="M276" s="339"/>
      <c r="N276" s="366"/>
      <c r="O276" s="341"/>
      <c r="P276" s="394"/>
      <c r="Q276" s="341"/>
    </row>
    <row r="277" spans="1:17" s="362" customFormat="1">
      <c r="A277" s="333"/>
      <c r="B277" s="534">
        <v>12</v>
      </c>
      <c r="C277" s="535" t="s">
        <v>593</v>
      </c>
      <c r="D277" s="355" t="str">
        <f ca="1">IF(ISERROR(OFFSET('HARGA SATUAN'!$D$6,MATCH(RAB!C277,'HARGA SATUAN'!$C$7:$C$1492,0),0)),"",OFFSET('HARGA SATUAN'!$D$6,MATCH(RAB!C277,'HARGA SATUAN'!$C$7:$C$1492,0),0))</f>
        <v>HDW</v>
      </c>
      <c r="E277" s="356" t="str">
        <f ca="1">IF(B277="+","Unit",IF(ISERROR(OFFSET('HARGA SATUAN'!$E$6,MATCH(RAB!C277,'HARGA SATUAN'!$C$7:$C$1492,0),0)),"",OFFSET('HARGA SATUAN'!$E$6,MATCH(RAB!C277,'HARGA SATUAN'!$C$7:$C$1492,0),0)))</f>
        <v>Bh</v>
      </c>
      <c r="F277" s="537">
        <f>F265*2</f>
        <v>2</v>
      </c>
      <c r="G277" s="357">
        <f ca="1">IF(ISERROR(OFFSET('HARGA SATUAN'!$I$6,MATCH(RAB!C277,'HARGA SATUAN'!$C$7:$C$1492,0),0)),0,OFFSET('HARGA SATUAN'!$I$6,MATCH(RAB!C277,'HARGA SATUAN'!$C$7:$C$1492,0),0))</f>
        <v>380500</v>
      </c>
      <c r="H277" s="358">
        <f t="shared" ca="1" si="68"/>
        <v>0</v>
      </c>
      <c r="I277" s="358">
        <f t="shared" ca="1" si="69"/>
        <v>761000</v>
      </c>
      <c r="J277" s="358">
        <f t="shared" ca="1" si="70"/>
        <v>0</v>
      </c>
      <c r="K277" s="359">
        <f t="shared" ca="1" si="71"/>
        <v>761000</v>
      </c>
      <c r="L277" s="339"/>
      <c r="M277" s="339"/>
      <c r="N277" s="366"/>
      <c r="O277" s="341"/>
      <c r="P277" s="394"/>
      <c r="Q277" s="341"/>
    </row>
    <row r="278" spans="1:17" s="362" customFormat="1">
      <c r="A278" s="333"/>
      <c r="B278" s="534">
        <v>13</v>
      </c>
      <c r="C278" s="535" t="s">
        <v>217</v>
      </c>
      <c r="D278" s="355" t="str">
        <f ca="1">IF(ISERROR(OFFSET('HARGA SATUAN'!$D$6,MATCH(RAB!C278,'HARGA SATUAN'!$C$7:$C$1492,0),0)),"",OFFSET('HARGA SATUAN'!$D$6,MATCH(RAB!C278,'HARGA SATUAN'!$C$7:$C$1492,0),0))</f>
        <v>HDW</v>
      </c>
      <c r="E278" s="356" t="str">
        <f ca="1">IF(B278="+","Unit",IF(ISERROR(OFFSET('HARGA SATUAN'!$E$6,MATCH(RAB!C278,'HARGA SATUAN'!$C$7:$C$1492,0),0)),"",OFFSET('HARGA SATUAN'!$E$6,MATCH(RAB!C278,'HARGA SATUAN'!$C$7:$C$1492,0),0)))</f>
        <v>Bh</v>
      </c>
      <c r="F278" s="537">
        <f>F265*3</f>
        <v>3</v>
      </c>
      <c r="G278" s="357">
        <f ca="1">IF(ISERROR(OFFSET('HARGA SATUAN'!$I$6,MATCH(RAB!C278,'HARGA SATUAN'!$C$7:$C$1492,0),0)),0,OFFSET('HARGA SATUAN'!$I$6,MATCH(RAB!C278,'HARGA SATUAN'!$C$7:$C$1492,0),0))</f>
        <v>11400</v>
      </c>
      <c r="H278" s="358">
        <f t="shared" ca="1" si="68"/>
        <v>0</v>
      </c>
      <c r="I278" s="358">
        <f t="shared" ca="1" si="69"/>
        <v>34200</v>
      </c>
      <c r="J278" s="358">
        <f t="shared" ca="1" si="70"/>
        <v>0</v>
      </c>
      <c r="K278" s="359">
        <f t="shared" ca="1" si="71"/>
        <v>34200</v>
      </c>
      <c r="L278" s="339"/>
      <c r="M278" s="339"/>
      <c r="N278" s="366"/>
      <c r="O278" s="341"/>
      <c r="P278" s="394"/>
      <c r="Q278" s="341"/>
    </row>
    <row r="279" spans="1:17" s="362" customFormat="1">
      <c r="A279" s="333"/>
      <c r="B279" s="534">
        <v>14</v>
      </c>
      <c r="C279" s="535" t="s">
        <v>218</v>
      </c>
      <c r="D279" s="355" t="str">
        <f ca="1">IF(ISERROR(OFFSET('HARGA SATUAN'!$D$6,MATCH(RAB!C279,'HARGA SATUAN'!$C$7:$C$1492,0),0)),"",OFFSET('HARGA SATUAN'!$D$6,MATCH(RAB!C279,'HARGA SATUAN'!$C$7:$C$1492,0),0))</f>
        <v>HDW</v>
      </c>
      <c r="E279" s="356" t="str">
        <f ca="1">IF(B279="+","Unit",IF(ISERROR(OFFSET('HARGA SATUAN'!$E$6,MATCH(RAB!C279,'HARGA SATUAN'!$C$7:$C$1492,0),0)),"",OFFSET('HARGA SATUAN'!$E$6,MATCH(RAB!C279,'HARGA SATUAN'!$C$7:$C$1492,0),0)))</f>
        <v>Bh</v>
      </c>
      <c r="F279" s="537">
        <f>F265*4</f>
        <v>4</v>
      </c>
      <c r="G279" s="357">
        <f ca="1">IF(ISERROR(OFFSET('HARGA SATUAN'!$I$6,MATCH(RAB!C279,'HARGA SATUAN'!$C$7:$C$1492,0),0)),0,OFFSET('HARGA SATUAN'!$I$6,MATCH(RAB!C279,'HARGA SATUAN'!$C$7:$C$1492,0),0))</f>
        <v>29600</v>
      </c>
      <c r="H279" s="358">
        <f t="shared" ca="1" si="68"/>
        <v>0</v>
      </c>
      <c r="I279" s="358">
        <f t="shared" ca="1" si="69"/>
        <v>118400</v>
      </c>
      <c r="J279" s="358">
        <f t="shared" ca="1" si="70"/>
        <v>0</v>
      </c>
      <c r="K279" s="359">
        <f t="shared" ca="1" si="71"/>
        <v>118400</v>
      </c>
      <c r="L279" s="339"/>
      <c r="M279" s="339"/>
      <c r="N279" s="366"/>
      <c r="O279" s="341"/>
      <c r="P279" s="394"/>
      <c r="Q279" s="341"/>
    </row>
    <row r="280" spans="1:17" s="362" customFormat="1">
      <c r="A280" s="333"/>
      <c r="B280" s="534">
        <v>15</v>
      </c>
      <c r="C280" s="535" t="s">
        <v>223</v>
      </c>
      <c r="D280" s="355" t="str">
        <f ca="1">IF(ISERROR(OFFSET('HARGA SATUAN'!$D$6,MATCH(RAB!C280,'HARGA SATUAN'!$C$7:$C$1492,0),0)),"",OFFSET('HARGA SATUAN'!$D$6,MATCH(RAB!C280,'HARGA SATUAN'!$C$7:$C$1492,0),0))</f>
        <v>HDW</v>
      </c>
      <c r="E280" s="356" t="str">
        <f ca="1">IF(B280="+","Unit",IF(ISERROR(OFFSET('HARGA SATUAN'!$E$6,MATCH(RAB!C280,'HARGA SATUAN'!$C$7:$C$1492,0),0)),"",OFFSET('HARGA SATUAN'!$E$6,MATCH(RAB!C280,'HARGA SATUAN'!$C$7:$C$1492,0),0)))</f>
        <v>Bh</v>
      </c>
      <c r="F280" s="537">
        <f>F265*3</f>
        <v>3</v>
      </c>
      <c r="G280" s="357">
        <f ca="1">IF(ISERROR(OFFSET('HARGA SATUAN'!$I$6,MATCH(RAB!C280,'HARGA SATUAN'!$C$7:$C$1492,0),0)),0,OFFSET('HARGA SATUAN'!$I$6,MATCH(RAB!C280,'HARGA SATUAN'!$C$7:$C$1492,0),0))</f>
        <v>27815</v>
      </c>
      <c r="H280" s="358">
        <f t="shared" ca="1" si="68"/>
        <v>0</v>
      </c>
      <c r="I280" s="358">
        <f t="shared" ca="1" si="69"/>
        <v>83445</v>
      </c>
      <c r="J280" s="358">
        <f t="shared" ca="1" si="70"/>
        <v>0</v>
      </c>
      <c r="K280" s="359">
        <f t="shared" ca="1" si="71"/>
        <v>83445</v>
      </c>
      <c r="L280" s="339"/>
      <c r="M280" s="339"/>
      <c r="N280" s="366"/>
      <c r="O280" s="341"/>
      <c r="P280" s="394"/>
      <c r="Q280" s="341"/>
    </row>
    <row r="281" spans="1:17" s="362" customFormat="1">
      <c r="A281" s="333"/>
      <c r="B281" s="534">
        <v>16</v>
      </c>
      <c r="C281" s="535" t="s">
        <v>25</v>
      </c>
      <c r="D281" s="355" t="str">
        <f ca="1">IF(ISERROR(OFFSET('HARGA SATUAN'!$D$6,MATCH(RAB!C281,'HARGA SATUAN'!$C$7:$C$1492,0),0)),"",OFFSET('HARGA SATUAN'!$D$6,MATCH(RAB!C281,'HARGA SATUAN'!$C$7:$C$1492,0),0))</f>
        <v>HDW</v>
      </c>
      <c r="E281" s="356" t="str">
        <f ca="1">IF(B281="+","Unit",IF(ISERROR(OFFSET('HARGA SATUAN'!$E$6,MATCH(RAB!C281,'HARGA SATUAN'!$C$7:$C$1492,0),0)),"",OFFSET('HARGA SATUAN'!$E$6,MATCH(RAB!C281,'HARGA SATUAN'!$C$7:$C$1492,0),0)))</f>
        <v>Bh</v>
      </c>
      <c r="F281" s="537">
        <f>F265*9</f>
        <v>9</v>
      </c>
      <c r="G281" s="357">
        <f ca="1">IF(ISERROR(OFFSET('HARGA SATUAN'!$I$6,MATCH(RAB!C281,'HARGA SATUAN'!$C$7:$C$1492,0),0)),0,OFFSET('HARGA SATUAN'!$I$6,MATCH(RAB!C281,'HARGA SATUAN'!$C$7:$C$1492,0),0))</f>
        <v>23936</v>
      </c>
      <c r="H281" s="358">
        <f t="shared" ref="H281:H302" ca="1" si="76">IF(OR(D281="MDU",D281="MDU-KD"),(IF($O$3="RAB NON MDU","PLN KD",G281*F281)),0)</f>
        <v>0</v>
      </c>
      <c r="I281" s="358">
        <f t="shared" ref="I281:I302" ca="1" si="77">IF(D281="HDW",G281*F281,0)</f>
        <v>215424</v>
      </c>
      <c r="J281" s="358">
        <f t="shared" ref="J281:J302" ca="1" si="78">IF(D281="JASA",G281*F281,0)</f>
        <v>0</v>
      </c>
      <c r="K281" s="359">
        <f t="shared" ref="K281:K302" ca="1" si="79">SUM(H281:J281)</f>
        <v>215424</v>
      </c>
      <c r="L281" s="339"/>
      <c r="M281" s="339"/>
      <c r="N281" s="366"/>
      <c r="O281" s="341"/>
      <c r="P281" s="394"/>
      <c r="Q281" s="341"/>
    </row>
    <row r="282" spans="1:17" s="362" customFormat="1">
      <c r="A282" s="333"/>
      <c r="B282" s="534">
        <v>17</v>
      </c>
      <c r="C282" s="535" t="s">
        <v>37</v>
      </c>
      <c r="D282" s="355" t="str">
        <f ca="1">IF(ISERROR(OFFSET('HARGA SATUAN'!$D$6,MATCH(RAB!C282,'HARGA SATUAN'!$C$7:$C$1492,0),0)),"",OFFSET('HARGA SATUAN'!$D$6,MATCH(RAB!C282,'HARGA SATUAN'!$C$7:$C$1492,0),0))</f>
        <v>HDW</v>
      </c>
      <c r="E282" s="356" t="str">
        <f ca="1">IF(B282="+","Unit",IF(ISERROR(OFFSET('HARGA SATUAN'!$E$6,MATCH(RAB!C282,'HARGA SATUAN'!$C$7:$C$1492,0),0)),"",OFFSET('HARGA SATUAN'!$E$6,MATCH(RAB!C282,'HARGA SATUAN'!$C$7:$C$1492,0),0)))</f>
        <v>Bh</v>
      </c>
      <c r="F282" s="537">
        <f>F265*1</f>
        <v>1</v>
      </c>
      <c r="G282" s="357">
        <f ca="1">IF(ISERROR(OFFSET('HARGA SATUAN'!$I$6,MATCH(RAB!C282,'HARGA SATUAN'!$C$7:$C$1492,0),0)),0,OFFSET('HARGA SATUAN'!$I$6,MATCH(RAB!C282,'HARGA SATUAN'!$C$7:$C$1492,0),0))</f>
        <v>63500</v>
      </c>
      <c r="H282" s="358">
        <f t="shared" ca="1" si="76"/>
        <v>0</v>
      </c>
      <c r="I282" s="358">
        <f t="shared" ca="1" si="77"/>
        <v>63500</v>
      </c>
      <c r="J282" s="358">
        <f t="shared" ca="1" si="78"/>
        <v>0</v>
      </c>
      <c r="K282" s="359">
        <f t="shared" ca="1" si="79"/>
        <v>63500</v>
      </c>
      <c r="L282" s="339"/>
      <c r="M282" s="339"/>
      <c r="N282" s="366"/>
      <c r="O282" s="341"/>
      <c r="P282" s="394"/>
      <c r="Q282" s="341"/>
    </row>
    <row r="283" spans="1:17" s="362" customFormat="1">
      <c r="A283" s="333"/>
      <c r="B283" s="534">
        <v>18</v>
      </c>
      <c r="C283" s="535" t="s">
        <v>27</v>
      </c>
      <c r="D283" s="355" t="str">
        <f ca="1">IF(ISERROR(OFFSET('HARGA SATUAN'!$D$6,MATCH(RAB!C283,'HARGA SATUAN'!$C$7:$C$1492,0),0)),"",OFFSET('HARGA SATUAN'!$D$6,MATCH(RAB!C283,'HARGA SATUAN'!$C$7:$C$1492,0),0))</f>
        <v>HDW</v>
      </c>
      <c r="E283" s="356" t="str">
        <f ca="1">IF(B283="+","Unit",IF(ISERROR(OFFSET('HARGA SATUAN'!$E$6,MATCH(RAB!C283,'HARGA SATUAN'!$C$7:$C$1492,0),0)),"",OFFSET('HARGA SATUAN'!$E$6,MATCH(RAB!C283,'HARGA SATUAN'!$C$7:$C$1492,0),0)))</f>
        <v>Bh</v>
      </c>
      <c r="F283" s="537">
        <f>F265*8</f>
        <v>8</v>
      </c>
      <c r="G283" s="357">
        <f ca="1">IF(ISERROR(OFFSET('HARGA SATUAN'!$I$6,MATCH(RAB!C283,'HARGA SATUAN'!$C$7:$C$1492,0),0)),0,OFFSET('HARGA SATUAN'!$I$6,MATCH(RAB!C283,'HARGA SATUAN'!$C$7:$C$1492,0),0))</f>
        <v>16000</v>
      </c>
      <c r="H283" s="358">
        <f t="shared" ca="1" si="76"/>
        <v>0</v>
      </c>
      <c r="I283" s="358">
        <f t="shared" ca="1" si="77"/>
        <v>128000</v>
      </c>
      <c r="J283" s="358">
        <f t="shared" ca="1" si="78"/>
        <v>0</v>
      </c>
      <c r="K283" s="359">
        <f t="shared" ca="1" si="79"/>
        <v>128000</v>
      </c>
      <c r="L283" s="339"/>
      <c r="M283" s="339"/>
      <c r="N283" s="366"/>
      <c r="O283" s="341"/>
      <c r="P283" s="394"/>
      <c r="Q283" s="341"/>
    </row>
    <row r="284" spans="1:17" s="362" customFormat="1">
      <c r="A284" s="333"/>
      <c r="B284" s="534">
        <v>19</v>
      </c>
      <c r="C284" s="535" t="s">
        <v>265</v>
      </c>
      <c r="D284" s="355" t="str">
        <f ca="1">IF(ISERROR(OFFSET('HARGA SATUAN'!$D$6,MATCH(RAB!C284,'HARGA SATUAN'!$C$7:$C$1492,0),0)),"",OFFSET('HARGA SATUAN'!$D$6,MATCH(RAB!C284,'HARGA SATUAN'!$C$7:$C$1492,0),0))</f>
        <v>HDW</v>
      </c>
      <c r="E284" s="356" t="str">
        <f ca="1">IF(B284="+","Unit",IF(ISERROR(OFFSET('HARGA SATUAN'!$E$6,MATCH(RAB!C284,'HARGA SATUAN'!$C$7:$C$1492,0),0)),"",OFFSET('HARGA SATUAN'!$E$6,MATCH(RAB!C284,'HARGA SATUAN'!$C$7:$C$1492,0),0)))</f>
        <v>Bh</v>
      </c>
      <c r="F284" s="537">
        <f>F265*2</f>
        <v>2</v>
      </c>
      <c r="G284" s="357">
        <f ca="1">IF(ISERROR(OFFSET('HARGA SATUAN'!$I$6,MATCH(RAB!C284,'HARGA SATUAN'!$C$7:$C$1492,0),0)),0,OFFSET('HARGA SATUAN'!$I$6,MATCH(RAB!C284,'HARGA SATUAN'!$C$7:$C$1492,0),0))</f>
        <v>33501.866666666669</v>
      </c>
      <c r="H284" s="358">
        <f t="shared" ca="1" si="76"/>
        <v>0</v>
      </c>
      <c r="I284" s="358">
        <f t="shared" ca="1" si="77"/>
        <v>67003.733333333337</v>
      </c>
      <c r="J284" s="358">
        <f t="shared" ca="1" si="78"/>
        <v>0</v>
      </c>
      <c r="K284" s="359">
        <f t="shared" ca="1" si="79"/>
        <v>67003.733333333337</v>
      </c>
      <c r="L284" s="339"/>
      <c r="M284" s="339"/>
      <c r="N284" s="366"/>
      <c r="O284" s="341"/>
      <c r="P284" s="394"/>
      <c r="Q284" s="341"/>
    </row>
    <row r="285" spans="1:17" s="362" customFormat="1">
      <c r="A285" s="333"/>
      <c r="B285" s="534">
        <v>20</v>
      </c>
      <c r="C285" s="535" t="s">
        <v>38</v>
      </c>
      <c r="D285" s="355" t="str">
        <f ca="1">IF(ISERROR(OFFSET('HARGA SATUAN'!$D$6,MATCH(RAB!C285,'HARGA SATUAN'!$C$7:$C$1492,0),0)),"",OFFSET('HARGA SATUAN'!$D$6,MATCH(RAB!C285,'HARGA SATUAN'!$C$7:$C$1492,0),0))</f>
        <v>HDW</v>
      </c>
      <c r="E285" s="356" t="str">
        <f ca="1">IF(B285="+","Unit",IF(ISERROR(OFFSET('HARGA SATUAN'!$E$6,MATCH(RAB!C285,'HARGA SATUAN'!$C$7:$C$1492,0),0)),"",OFFSET('HARGA SATUAN'!$E$6,MATCH(RAB!C285,'HARGA SATUAN'!$C$7:$C$1492,0),0)))</f>
        <v>Mtr</v>
      </c>
      <c r="F285" s="537">
        <f>5.4*F265</f>
        <v>5.4</v>
      </c>
      <c r="G285" s="357">
        <f ca="1">IF(ISERROR(OFFSET('HARGA SATUAN'!$I$6,MATCH(RAB!C285,'HARGA SATUAN'!$C$7:$C$1492,0),0)),0,OFFSET('HARGA SATUAN'!$I$6,MATCH(RAB!C285,'HARGA SATUAN'!$C$7:$C$1492,0),0))</f>
        <v>8550</v>
      </c>
      <c r="H285" s="358">
        <f t="shared" ca="1" si="76"/>
        <v>0</v>
      </c>
      <c r="I285" s="358">
        <f t="shared" ca="1" si="77"/>
        <v>46170</v>
      </c>
      <c r="J285" s="358">
        <f t="shared" ca="1" si="78"/>
        <v>0</v>
      </c>
      <c r="K285" s="359">
        <f t="shared" ca="1" si="79"/>
        <v>46170</v>
      </c>
      <c r="L285" s="339"/>
      <c r="M285" s="339"/>
      <c r="N285" s="366"/>
      <c r="O285" s="341"/>
      <c r="P285" s="394"/>
      <c r="Q285" s="341"/>
    </row>
    <row r="286" spans="1:17" s="362" customFormat="1">
      <c r="A286" s="333"/>
      <c r="B286" s="534">
        <v>21</v>
      </c>
      <c r="C286" s="535" t="s">
        <v>26</v>
      </c>
      <c r="D286" s="355" t="str">
        <f ca="1">IF(ISERROR(OFFSET('HARGA SATUAN'!$D$6,MATCH(RAB!C286,'HARGA SATUAN'!$C$7:$C$1492,0),0)),"",OFFSET('HARGA SATUAN'!$D$6,MATCH(RAB!C286,'HARGA SATUAN'!$C$7:$C$1492,0),0))</f>
        <v>HDW</v>
      </c>
      <c r="E286" s="356" t="str">
        <f ca="1">IF(B286="+","Unit",IF(ISERROR(OFFSET('HARGA SATUAN'!$E$6,MATCH(RAB!C286,'HARGA SATUAN'!$C$7:$C$1492,0),0)),"",OFFSET('HARGA SATUAN'!$E$6,MATCH(RAB!C286,'HARGA SATUAN'!$C$7:$C$1492,0),0)))</f>
        <v>Bh</v>
      </c>
      <c r="F286" s="537">
        <f>F265*13</f>
        <v>13</v>
      </c>
      <c r="G286" s="357">
        <f ca="1">IF(ISERROR(OFFSET('HARGA SATUAN'!$I$6,MATCH(RAB!C286,'HARGA SATUAN'!$C$7:$C$1492,0),0)),0,OFFSET('HARGA SATUAN'!$I$6,MATCH(RAB!C286,'HARGA SATUAN'!$C$7:$C$1492,0),0))</f>
        <v>2500</v>
      </c>
      <c r="H286" s="358">
        <f t="shared" ca="1" si="76"/>
        <v>0</v>
      </c>
      <c r="I286" s="358">
        <f t="shared" ca="1" si="77"/>
        <v>32500</v>
      </c>
      <c r="J286" s="358">
        <f t="shared" ca="1" si="78"/>
        <v>0</v>
      </c>
      <c r="K286" s="359">
        <f t="shared" ca="1" si="79"/>
        <v>32500</v>
      </c>
      <c r="L286" s="339"/>
      <c r="M286" s="339"/>
      <c r="N286" s="366"/>
      <c r="O286" s="341"/>
      <c r="P286" s="394"/>
      <c r="Q286" s="341"/>
    </row>
    <row r="287" spans="1:17" s="362" customFormat="1">
      <c r="A287" s="333"/>
      <c r="B287" s="534">
        <v>22</v>
      </c>
      <c r="C287" s="533" t="s">
        <v>708</v>
      </c>
      <c r="D287" s="355" t="str">
        <f ca="1">IF(ISERROR(OFFSET('HARGA SATUAN'!$D$6,MATCH(RAB!C287,'HARGA SATUAN'!$C$7:$C$1492,0),0)),"",OFFSET('HARGA SATUAN'!$D$6,MATCH(RAB!C287,'HARGA SATUAN'!$C$7:$C$1492,0),0))</f>
        <v>JASA</v>
      </c>
      <c r="E287" s="356" t="str">
        <f ca="1">IF(B287="+","Unit",IF(ISERROR(OFFSET('HARGA SATUAN'!$E$6,MATCH(RAB!C287,'HARGA SATUAN'!$C$7:$C$1492,0),0)),"",OFFSET('HARGA SATUAN'!$E$6,MATCH(RAB!C287,'HARGA SATUAN'!$C$7:$C$1492,0),0)))</f>
        <v>Unit</v>
      </c>
      <c r="F287" s="537">
        <f>F265*1</f>
        <v>1</v>
      </c>
      <c r="G287" s="357">
        <f ca="1">IF(ISERROR(OFFSET('HARGA SATUAN'!$I$6,MATCH(RAB!C287,'HARGA SATUAN'!$C$7:$C$1492,0),0)),0,OFFSET('HARGA SATUAN'!$I$6,MATCH(RAB!C287,'HARGA SATUAN'!$C$7:$C$1492,0),0))</f>
        <v>254900</v>
      </c>
      <c r="H287" s="358">
        <f t="shared" ca="1" si="76"/>
        <v>0</v>
      </c>
      <c r="I287" s="358">
        <f t="shared" ca="1" si="77"/>
        <v>0</v>
      </c>
      <c r="J287" s="358">
        <f t="shared" ca="1" si="78"/>
        <v>254900</v>
      </c>
      <c r="K287" s="359">
        <f t="shared" ca="1" si="79"/>
        <v>254900</v>
      </c>
      <c r="L287" s="339"/>
      <c r="M287" s="339"/>
      <c r="N287" s="366"/>
      <c r="O287" s="341"/>
      <c r="P287" s="394"/>
      <c r="Q287" s="341"/>
    </row>
    <row r="288" spans="1:17" s="362" customFormat="1">
      <c r="A288" s="333"/>
      <c r="B288" s="506"/>
      <c r="C288" s="507"/>
      <c r="D288" s="355" t="str">
        <f ca="1">IF(ISERROR(OFFSET('HARGA SATUAN'!$D$6,MATCH(RAB!C288,'HARGA SATUAN'!$C$7:$C$1492,0),0)),"",OFFSET('HARGA SATUAN'!$D$6,MATCH(RAB!C288,'HARGA SATUAN'!$C$7:$C$1492,0),0))</f>
        <v/>
      </c>
      <c r="E288" s="356" t="str">
        <f ca="1">IF(B288="+","Unit",IF(ISERROR(OFFSET('HARGA SATUAN'!$E$6,MATCH(RAB!C288,'HARGA SATUAN'!$C$7:$C$1492,0),0)),"",OFFSET('HARGA SATUAN'!$E$6,MATCH(RAB!C288,'HARGA SATUAN'!$C$7:$C$1492,0),0)))</f>
        <v/>
      </c>
      <c r="F288" s="494"/>
      <c r="G288" s="357">
        <f ca="1">IF(ISERROR(OFFSET('HARGA SATUAN'!$I$6,MATCH(RAB!C288,'HARGA SATUAN'!$C$7:$C$1492,0),0)),0,OFFSET('HARGA SATUAN'!$I$6,MATCH(RAB!C288,'HARGA SATUAN'!$C$7:$C$1492,0),0))</f>
        <v>0</v>
      </c>
      <c r="H288" s="358">
        <f t="shared" ca="1" si="76"/>
        <v>0</v>
      </c>
      <c r="I288" s="358">
        <f t="shared" ca="1" si="77"/>
        <v>0</v>
      </c>
      <c r="J288" s="358">
        <f t="shared" ca="1" si="78"/>
        <v>0</v>
      </c>
      <c r="K288" s="359">
        <f t="shared" ca="1" si="79"/>
        <v>0</v>
      </c>
      <c r="L288" s="339"/>
      <c r="M288" s="339"/>
      <c r="N288" s="366"/>
      <c r="O288" s="341"/>
      <c r="P288" s="394"/>
      <c r="Q288" s="341"/>
    </row>
    <row r="289" spans="1:17" s="362" customFormat="1">
      <c r="A289" s="333"/>
      <c r="B289" s="532" t="s">
        <v>1035</v>
      </c>
      <c r="C289" s="535" t="s">
        <v>1658</v>
      </c>
      <c r="D289" s="355" t="str">
        <f ca="1">IF(ISERROR(OFFSET('HARGA SATUAN'!$D$6,MATCH(RAB!C289,'HARGA SATUAN'!$C$7:$C$1492,0),0)),"",OFFSET('HARGA SATUAN'!$D$6,MATCH(RAB!C289,'HARGA SATUAN'!$C$7:$C$1492,0),0))</f>
        <v/>
      </c>
      <c r="E289" s="356" t="str">
        <f ca="1">IF(B289="+","Unit",IF(ISERROR(OFFSET('HARGA SATUAN'!$E$6,MATCH(RAB!C289,'HARGA SATUAN'!$C$7:$C$1492,0),0)),"",OFFSET('HARGA SATUAN'!$E$6,MATCH(RAB!C289,'HARGA SATUAN'!$C$7:$C$1492,0),0)))</f>
        <v>Unit</v>
      </c>
      <c r="F289" s="537">
        <v>1</v>
      </c>
      <c r="G289" s="357">
        <f ca="1">IF(ISERROR(OFFSET('HARGA SATUAN'!$I$6,MATCH(RAB!C289,'HARGA SATUAN'!$C$7:$C$1492,0),0)),0,OFFSET('HARGA SATUAN'!$I$6,MATCH(RAB!C289,'HARGA SATUAN'!$C$7:$C$1492,0),0))</f>
        <v>0</v>
      </c>
      <c r="H289" s="358">
        <f t="shared" ca="1" si="76"/>
        <v>0</v>
      </c>
      <c r="I289" s="358">
        <f t="shared" ca="1" si="77"/>
        <v>0</v>
      </c>
      <c r="J289" s="358">
        <f t="shared" ca="1" si="78"/>
        <v>0</v>
      </c>
      <c r="K289" s="359">
        <f t="shared" ca="1" si="79"/>
        <v>0</v>
      </c>
      <c r="L289" s="339"/>
      <c r="M289" s="339"/>
      <c r="N289" s="366"/>
      <c r="O289" s="341"/>
      <c r="P289" s="394"/>
      <c r="Q289" s="341"/>
    </row>
    <row r="290" spans="1:17" s="362" customFormat="1">
      <c r="A290" s="333"/>
      <c r="B290" s="534">
        <v>1</v>
      </c>
      <c r="C290" s="109" t="s">
        <v>1129</v>
      </c>
      <c r="D290" s="355" t="str">
        <f ca="1">IF(ISERROR(OFFSET('HARGA SATUAN'!$D$6,MATCH(RAB!C290,'HARGA SATUAN'!$C$7:$C$1492,0),0)),"",OFFSET('HARGA SATUAN'!$D$6,MATCH(RAB!C290,'HARGA SATUAN'!$C$7:$C$1492,0),0))</f>
        <v>MDU-KD</v>
      </c>
      <c r="E290" s="356" t="str">
        <f ca="1">IF(B290="+","Unit",IF(ISERROR(OFFSET('HARGA SATUAN'!$E$6,MATCH(RAB!C290,'HARGA SATUAN'!$C$7:$C$1492,0),0)),"",OFFSET('HARGA SATUAN'!$E$6,MATCH(RAB!C290,'HARGA SATUAN'!$C$7:$C$1492,0),0)))</f>
        <v>Bh</v>
      </c>
      <c r="F290" s="537">
        <f>F289*1</f>
        <v>1</v>
      </c>
      <c r="G290" s="357">
        <f ca="1">IF(ISERROR(OFFSET('HARGA SATUAN'!$I$6,MATCH(RAB!C290,'HARGA SATUAN'!$C$7:$C$1492,0),0)),0,OFFSET('HARGA SATUAN'!$I$6,MATCH(RAB!C290,'HARGA SATUAN'!$C$7:$C$1492,0),0))</f>
        <v>176900</v>
      </c>
      <c r="H290" s="358">
        <f t="shared" ca="1" si="76"/>
        <v>176900</v>
      </c>
      <c r="I290" s="358">
        <f t="shared" ca="1" si="77"/>
        <v>0</v>
      </c>
      <c r="J290" s="358">
        <f t="shared" ca="1" si="78"/>
        <v>0</v>
      </c>
      <c r="K290" s="359">
        <f t="shared" ca="1" si="79"/>
        <v>176900</v>
      </c>
      <c r="L290" s="339"/>
      <c r="M290" s="339"/>
      <c r="N290" s="366"/>
      <c r="O290" s="341"/>
      <c r="P290" s="394"/>
      <c r="Q290" s="341"/>
    </row>
    <row r="291" spans="1:17" s="362" customFormat="1">
      <c r="A291" s="333"/>
      <c r="B291" s="534">
        <v>2</v>
      </c>
      <c r="C291" s="109" t="s">
        <v>1129</v>
      </c>
      <c r="D291" s="355" t="str">
        <f ca="1">IF(ISERROR(OFFSET('HARGA SATUAN'!$D$6,MATCH(RAB!C291,'HARGA SATUAN'!$C$7:$C$1492,0),0)),"",OFFSET('HARGA SATUAN'!$D$6,MATCH(RAB!C291,'HARGA SATUAN'!$C$7:$C$1492,0),0))</f>
        <v>MDU-KD</v>
      </c>
      <c r="E291" s="356" t="str">
        <f ca="1">IF(B291="+","Unit",IF(ISERROR(OFFSET('HARGA SATUAN'!$E$6,MATCH(RAB!C291,'HARGA SATUAN'!$C$7:$C$1492,0),0)),"",OFFSET('HARGA SATUAN'!$E$6,MATCH(RAB!C291,'HARGA SATUAN'!$C$7:$C$1492,0),0)))</f>
        <v>Bh</v>
      </c>
      <c r="F291" s="537">
        <f>F289*1</f>
        <v>1</v>
      </c>
      <c r="G291" s="357">
        <f ca="1">IF(ISERROR(OFFSET('HARGA SATUAN'!$I$6,MATCH(RAB!C291,'HARGA SATUAN'!$C$7:$C$1492,0),0)),0,OFFSET('HARGA SATUAN'!$I$6,MATCH(RAB!C291,'HARGA SATUAN'!$C$7:$C$1492,0),0))</f>
        <v>176900</v>
      </c>
      <c r="H291" s="358">
        <f t="shared" ca="1" si="76"/>
        <v>176900</v>
      </c>
      <c r="I291" s="358">
        <f t="shared" ca="1" si="77"/>
        <v>0</v>
      </c>
      <c r="J291" s="358">
        <f t="shared" ca="1" si="78"/>
        <v>0</v>
      </c>
      <c r="K291" s="359">
        <f t="shared" ca="1" si="79"/>
        <v>176900</v>
      </c>
      <c r="L291" s="339"/>
      <c r="M291" s="339"/>
      <c r="N291" s="366"/>
      <c r="O291" s="341"/>
      <c r="P291" s="394"/>
      <c r="Q291" s="341"/>
    </row>
    <row r="292" spans="1:17" s="362" customFormat="1">
      <c r="A292" s="333"/>
      <c r="B292" s="534">
        <v>3</v>
      </c>
      <c r="C292" s="507" t="s">
        <v>1566</v>
      </c>
      <c r="D292" s="355" t="str">
        <f ca="1">IF(ISERROR(OFFSET('HARGA SATUAN'!$D$6,MATCH(RAB!C292,'HARGA SATUAN'!$C$7:$C$1492,0),0)),"",OFFSET('HARGA SATUAN'!$D$6,MATCH(RAB!C292,'HARGA SATUAN'!$C$7:$C$1492,0),0))</f>
        <v>MDU-KD</v>
      </c>
      <c r="E292" s="356" t="str">
        <f ca="1">IF(B292="+","Unit",IF(ISERROR(OFFSET('HARGA SATUAN'!$E$6,MATCH(RAB!C292,'HARGA SATUAN'!$C$7:$C$1492,0),0)),"",OFFSET('HARGA SATUAN'!$E$6,MATCH(RAB!C292,'HARGA SATUAN'!$C$7:$C$1492,0),0)))</f>
        <v>Set</v>
      </c>
      <c r="F292" s="537">
        <f>F289*6</f>
        <v>6</v>
      </c>
      <c r="G292" s="357">
        <f ca="1">IF(ISERROR(OFFSET('HARGA SATUAN'!$I$6,MATCH(RAB!C292,'HARGA SATUAN'!$C$7:$C$1492,0),0)),0,OFFSET('HARGA SATUAN'!$I$6,MATCH(RAB!C292,'HARGA SATUAN'!$C$7:$C$1492,0),0))</f>
        <v>205700</v>
      </c>
      <c r="H292" s="358">
        <f t="shared" ca="1" si="76"/>
        <v>1234200</v>
      </c>
      <c r="I292" s="358">
        <f t="shared" ca="1" si="77"/>
        <v>0</v>
      </c>
      <c r="J292" s="358">
        <f t="shared" ca="1" si="78"/>
        <v>0</v>
      </c>
      <c r="K292" s="359">
        <f t="shared" ca="1" si="79"/>
        <v>1234200</v>
      </c>
      <c r="L292" s="339"/>
      <c r="M292" s="339"/>
      <c r="N292" s="366"/>
      <c r="O292" s="341"/>
      <c r="P292" s="394"/>
      <c r="Q292" s="341"/>
    </row>
    <row r="293" spans="1:17" s="362" customFormat="1">
      <c r="A293" s="333"/>
      <c r="B293" s="534">
        <v>4</v>
      </c>
      <c r="C293" s="535" t="s">
        <v>152</v>
      </c>
      <c r="D293" s="355" t="str">
        <f ca="1">IF(ISERROR(OFFSET('HARGA SATUAN'!$D$6,MATCH(RAB!C293,'HARGA SATUAN'!$C$7:$C$1492,0),0)),"",OFFSET('HARGA SATUAN'!$D$6,MATCH(RAB!C293,'HARGA SATUAN'!$C$7:$C$1492,0),0))</f>
        <v>HDW</v>
      </c>
      <c r="E293" s="356" t="str">
        <f ca="1">IF(B293="+","Unit",IF(ISERROR(OFFSET('HARGA SATUAN'!$E$6,MATCH(RAB!C293,'HARGA SATUAN'!$C$7:$C$1492,0),0)),"",OFFSET('HARGA SATUAN'!$E$6,MATCH(RAB!C293,'HARGA SATUAN'!$C$7:$C$1492,0),0)))</f>
        <v>Mtr</v>
      </c>
      <c r="F293" s="537">
        <f>F289*2</f>
        <v>2</v>
      </c>
      <c r="G293" s="357">
        <f ca="1">IF(ISERROR(OFFSET('HARGA SATUAN'!$I$6,MATCH(RAB!C293,'HARGA SATUAN'!$C$7:$C$1492,0),0)),0,OFFSET('HARGA SATUAN'!$I$6,MATCH(RAB!C293,'HARGA SATUAN'!$C$7:$C$1492,0),0))</f>
        <v>7789</v>
      </c>
      <c r="H293" s="358">
        <f t="shared" ca="1" si="76"/>
        <v>0</v>
      </c>
      <c r="I293" s="358">
        <f t="shared" ca="1" si="77"/>
        <v>15578</v>
      </c>
      <c r="J293" s="358">
        <f t="shared" ca="1" si="78"/>
        <v>0</v>
      </c>
      <c r="K293" s="359">
        <f t="shared" ca="1" si="79"/>
        <v>15578</v>
      </c>
      <c r="L293" s="339"/>
      <c r="M293" s="339"/>
      <c r="N293" s="366"/>
      <c r="O293" s="341"/>
      <c r="P293" s="394"/>
      <c r="Q293" s="341"/>
    </row>
    <row r="294" spans="1:17" s="362" customFormat="1">
      <c r="A294" s="333"/>
      <c r="B294" s="534">
        <v>5</v>
      </c>
      <c r="C294" s="535" t="s">
        <v>157</v>
      </c>
      <c r="D294" s="355" t="str">
        <f ca="1">IF(ISERROR(OFFSET('HARGA SATUAN'!$D$6,MATCH(RAB!C294,'HARGA SATUAN'!$C$7:$C$1492,0),0)),"",OFFSET('HARGA SATUAN'!$D$6,MATCH(RAB!C294,'HARGA SATUAN'!$C$7:$C$1492,0),0))</f>
        <v>HDW</v>
      </c>
      <c r="E294" s="356" t="str">
        <f ca="1">IF(B294="+","Unit",IF(ISERROR(OFFSET('HARGA SATUAN'!$E$6,MATCH(RAB!C294,'HARGA SATUAN'!$C$7:$C$1492,0),0)),"",OFFSET('HARGA SATUAN'!$E$6,MATCH(RAB!C294,'HARGA SATUAN'!$C$7:$C$1492,0),0)))</f>
        <v>Bh</v>
      </c>
      <c r="F294" s="537">
        <f>F289*4</f>
        <v>4</v>
      </c>
      <c r="G294" s="357">
        <f ca="1">IF(ISERROR(OFFSET('HARGA SATUAN'!$I$6,MATCH(RAB!C294,'HARGA SATUAN'!$C$7:$C$1492,0),0)),0,OFFSET('HARGA SATUAN'!$I$6,MATCH(RAB!C294,'HARGA SATUAN'!$C$7:$C$1492,0),0))</f>
        <v>40000</v>
      </c>
      <c r="H294" s="358">
        <f t="shared" ca="1" si="76"/>
        <v>0</v>
      </c>
      <c r="I294" s="358">
        <f t="shared" ca="1" si="77"/>
        <v>160000</v>
      </c>
      <c r="J294" s="358">
        <f t="shared" ca="1" si="78"/>
        <v>0</v>
      </c>
      <c r="K294" s="359">
        <f t="shared" ca="1" si="79"/>
        <v>160000</v>
      </c>
      <c r="L294" s="339"/>
      <c r="M294" s="339"/>
      <c r="N294" s="366"/>
      <c r="O294" s="341"/>
      <c r="P294" s="394"/>
      <c r="Q294" s="341"/>
    </row>
    <row r="295" spans="1:17" s="362" customFormat="1">
      <c r="A295" s="333"/>
      <c r="B295" s="534">
        <v>6</v>
      </c>
      <c r="C295" s="535" t="s">
        <v>163</v>
      </c>
      <c r="D295" s="355" t="str">
        <f ca="1">IF(ISERROR(OFFSET('HARGA SATUAN'!$D$6,MATCH(RAB!C295,'HARGA SATUAN'!$C$7:$C$1492,0),0)),"",OFFSET('HARGA SATUAN'!$D$6,MATCH(RAB!C295,'HARGA SATUAN'!$C$7:$C$1492,0),0))</f>
        <v>HDW</v>
      </c>
      <c r="E295" s="356" t="str">
        <f ca="1">IF(B295="+","Unit",IF(ISERROR(OFFSET('HARGA SATUAN'!$E$6,MATCH(RAB!C295,'HARGA SATUAN'!$C$7:$C$1492,0),0)),"",OFFSET('HARGA SATUAN'!$E$6,MATCH(RAB!C295,'HARGA SATUAN'!$C$7:$C$1492,0),0)))</f>
        <v>Bh</v>
      </c>
      <c r="F295" s="537">
        <f>F289*8</f>
        <v>8</v>
      </c>
      <c r="G295" s="357">
        <f ca="1">IF(ISERROR(OFFSET('HARGA SATUAN'!$I$6,MATCH(RAB!C295,'HARGA SATUAN'!$C$7:$C$1492,0),0)),0,OFFSET('HARGA SATUAN'!$I$6,MATCH(RAB!C295,'HARGA SATUAN'!$C$7:$C$1492,0),0))</f>
        <v>7938</v>
      </c>
      <c r="H295" s="358">
        <f t="shared" ca="1" si="76"/>
        <v>0</v>
      </c>
      <c r="I295" s="358">
        <f t="shared" ca="1" si="77"/>
        <v>63504</v>
      </c>
      <c r="J295" s="358">
        <f t="shared" ca="1" si="78"/>
        <v>0</v>
      </c>
      <c r="K295" s="359">
        <f t="shared" ca="1" si="79"/>
        <v>63504</v>
      </c>
      <c r="L295" s="339"/>
      <c r="M295" s="339"/>
      <c r="N295" s="366"/>
      <c r="O295" s="341"/>
      <c r="P295" s="394"/>
      <c r="Q295" s="341"/>
    </row>
    <row r="296" spans="1:17" s="362" customFormat="1">
      <c r="A296" s="333"/>
      <c r="B296" s="534">
        <v>7</v>
      </c>
      <c r="C296" s="535" t="s">
        <v>28</v>
      </c>
      <c r="D296" s="355" t="str">
        <f ca="1">IF(ISERROR(OFFSET('HARGA SATUAN'!$D$6,MATCH(RAB!C296,'HARGA SATUAN'!$C$7:$C$1492,0),0)),"",OFFSET('HARGA SATUAN'!$D$6,MATCH(RAB!C296,'HARGA SATUAN'!$C$7:$C$1492,0),0))</f>
        <v>HDW</v>
      </c>
      <c r="E296" s="356" t="str">
        <f ca="1">IF(B296="+","Unit",IF(ISERROR(OFFSET('HARGA SATUAN'!$E$6,MATCH(RAB!C296,'HARGA SATUAN'!$C$7:$C$1492,0),0)),"",OFFSET('HARGA SATUAN'!$E$6,MATCH(RAB!C296,'HARGA SATUAN'!$C$7:$C$1492,0),0)))</f>
        <v>Bh</v>
      </c>
      <c r="F296" s="537">
        <f>F289*1</f>
        <v>1</v>
      </c>
      <c r="G296" s="357">
        <f ca="1">IF(ISERROR(OFFSET('HARGA SATUAN'!$I$6,MATCH(RAB!C296,'HARGA SATUAN'!$C$7:$C$1492,0),0)),0,OFFSET('HARGA SATUAN'!$I$6,MATCH(RAB!C296,'HARGA SATUAN'!$C$7:$C$1492,0),0))</f>
        <v>26500</v>
      </c>
      <c r="H296" s="358">
        <f t="shared" ca="1" si="76"/>
        <v>0</v>
      </c>
      <c r="I296" s="358">
        <f t="shared" ca="1" si="77"/>
        <v>26500</v>
      </c>
      <c r="J296" s="358">
        <f t="shared" ca="1" si="78"/>
        <v>0</v>
      </c>
      <c r="K296" s="359">
        <f t="shared" ca="1" si="79"/>
        <v>26500</v>
      </c>
      <c r="L296" s="339"/>
      <c r="M296" s="339"/>
      <c r="N296" s="366"/>
      <c r="O296" s="341"/>
      <c r="P296" s="394"/>
      <c r="Q296" s="341"/>
    </row>
    <row r="297" spans="1:17" s="362" customFormat="1">
      <c r="A297" s="333"/>
      <c r="B297" s="534">
        <v>8</v>
      </c>
      <c r="C297" s="535" t="s">
        <v>173</v>
      </c>
      <c r="D297" s="355" t="str">
        <f ca="1">IF(ISERROR(OFFSET('HARGA SATUAN'!$D$6,MATCH(RAB!C297,'HARGA SATUAN'!$C$7:$C$1492,0),0)),"",OFFSET('HARGA SATUAN'!$D$6,MATCH(RAB!C297,'HARGA SATUAN'!$C$7:$C$1492,0),0))</f>
        <v>HDW</v>
      </c>
      <c r="E297" s="356" t="str">
        <f ca="1">IF(B297="+","Unit",IF(ISERROR(OFFSET('HARGA SATUAN'!$E$6,MATCH(RAB!C297,'HARGA SATUAN'!$C$7:$C$1492,0),0)),"",OFFSET('HARGA SATUAN'!$E$6,MATCH(RAB!C297,'HARGA SATUAN'!$C$7:$C$1492,0),0)))</f>
        <v>Bh</v>
      </c>
      <c r="F297" s="537">
        <f>F289*8</f>
        <v>8</v>
      </c>
      <c r="G297" s="357">
        <f ca="1">IF(ISERROR(OFFSET('HARGA SATUAN'!$I$6,MATCH(RAB!C297,'HARGA SATUAN'!$C$7:$C$1492,0),0)),0,OFFSET('HARGA SATUAN'!$I$6,MATCH(RAB!C297,'HARGA SATUAN'!$C$7:$C$1492,0),0))</f>
        <v>45000</v>
      </c>
      <c r="H297" s="358">
        <f t="shared" ca="1" si="76"/>
        <v>0</v>
      </c>
      <c r="I297" s="358">
        <f t="shared" ca="1" si="77"/>
        <v>360000</v>
      </c>
      <c r="J297" s="358">
        <f t="shared" ca="1" si="78"/>
        <v>0</v>
      </c>
      <c r="K297" s="359">
        <f t="shared" ca="1" si="79"/>
        <v>360000</v>
      </c>
      <c r="L297" s="339"/>
      <c r="M297" s="339"/>
      <c r="N297" s="366"/>
      <c r="O297" s="341"/>
      <c r="P297" s="394"/>
      <c r="Q297" s="341"/>
    </row>
    <row r="298" spans="1:17" s="362" customFormat="1">
      <c r="A298" s="333"/>
      <c r="B298" s="534">
        <v>9</v>
      </c>
      <c r="C298" s="535" t="s">
        <v>179</v>
      </c>
      <c r="D298" s="355" t="str">
        <f ca="1">IF(ISERROR(OFFSET('HARGA SATUAN'!$D$6,MATCH(RAB!C298,'HARGA SATUAN'!$C$7:$C$1492,0),0)),"",OFFSET('HARGA SATUAN'!$D$6,MATCH(RAB!C298,'HARGA SATUAN'!$C$7:$C$1492,0),0))</f>
        <v>HDW</v>
      </c>
      <c r="E298" s="356" t="str">
        <f ca="1">IF(B298="+","Unit",IF(ISERROR(OFFSET('HARGA SATUAN'!$E$6,MATCH(RAB!C298,'HARGA SATUAN'!$C$7:$C$1492,0),0)),"",OFFSET('HARGA SATUAN'!$E$6,MATCH(RAB!C298,'HARGA SATUAN'!$C$7:$C$1492,0),0)))</f>
        <v>Bh</v>
      </c>
      <c r="F298" s="537">
        <f>F289*2</f>
        <v>2</v>
      </c>
      <c r="G298" s="357">
        <f ca="1">IF(ISERROR(OFFSET('HARGA SATUAN'!$I$6,MATCH(RAB!C298,'HARGA SATUAN'!$C$7:$C$1492,0),0)),0,OFFSET('HARGA SATUAN'!$I$6,MATCH(RAB!C298,'HARGA SATUAN'!$C$7:$C$1492,0),0))</f>
        <v>15500</v>
      </c>
      <c r="H298" s="358">
        <f t="shared" ca="1" si="76"/>
        <v>0</v>
      </c>
      <c r="I298" s="358">
        <f t="shared" ca="1" si="77"/>
        <v>31000</v>
      </c>
      <c r="J298" s="358">
        <f t="shared" ca="1" si="78"/>
        <v>0</v>
      </c>
      <c r="K298" s="359">
        <f t="shared" ca="1" si="79"/>
        <v>31000</v>
      </c>
      <c r="L298" s="339"/>
      <c r="M298" s="339"/>
      <c r="N298" s="366"/>
      <c r="O298" s="341"/>
      <c r="P298" s="394"/>
      <c r="Q298" s="341"/>
    </row>
    <row r="299" spans="1:17" s="362" customFormat="1">
      <c r="A299" s="333"/>
      <c r="B299" s="534">
        <v>10</v>
      </c>
      <c r="C299" s="535" t="s">
        <v>181</v>
      </c>
      <c r="D299" s="355" t="str">
        <f ca="1">IF(ISERROR(OFFSET('HARGA SATUAN'!$D$6,MATCH(RAB!C299,'HARGA SATUAN'!$C$7:$C$1492,0),0)),"",OFFSET('HARGA SATUAN'!$D$6,MATCH(RAB!C299,'HARGA SATUAN'!$C$7:$C$1492,0),0))</f>
        <v>HDW</v>
      </c>
      <c r="E299" s="356" t="str">
        <f ca="1">IF(B299="+","Unit",IF(ISERROR(OFFSET('HARGA SATUAN'!$E$6,MATCH(RAB!C299,'HARGA SATUAN'!$C$7:$C$1492,0),0)),"",OFFSET('HARGA SATUAN'!$E$6,MATCH(RAB!C299,'HARGA SATUAN'!$C$7:$C$1492,0),0)))</f>
        <v>Bh</v>
      </c>
      <c r="F299" s="537">
        <f>F289*4</f>
        <v>4</v>
      </c>
      <c r="G299" s="357">
        <f ca="1">IF(ISERROR(OFFSET('HARGA SATUAN'!$I$6,MATCH(RAB!C299,'HARGA SATUAN'!$C$7:$C$1492,0),0)),0,OFFSET('HARGA SATUAN'!$I$6,MATCH(RAB!C299,'HARGA SATUAN'!$C$7:$C$1492,0),0))</f>
        <v>28100</v>
      </c>
      <c r="H299" s="358">
        <f t="shared" ca="1" si="76"/>
        <v>0</v>
      </c>
      <c r="I299" s="358">
        <f t="shared" ca="1" si="77"/>
        <v>112400</v>
      </c>
      <c r="J299" s="358">
        <f t="shared" ca="1" si="78"/>
        <v>0</v>
      </c>
      <c r="K299" s="359">
        <f t="shared" ca="1" si="79"/>
        <v>112400</v>
      </c>
      <c r="L299" s="339"/>
      <c r="M299" s="339"/>
      <c r="N299" s="366"/>
      <c r="O299" s="341"/>
      <c r="P299" s="394"/>
      <c r="Q299" s="341"/>
    </row>
    <row r="300" spans="1:17" s="362" customFormat="1">
      <c r="A300" s="333"/>
      <c r="B300" s="534">
        <v>11</v>
      </c>
      <c r="C300" s="535" t="s">
        <v>593</v>
      </c>
      <c r="D300" s="355" t="str">
        <f ca="1">IF(ISERROR(OFFSET('HARGA SATUAN'!$D$6,MATCH(RAB!C300,'HARGA SATUAN'!$C$7:$C$1492,0),0)),"",OFFSET('HARGA SATUAN'!$D$6,MATCH(RAB!C300,'HARGA SATUAN'!$C$7:$C$1492,0),0))</f>
        <v>HDW</v>
      </c>
      <c r="E300" s="356" t="str">
        <f ca="1">IF(B300="+","Unit",IF(ISERROR(OFFSET('HARGA SATUAN'!$E$6,MATCH(RAB!C300,'HARGA SATUAN'!$C$7:$C$1492,0),0)),"",OFFSET('HARGA SATUAN'!$E$6,MATCH(RAB!C300,'HARGA SATUAN'!$C$7:$C$1492,0),0)))</f>
        <v>Bh</v>
      </c>
      <c r="F300" s="537">
        <f>F289*4</f>
        <v>4</v>
      </c>
      <c r="G300" s="357">
        <f ca="1">IF(ISERROR(OFFSET('HARGA SATUAN'!$I$6,MATCH(RAB!C300,'HARGA SATUAN'!$C$7:$C$1492,0),0)),0,OFFSET('HARGA SATUAN'!$I$6,MATCH(RAB!C300,'HARGA SATUAN'!$C$7:$C$1492,0),0))</f>
        <v>380500</v>
      </c>
      <c r="H300" s="358">
        <f t="shared" ca="1" si="76"/>
        <v>0</v>
      </c>
      <c r="I300" s="358">
        <f t="shared" ca="1" si="77"/>
        <v>1522000</v>
      </c>
      <c r="J300" s="358">
        <f t="shared" ca="1" si="78"/>
        <v>0</v>
      </c>
      <c r="K300" s="359">
        <f t="shared" ca="1" si="79"/>
        <v>1522000</v>
      </c>
      <c r="L300" s="339"/>
      <c r="M300" s="339"/>
      <c r="N300" s="366"/>
      <c r="O300" s="341"/>
      <c r="P300" s="394"/>
      <c r="Q300" s="341"/>
    </row>
    <row r="301" spans="1:17" s="362" customFormat="1">
      <c r="A301" s="333"/>
      <c r="B301" s="534">
        <v>12</v>
      </c>
      <c r="C301" s="535" t="s">
        <v>218</v>
      </c>
      <c r="D301" s="355" t="str">
        <f ca="1">IF(ISERROR(OFFSET('HARGA SATUAN'!$D$6,MATCH(RAB!C301,'HARGA SATUAN'!$C$7:$C$1492,0),0)),"",OFFSET('HARGA SATUAN'!$D$6,MATCH(RAB!C301,'HARGA SATUAN'!$C$7:$C$1492,0),0))</f>
        <v>HDW</v>
      </c>
      <c r="E301" s="356" t="str">
        <f ca="1">IF(B301="+","Unit",IF(ISERROR(OFFSET('HARGA SATUAN'!$E$6,MATCH(RAB!C301,'HARGA SATUAN'!$C$7:$C$1492,0),0)),"",OFFSET('HARGA SATUAN'!$E$6,MATCH(RAB!C301,'HARGA SATUAN'!$C$7:$C$1492,0),0)))</f>
        <v>Bh</v>
      </c>
      <c r="F301" s="537">
        <f>F289*4</f>
        <v>4</v>
      </c>
      <c r="G301" s="357">
        <f ca="1">IF(ISERROR(OFFSET('HARGA SATUAN'!$I$6,MATCH(RAB!C301,'HARGA SATUAN'!$C$7:$C$1492,0),0)),0,OFFSET('HARGA SATUAN'!$I$6,MATCH(RAB!C301,'HARGA SATUAN'!$C$7:$C$1492,0),0))</f>
        <v>29600</v>
      </c>
      <c r="H301" s="358">
        <f t="shared" ca="1" si="76"/>
        <v>0</v>
      </c>
      <c r="I301" s="358">
        <f t="shared" ca="1" si="77"/>
        <v>118400</v>
      </c>
      <c r="J301" s="358">
        <f t="shared" ca="1" si="78"/>
        <v>0</v>
      </c>
      <c r="K301" s="359">
        <f t="shared" ca="1" si="79"/>
        <v>118400</v>
      </c>
      <c r="L301" s="339"/>
      <c r="M301" s="339"/>
      <c r="N301" s="366"/>
      <c r="O301" s="341"/>
      <c r="P301" s="394"/>
      <c r="Q301" s="341"/>
    </row>
    <row r="302" spans="1:17" s="362" customFormat="1">
      <c r="A302" s="333"/>
      <c r="B302" s="534">
        <v>13</v>
      </c>
      <c r="C302" s="535" t="s">
        <v>217</v>
      </c>
      <c r="D302" s="355" t="str">
        <f ca="1">IF(ISERROR(OFFSET('HARGA SATUAN'!$D$6,MATCH(RAB!C302,'HARGA SATUAN'!$C$7:$C$1492,0),0)),"",OFFSET('HARGA SATUAN'!$D$6,MATCH(RAB!C302,'HARGA SATUAN'!$C$7:$C$1492,0),0))</f>
        <v>HDW</v>
      </c>
      <c r="E302" s="356" t="str">
        <f ca="1">IF(B302="+","Unit",IF(ISERROR(OFFSET('HARGA SATUAN'!$E$6,MATCH(RAB!C302,'HARGA SATUAN'!$C$7:$C$1492,0),0)),"",OFFSET('HARGA SATUAN'!$E$6,MATCH(RAB!C302,'HARGA SATUAN'!$C$7:$C$1492,0),0)))</f>
        <v>Bh</v>
      </c>
      <c r="F302" s="537">
        <f>F289*9</f>
        <v>9</v>
      </c>
      <c r="G302" s="357">
        <f ca="1">IF(ISERROR(OFFSET('HARGA SATUAN'!$I$6,MATCH(RAB!C302,'HARGA SATUAN'!$C$7:$C$1492,0),0)),0,OFFSET('HARGA SATUAN'!$I$6,MATCH(RAB!C302,'HARGA SATUAN'!$C$7:$C$1492,0),0))</f>
        <v>11400</v>
      </c>
      <c r="H302" s="358">
        <f t="shared" ca="1" si="76"/>
        <v>0</v>
      </c>
      <c r="I302" s="358">
        <f t="shared" ca="1" si="77"/>
        <v>102600</v>
      </c>
      <c r="J302" s="358">
        <f t="shared" ca="1" si="78"/>
        <v>0</v>
      </c>
      <c r="K302" s="359">
        <f t="shared" ca="1" si="79"/>
        <v>102600</v>
      </c>
      <c r="L302" s="339"/>
      <c r="M302" s="339"/>
      <c r="N302" s="366"/>
      <c r="O302" s="341"/>
      <c r="P302" s="394"/>
      <c r="Q302" s="341"/>
    </row>
    <row r="303" spans="1:17" s="362" customFormat="1">
      <c r="A303" s="333"/>
      <c r="B303" s="534">
        <v>14</v>
      </c>
      <c r="C303" s="535" t="s">
        <v>223</v>
      </c>
      <c r="D303" s="355" t="str">
        <f ca="1">IF(ISERROR(OFFSET('HARGA SATUAN'!$D$6,MATCH(RAB!C303,'HARGA SATUAN'!$C$7:$C$1492,0),0)),"",OFFSET('HARGA SATUAN'!$D$6,MATCH(RAB!C303,'HARGA SATUAN'!$C$7:$C$1492,0),0))</f>
        <v>HDW</v>
      </c>
      <c r="E303" s="356" t="str">
        <f ca="1">IF(B303="+","Unit",IF(ISERROR(OFFSET('HARGA SATUAN'!$E$6,MATCH(RAB!C303,'HARGA SATUAN'!$C$7:$C$1492,0),0)),"",OFFSET('HARGA SATUAN'!$E$6,MATCH(RAB!C303,'HARGA SATUAN'!$C$7:$C$1492,0),0)))</f>
        <v>Bh</v>
      </c>
      <c r="F303" s="537">
        <f>F289*2</f>
        <v>2</v>
      </c>
      <c r="G303" s="357">
        <f ca="1">IF(ISERROR(OFFSET('HARGA SATUAN'!$I$6,MATCH(RAB!C303,'HARGA SATUAN'!$C$7:$C$1492,0),0)),0,OFFSET('HARGA SATUAN'!$I$6,MATCH(RAB!C303,'HARGA SATUAN'!$C$7:$C$1492,0),0))</f>
        <v>27815</v>
      </c>
      <c r="H303" s="358">
        <f t="shared" ref="H303:H366" ca="1" si="80">IF(OR(D303="MDU",D303="MDU-KD"),(IF($O$3="RAB NON MDU","PLN KD",G303*F303)),0)</f>
        <v>0</v>
      </c>
      <c r="I303" s="358">
        <f t="shared" ref="I303:I366" ca="1" si="81">IF(D303="HDW",G303*F303,0)</f>
        <v>55630</v>
      </c>
      <c r="J303" s="358">
        <f t="shared" ref="J303:J366" ca="1" si="82">IF(D303="JASA",G303*F303,0)</f>
        <v>0</v>
      </c>
      <c r="K303" s="359">
        <f t="shared" ref="K303:K366" ca="1" si="83">SUM(H303:J303)</f>
        <v>55630</v>
      </c>
      <c r="L303" s="339"/>
      <c r="M303" s="339"/>
      <c r="N303" s="366"/>
      <c r="O303" s="341"/>
      <c r="P303" s="394"/>
      <c r="Q303" s="341"/>
    </row>
    <row r="304" spans="1:17" s="362" customFormat="1">
      <c r="A304" s="333"/>
      <c r="B304" s="534">
        <v>15</v>
      </c>
      <c r="C304" s="535" t="s">
        <v>25</v>
      </c>
      <c r="D304" s="355" t="str">
        <f ca="1">IF(ISERROR(OFFSET('HARGA SATUAN'!$D$6,MATCH(RAB!C304,'HARGA SATUAN'!$C$7:$C$1492,0),0)),"",OFFSET('HARGA SATUAN'!$D$6,MATCH(RAB!C304,'HARGA SATUAN'!$C$7:$C$1492,0),0))</f>
        <v>HDW</v>
      </c>
      <c r="E304" s="356" t="str">
        <f ca="1">IF(B304="+","Unit",IF(ISERROR(OFFSET('HARGA SATUAN'!$E$6,MATCH(RAB!C304,'HARGA SATUAN'!$C$7:$C$1492,0),0)),"",OFFSET('HARGA SATUAN'!$E$6,MATCH(RAB!C304,'HARGA SATUAN'!$C$7:$C$1492,0),0)))</f>
        <v>Bh</v>
      </c>
      <c r="F304" s="537">
        <f>F289*6</f>
        <v>6</v>
      </c>
      <c r="G304" s="357">
        <f ca="1">IF(ISERROR(OFFSET('HARGA SATUAN'!$I$6,MATCH(RAB!C304,'HARGA SATUAN'!$C$7:$C$1492,0),0)),0,OFFSET('HARGA SATUAN'!$I$6,MATCH(RAB!C304,'HARGA SATUAN'!$C$7:$C$1492,0),0))</f>
        <v>23936</v>
      </c>
      <c r="H304" s="358">
        <f t="shared" ca="1" si="80"/>
        <v>0</v>
      </c>
      <c r="I304" s="358">
        <f t="shared" ca="1" si="81"/>
        <v>143616</v>
      </c>
      <c r="J304" s="358">
        <f t="shared" ca="1" si="82"/>
        <v>0</v>
      </c>
      <c r="K304" s="359">
        <f t="shared" ca="1" si="83"/>
        <v>143616</v>
      </c>
      <c r="L304" s="339"/>
      <c r="M304" s="339"/>
      <c r="N304" s="366"/>
      <c r="O304" s="341"/>
      <c r="P304" s="394"/>
      <c r="Q304" s="341"/>
    </row>
    <row r="305" spans="1:17" s="362" customFormat="1">
      <c r="A305" s="333"/>
      <c r="B305" s="534">
        <v>16</v>
      </c>
      <c r="C305" s="535" t="s">
        <v>37</v>
      </c>
      <c r="D305" s="355" t="str">
        <f ca="1">IF(ISERROR(OFFSET('HARGA SATUAN'!$D$6,MATCH(RAB!C305,'HARGA SATUAN'!$C$7:$C$1492,0),0)),"",OFFSET('HARGA SATUAN'!$D$6,MATCH(RAB!C305,'HARGA SATUAN'!$C$7:$C$1492,0),0))</f>
        <v>HDW</v>
      </c>
      <c r="E305" s="356" t="str">
        <f ca="1">IF(B305="+","Unit",IF(ISERROR(OFFSET('HARGA SATUAN'!$E$6,MATCH(RAB!C305,'HARGA SATUAN'!$C$7:$C$1492,0),0)),"",OFFSET('HARGA SATUAN'!$E$6,MATCH(RAB!C305,'HARGA SATUAN'!$C$7:$C$1492,0),0)))</f>
        <v>Bh</v>
      </c>
      <c r="F305" s="537">
        <f>F289*3</f>
        <v>3</v>
      </c>
      <c r="G305" s="357">
        <f ca="1">IF(ISERROR(OFFSET('HARGA SATUAN'!$I$6,MATCH(RAB!C305,'HARGA SATUAN'!$C$7:$C$1492,0),0)),0,OFFSET('HARGA SATUAN'!$I$6,MATCH(RAB!C305,'HARGA SATUAN'!$C$7:$C$1492,0),0))</f>
        <v>63500</v>
      </c>
      <c r="H305" s="358">
        <f t="shared" ca="1" si="80"/>
        <v>0</v>
      </c>
      <c r="I305" s="358">
        <f t="shared" ca="1" si="81"/>
        <v>190500</v>
      </c>
      <c r="J305" s="358">
        <f t="shared" ca="1" si="82"/>
        <v>0</v>
      </c>
      <c r="K305" s="359">
        <f t="shared" ca="1" si="83"/>
        <v>190500</v>
      </c>
      <c r="L305" s="339"/>
      <c r="M305" s="339"/>
      <c r="N305" s="366"/>
      <c r="O305" s="341"/>
      <c r="P305" s="394"/>
      <c r="Q305" s="341"/>
    </row>
    <row r="306" spans="1:17" s="362" customFormat="1">
      <c r="A306" s="333"/>
      <c r="B306" s="534">
        <v>17</v>
      </c>
      <c r="C306" s="535" t="s">
        <v>247</v>
      </c>
      <c r="D306" s="355" t="str">
        <f ca="1">IF(ISERROR(OFFSET('HARGA SATUAN'!$D$6,MATCH(RAB!C306,'HARGA SATUAN'!$C$7:$C$1492,0),0)),"",OFFSET('HARGA SATUAN'!$D$6,MATCH(RAB!C306,'HARGA SATUAN'!$C$7:$C$1492,0),0))</f>
        <v>HDW</v>
      </c>
      <c r="E306" s="356" t="str">
        <f ca="1">IF(B306="+","Unit",IF(ISERROR(OFFSET('HARGA SATUAN'!$E$6,MATCH(RAB!C306,'HARGA SATUAN'!$C$7:$C$1492,0),0)),"",OFFSET('HARGA SATUAN'!$E$6,MATCH(RAB!C306,'HARGA SATUAN'!$C$7:$C$1492,0),0)))</f>
        <v>Bh</v>
      </c>
      <c r="F306" s="537">
        <f>F289*3</f>
        <v>3</v>
      </c>
      <c r="G306" s="357">
        <f ca="1">IF(ISERROR(OFFSET('HARGA SATUAN'!$I$6,MATCH(RAB!C306,'HARGA SATUAN'!$C$7:$C$1492,0),0)),0,OFFSET('HARGA SATUAN'!$I$6,MATCH(RAB!C306,'HARGA SATUAN'!$C$7:$C$1492,0),0))</f>
        <v>57690</v>
      </c>
      <c r="H306" s="358">
        <f t="shared" ca="1" si="80"/>
        <v>0</v>
      </c>
      <c r="I306" s="358">
        <f t="shared" ca="1" si="81"/>
        <v>173070</v>
      </c>
      <c r="J306" s="358">
        <f t="shared" ca="1" si="82"/>
        <v>0</v>
      </c>
      <c r="K306" s="359">
        <f t="shared" ca="1" si="83"/>
        <v>173070</v>
      </c>
      <c r="L306" s="339"/>
      <c r="M306" s="339"/>
      <c r="N306" s="366"/>
      <c r="O306" s="341"/>
      <c r="P306" s="394"/>
      <c r="Q306" s="341"/>
    </row>
    <row r="307" spans="1:17" s="362" customFormat="1">
      <c r="A307" s="333"/>
      <c r="B307" s="534">
        <v>18</v>
      </c>
      <c r="C307" s="535" t="s">
        <v>27</v>
      </c>
      <c r="D307" s="355" t="str">
        <f ca="1">IF(ISERROR(OFFSET('HARGA SATUAN'!$D$6,MATCH(RAB!C307,'HARGA SATUAN'!$C$7:$C$1492,0),0)),"",OFFSET('HARGA SATUAN'!$D$6,MATCH(RAB!C307,'HARGA SATUAN'!$C$7:$C$1492,0),0))</f>
        <v>HDW</v>
      </c>
      <c r="E307" s="356" t="str">
        <f ca="1">IF(B307="+","Unit",IF(ISERROR(OFFSET('HARGA SATUAN'!$E$6,MATCH(RAB!C307,'HARGA SATUAN'!$C$7:$C$1492,0),0)),"",OFFSET('HARGA SATUAN'!$E$6,MATCH(RAB!C307,'HARGA SATUAN'!$C$7:$C$1492,0),0)))</f>
        <v>Bh</v>
      </c>
      <c r="F307" s="537">
        <f>F289*6</f>
        <v>6</v>
      </c>
      <c r="G307" s="357">
        <f ca="1">IF(ISERROR(OFFSET('HARGA SATUAN'!$I$6,MATCH(RAB!C307,'HARGA SATUAN'!$C$7:$C$1492,0),0)),0,OFFSET('HARGA SATUAN'!$I$6,MATCH(RAB!C307,'HARGA SATUAN'!$C$7:$C$1492,0),0))</f>
        <v>16000</v>
      </c>
      <c r="H307" s="358">
        <f t="shared" ca="1" si="80"/>
        <v>0</v>
      </c>
      <c r="I307" s="358">
        <f t="shared" ca="1" si="81"/>
        <v>96000</v>
      </c>
      <c r="J307" s="358">
        <f t="shared" ca="1" si="82"/>
        <v>0</v>
      </c>
      <c r="K307" s="359">
        <f t="shared" ca="1" si="83"/>
        <v>96000</v>
      </c>
      <c r="L307" s="339"/>
      <c r="M307" s="339"/>
      <c r="N307" s="366"/>
      <c r="O307" s="341"/>
      <c r="P307" s="394"/>
      <c r="Q307" s="341"/>
    </row>
    <row r="308" spans="1:17" s="362" customFormat="1">
      <c r="A308" s="333"/>
      <c r="B308" s="534">
        <v>19</v>
      </c>
      <c r="C308" s="535" t="s">
        <v>265</v>
      </c>
      <c r="D308" s="355" t="str">
        <f ca="1">IF(ISERROR(OFFSET('HARGA SATUAN'!$D$6,MATCH(RAB!C308,'HARGA SATUAN'!$C$7:$C$1492,0),0)),"",OFFSET('HARGA SATUAN'!$D$6,MATCH(RAB!C308,'HARGA SATUAN'!$C$7:$C$1492,0),0))</f>
        <v>HDW</v>
      </c>
      <c r="E308" s="356" t="str">
        <f ca="1">IF(B308="+","Unit",IF(ISERROR(OFFSET('HARGA SATUAN'!$E$6,MATCH(RAB!C308,'HARGA SATUAN'!$C$7:$C$1492,0),0)),"",OFFSET('HARGA SATUAN'!$E$6,MATCH(RAB!C308,'HARGA SATUAN'!$C$7:$C$1492,0),0)))</f>
        <v>Bh</v>
      </c>
      <c r="F308" s="537">
        <f>F289*2</f>
        <v>2</v>
      </c>
      <c r="G308" s="357">
        <f ca="1">IF(ISERROR(OFFSET('HARGA SATUAN'!$I$6,MATCH(RAB!C308,'HARGA SATUAN'!$C$7:$C$1492,0),0)),0,OFFSET('HARGA SATUAN'!$I$6,MATCH(RAB!C308,'HARGA SATUAN'!$C$7:$C$1492,0),0))</f>
        <v>33501.866666666669</v>
      </c>
      <c r="H308" s="358">
        <f t="shared" ca="1" si="80"/>
        <v>0</v>
      </c>
      <c r="I308" s="358">
        <f t="shared" ca="1" si="81"/>
        <v>67003.733333333337</v>
      </c>
      <c r="J308" s="358">
        <f t="shared" ca="1" si="82"/>
        <v>0</v>
      </c>
      <c r="K308" s="359">
        <f t="shared" ca="1" si="83"/>
        <v>67003.733333333337</v>
      </c>
      <c r="L308" s="339"/>
      <c r="M308" s="339"/>
      <c r="N308" s="366"/>
      <c r="O308" s="341"/>
      <c r="P308" s="394"/>
      <c r="Q308" s="341"/>
    </row>
    <row r="309" spans="1:17" s="362" customFormat="1">
      <c r="A309" s="333"/>
      <c r="B309" s="534">
        <v>20</v>
      </c>
      <c r="C309" s="535" t="s">
        <v>38</v>
      </c>
      <c r="D309" s="355" t="str">
        <f ca="1">IF(ISERROR(OFFSET('HARGA SATUAN'!$D$6,MATCH(RAB!C309,'HARGA SATUAN'!$C$7:$C$1492,0),0)),"",OFFSET('HARGA SATUAN'!$D$6,MATCH(RAB!C309,'HARGA SATUAN'!$C$7:$C$1492,0),0))</f>
        <v>HDW</v>
      </c>
      <c r="E309" s="356" t="str">
        <f ca="1">IF(B309="+","Unit",IF(ISERROR(OFFSET('HARGA SATUAN'!$E$6,MATCH(RAB!C309,'HARGA SATUAN'!$C$7:$C$1492,0),0)),"",OFFSET('HARGA SATUAN'!$E$6,MATCH(RAB!C309,'HARGA SATUAN'!$C$7:$C$1492,0),0)))</f>
        <v>Mtr</v>
      </c>
      <c r="F309" s="537">
        <f>3.6*F289</f>
        <v>3.6</v>
      </c>
      <c r="G309" s="357">
        <f ca="1">IF(ISERROR(OFFSET('HARGA SATUAN'!$I$6,MATCH(RAB!C309,'HARGA SATUAN'!$C$7:$C$1492,0),0)),0,OFFSET('HARGA SATUAN'!$I$6,MATCH(RAB!C309,'HARGA SATUAN'!$C$7:$C$1492,0),0))</f>
        <v>8550</v>
      </c>
      <c r="H309" s="358">
        <f t="shared" ca="1" si="80"/>
        <v>0</v>
      </c>
      <c r="I309" s="358">
        <f t="shared" ca="1" si="81"/>
        <v>30780</v>
      </c>
      <c r="J309" s="358">
        <f t="shared" ca="1" si="82"/>
        <v>0</v>
      </c>
      <c r="K309" s="359">
        <f t="shared" ca="1" si="83"/>
        <v>30780</v>
      </c>
      <c r="L309" s="339"/>
      <c r="M309" s="339"/>
      <c r="N309" s="366"/>
      <c r="O309" s="341"/>
      <c r="P309" s="394"/>
      <c r="Q309" s="341"/>
    </row>
    <row r="310" spans="1:17" s="362" customFormat="1">
      <c r="A310" s="333"/>
      <c r="B310" s="534">
        <v>21</v>
      </c>
      <c r="C310" s="535" t="s">
        <v>26</v>
      </c>
      <c r="D310" s="355" t="str">
        <f ca="1">IF(ISERROR(OFFSET('HARGA SATUAN'!$D$6,MATCH(RAB!C310,'HARGA SATUAN'!$C$7:$C$1492,0),0)),"",OFFSET('HARGA SATUAN'!$D$6,MATCH(RAB!C310,'HARGA SATUAN'!$C$7:$C$1492,0),0))</f>
        <v>HDW</v>
      </c>
      <c r="E310" s="356" t="str">
        <f ca="1">IF(B310="+","Unit",IF(ISERROR(OFFSET('HARGA SATUAN'!$E$6,MATCH(RAB!C310,'HARGA SATUAN'!$C$7:$C$1492,0),0)),"",OFFSET('HARGA SATUAN'!$E$6,MATCH(RAB!C310,'HARGA SATUAN'!$C$7:$C$1492,0),0)))</f>
        <v>Bh</v>
      </c>
      <c r="F310" s="537">
        <f>F289*22</f>
        <v>22</v>
      </c>
      <c r="G310" s="357">
        <f ca="1">IF(ISERROR(OFFSET('HARGA SATUAN'!$I$6,MATCH(RAB!C310,'HARGA SATUAN'!$C$7:$C$1492,0),0)),0,OFFSET('HARGA SATUAN'!$I$6,MATCH(RAB!C310,'HARGA SATUAN'!$C$7:$C$1492,0),0))</f>
        <v>2500</v>
      </c>
      <c r="H310" s="358">
        <f t="shared" ca="1" si="80"/>
        <v>0</v>
      </c>
      <c r="I310" s="358">
        <f t="shared" ca="1" si="81"/>
        <v>55000</v>
      </c>
      <c r="J310" s="358">
        <f t="shared" ca="1" si="82"/>
        <v>0</v>
      </c>
      <c r="K310" s="359">
        <f t="shared" ca="1" si="83"/>
        <v>55000</v>
      </c>
      <c r="L310" s="339"/>
      <c r="M310" s="339"/>
      <c r="N310" s="366"/>
      <c r="O310" s="341"/>
      <c r="P310" s="394"/>
      <c r="Q310" s="341"/>
    </row>
    <row r="311" spans="1:17" s="362" customFormat="1">
      <c r="A311" s="333"/>
      <c r="B311" s="534">
        <v>22</v>
      </c>
      <c r="C311" s="533" t="s">
        <v>709</v>
      </c>
      <c r="D311" s="355" t="str">
        <f ca="1">IF(ISERROR(OFFSET('HARGA SATUAN'!$D$6,MATCH(RAB!C311,'HARGA SATUAN'!$C$7:$C$1492,0),0)),"",OFFSET('HARGA SATUAN'!$D$6,MATCH(RAB!C311,'HARGA SATUAN'!$C$7:$C$1492,0),0))</f>
        <v>JASA</v>
      </c>
      <c r="E311" s="356" t="str">
        <f ca="1">IF(B311="+","Unit",IF(ISERROR(OFFSET('HARGA SATUAN'!$E$6,MATCH(RAB!C311,'HARGA SATUAN'!$C$7:$C$1492,0),0)),"",OFFSET('HARGA SATUAN'!$E$6,MATCH(RAB!C311,'HARGA SATUAN'!$C$7:$C$1492,0),0)))</f>
        <v>Unit</v>
      </c>
      <c r="F311" s="537">
        <f>F289*1</f>
        <v>1</v>
      </c>
      <c r="G311" s="357">
        <f ca="1">IF(ISERROR(OFFSET('HARGA SATUAN'!$I$6,MATCH(RAB!C311,'HARGA SATUAN'!$C$7:$C$1492,0),0)),0,OFFSET('HARGA SATUAN'!$I$6,MATCH(RAB!C311,'HARGA SATUAN'!$C$7:$C$1492,0),0))</f>
        <v>197500</v>
      </c>
      <c r="H311" s="358">
        <f t="shared" ca="1" si="80"/>
        <v>0</v>
      </c>
      <c r="I311" s="358">
        <f t="shared" ca="1" si="81"/>
        <v>0</v>
      </c>
      <c r="J311" s="358">
        <f t="shared" ca="1" si="82"/>
        <v>197500</v>
      </c>
      <c r="K311" s="359">
        <f t="shared" ca="1" si="83"/>
        <v>197500</v>
      </c>
      <c r="L311" s="339"/>
      <c r="M311" s="339"/>
      <c r="N311" s="366"/>
      <c r="O311" s="341"/>
      <c r="P311" s="394"/>
      <c r="Q311" s="341"/>
    </row>
    <row r="312" spans="1:17" s="362" customFormat="1">
      <c r="A312" s="333"/>
      <c r="B312" s="509"/>
      <c r="C312" s="510"/>
      <c r="D312" s="355" t="str">
        <f ca="1">IF(ISERROR(OFFSET('HARGA SATUAN'!$D$6,MATCH(RAB!C312,'HARGA SATUAN'!$C$7:$C$1492,0),0)),"",OFFSET('HARGA SATUAN'!$D$6,MATCH(RAB!C312,'HARGA SATUAN'!$C$7:$C$1492,0),0))</f>
        <v/>
      </c>
      <c r="E312" s="356" t="str">
        <f ca="1">IF(B312="+","Unit",IF(ISERROR(OFFSET('HARGA SATUAN'!$E$6,MATCH(RAB!C312,'HARGA SATUAN'!$C$7:$C$1492,0),0)),"",OFFSET('HARGA SATUAN'!$E$6,MATCH(RAB!C312,'HARGA SATUAN'!$C$7:$C$1492,0),0)))</f>
        <v/>
      </c>
      <c r="F312" s="515"/>
      <c r="G312" s="357">
        <f ca="1">IF(ISERROR(OFFSET('HARGA SATUAN'!$I$6,MATCH(RAB!C312,'HARGA SATUAN'!$C$7:$C$1492,0),0)),0,OFFSET('HARGA SATUAN'!$I$6,MATCH(RAB!C312,'HARGA SATUAN'!$C$7:$C$1492,0),0))</f>
        <v>0</v>
      </c>
      <c r="H312" s="358">
        <f t="shared" ca="1" si="80"/>
        <v>0</v>
      </c>
      <c r="I312" s="358">
        <f t="shared" ca="1" si="81"/>
        <v>0</v>
      </c>
      <c r="J312" s="358">
        <f t="shared" ca="1" si="82"/>
        <v>0</v>
      </c>
      <c r="K312" s="359">
        <f t="shared" ca="1" si="83"/>
        <v>0</v>
      </c>
      <c r="L312" s="339"/>
      <c r="M312" s="339"/>
      <c r="N312" s="366"/>
      <c r="O312" s="341"/>
      <c r="P312" s="394"/>
      <c r="Q312" s="341"/>
    </row>
    <row r="313" spans="1:17" s="362" customFormat="1">
      <c r="A313" s="333"/>
      <c r="B313" s="509"/>
      <c r="C313" s="505" t="s">
        <v>1659</v>
      </c>
      <c r="D313" s="355" t="str">
        <f ca="1">IF(ISERROR(OFFSET('HARGA SATUAN'!$D$6,MATCH(RAB!C313,'HARGA SATUAN'!$C$7:$C$1492,0),0)),"",OFFSET('HARGA SATUAN'!$D$6,MATCH(RAB!C313,'HARGA SATUAN'!$C$7:$C$1492,0),0))</f>
        <v/>
      </c>
      <c r="E313" s="356" t="str">
        <f ca="1">IF(B313="+","Unit",IF(ISERROR(OFFSET('HARGA SATUAN'!$E$6,MATCH(RAB!C313,'HARGA SATUAN'!$C$7:$C$1492,0),0)),"",OFFSET('HARGA SATUAN'!$E$6,MATCH(RAB!C313,'HARGA SATUAN'!$C$7:$C$1492,0),0)))</f>
        <v/>
      </c>
      <c r="F313" s="515"/>
      <c r="G313" s="357">
        <f ca="1">IF(ISERROR(OFFSET('HARGA SATUAN'!$I$6,MATCH(RAB!C313,'HARGA SATUAN'!$C$7:$C$1492,0),0)),0,OFFSET('HARGA SATUAN'!$I$6,MATCH(RAB!C313,'HARGA SATUAN'!$C$7:$C$1492,0),0))</f>
        <v>0</v>
      </c>
      <c r="H313" s="358">
        <f t="shared" ca="1" si="80"/>
        <v>0</v>
      </c>
      <c r="I313" s="358">
        <f t="shared" ca="1" si="81"/>
        <v>0</v>
      </c>
      <c r="J313" s="358">
        <f t="shared" ca="1" si="82"/>
        <v>0</v>
      </c>
      <c r="K313" s="359">
        <f t="shared" ca="1" si="83"/>
        <v>0</v>
      </c>
      <c r="L313" s="339"/>
      <c r="M313" s="339"/>
      <c r="N313" s="366"/>
      <c r="O313" s="341"/>
      <c r="P313" s="394"/>
      <c r="Q313" s="341"/>
    </row>
    <row r="314" spans="1:17" s="362" customFormat="1">
      <c r="A314" s="333"/>
      <c r="B314" s="509"/>
      <c r="C314" s="510"/>
      <c r="D314" s="355" t="str">
        <f ca="1">IF(ISERROR(OFFSET('HARGA SATUAN'!$D$6,MATCH(RAB!C314,'HARGA SATUAN'!$C$7:$C$1492,0),0)),"",OFFSET('HARGA SATUAN'!$D$6,MATCH(RAB!C314,'HARGA SATUAN'!$C$7:$C$1492,0),0))</f>
        <v/>
      </c>
      <c r="E314" s="356" t="str">
        <f ca="1">IF(B314="+","Unit",IF(ISERROR(OFFSET('HARGA SATUAN'!$E$6,MATCH(RAB!C314,'HARGA SATUAN'!$C$7:$C$1492,0),0)),"",OFFSET('HARGA SATUAN'!$E$6,MATCH(RAB!C314,'HARGA SATUAN'!$C$7:$C$1492,0),0)))</f>
        <v/>
      </c>
      <c r="F314" s="515"/>
      <c r="G314" s="357">
        <f ca="1">IF(ISERROR(OFFSET('HARGA SATUAN'!$I$6,MATCH(RAB!C314,'HARGA SATUAN'!$C$7:$C$1492,0),0)),0,OFFSET('HARGA SATUAN'!$I$6,MATCH(RAB!C314,'HARGA SATUAN'!$C$7:$C$1492,0),0))</f>
        <v>0</v>
      </c>
      <c r="H314" s="358">
        <f t="shared" ca="1" si="80"/>
        <v>0</v>
      </c>
      <c r="I314" s="358">
        <f t="shared" ca="1" si="81"/>
        <v>0</v>
      </c>
      <c r="J314" s="358">
        <f t="shared" ca="1" si="82"/>
        <v>0</v>
      </c>
      <c r="K314" s="359">
        <f t="shared" ca="1" si="83"/>
        <v>0</v>
      </c>
      <c r="L314" s="339"/>
      <c r="M314" s="339"/>
      <c r="N314" s="366"/>
      <c r="O314" s="341"/>
      <c r="P314" s="394"/>
      <c r="Q314" s="341"/>
    </row>
    <row r="315" spans="1:17" s="362" customFormat="1">
      <c r="A315" s="333"/>
      <c r="B315" s="532" t="s">
        <v>1035</v>
      </c>
      <c r="C315" s="498" t="s">
        <v>1640</v>
      </c>
      <c r="D315" s="355" t="str">
        <f ca="1">IF(ISERROR(OFFSET('HARGA SATUAN'!$D$6,MATCH(RAB!C315,'HARGA SATUAN'!$C$7:$C$1492,0),0)),"",OFFSET('HARGA SATUAN'!$D$6,MATCH(RAB!C315,'HARGA SATUAN'!$C$7:$C$1492,0),0))</f>
        <v/>
      </c>
      <c r="E315" s="356" t="str">
        <f ca="1">IF(B315="+","Unit",IF(ISERROR(OFFSET('HARGA SATUAN'!$E$6,MATCH(RAB!C315,'HARGA SATUAN'!$C$7:$C$1492,0),0)),"",OFFSET('HARGA SATUAN'!$E$6,MATCH(RAB!C315,'HARGA SATUAN'!$C$7:$C$1492,0),0)))</f>
        <v>Unit</v>
      </c>
      <c r="F315" s="536">
        <v>1</v>
      </c>
      <c r="G315" s="357">
        <f ca="1">IF(ISERROR(OFFSET('HARGA SATUAN'!$I$6,MATCH(RAB!C315,'HARGA SATUAN'!$C$7:$C$1492,0),0)),0,OFFSET('HARGA SATUAN'!$I$6,MATCH(RAB!C315,'HARGA SATUAN'!$C$7:$C$1492,0),0))</f>
        <v>0</v>
      </c>
      <c r="H315" s="358">
        <f t="shared" ca="1" si="80"/>
        <v>0</v>
      </c>
      <c r="I315" s="358">
        <f t="shared" ca="1" si="81"/>
        <v>0</v>
      </c>
      <c r="J315" s="358">
        <f t="shared" ca="1" si="82"/>
        <v>0</v>
      </c>
      <c r="K315" s="359">
        <f t="shared" ca="1" si="83"/>
        <v>0</v>
      </c>
      <c r="L315" s="339"/>
      <c r="M315" s="339"/>
      <c r="N315" s="366"/>
      <c r="O315" s="341"/>
      <c r="P315" s="394"/>
      <c r="Q315" s="341"/>
    </row>
    <row r="316" spans="1:17" s="362" customFormat="1">
      <c r="A316" s="333"/>
      <c r="B316" s="532">
        <v>1</v>
      </c>
      <c r="C316" s="507" t="s">
        <v>1566</v>
      </c>
      <c r="D316" s="355" t="str">
        <f ca="1">IF(ISERROR(OFFSET('HARGA SATUAN'!$D$6,MATCH(RAB!C316,'HARGA SATUAN'!$C$7:$C$1492,0),0)),"",OFFSET('HARGA SATUAN'!$D$6,MATCH(RAB!C316,'HARGA SATUAN'!$C$7:$C$1492,0),0))</f>
        <v>MDU-KD</v>
      </c>
      <c r="E316" s="356" t="str">
        <f ca="1">IF(B316="+","Unit",IF(ISERROR(OFFSET('HARGA SATUAN'!$E$6,MATCH(RAB!C316,'HARGA SATUAN'!$C$7:$C$1492,0),0)),"",OFFSET('HARGA SATUAN'!$E$6,MATCH(RAB!C316,'HARGA SATUAN'!$C$7:$C$1492,0),0)))</f>
        <v>Set</v>
      </c>
      <c r="F316" s="536">
        <f>F315*1</f>
        <v>1</v>
      </c>
      <c r="G316" s="357">
        <f ca="1">IF(ISERROR(OFFSET('HARGA SATUAN'!$I$6,MATCH(RAB!C316,'HARGA SATUAN'!$C$7:$C$1492,0),0)),0,OFFSET('HARGA SATUAN'!$I$6,MATCH(RAB!C316,'HARGA SATUAN'!$C$7:$C$1492,0),0))</f>
        <v>205700</v>
      </c>
      <c r="H316" s="358">
        <f t="shared" ca="1" si="80"/>
        <v>205700</v>
      </c>
      <c r="I316" s="358">
        <f t="shared" ca="1" si="81"/>
        <v>0</v>
      </c>
      <c r="J316" s="358">
        <f t="shared" ca="1" si="82"/>
        <v>0</v>
      </c>
      <c r="K316" s="359">
        <f t="shared" ca="1" si="83"/>
        <v>205700</v>
      </c>
      <c r="L316" s="339"/>
      <c r="M316" s="339"/>
      <c r="N316" s="366"/>
      <c r="O316" s="341"/>
      <c r="P316" s="394"/>
      <c r="Q316" s="341"/>
    </row>
    <row r="317" spans="1:17" s="362" customFormat="1">
      <c r="A317" s="333"/>
      <c r="B317" s="532">
        <v>2</v>
      </c>
      <c r="C317" s="498" t="s">
        <v>152</v>
      </c>
      <c r="D317" s="355" t="str">
        <f ca="1">IF(ISERROR(OFFSET('HARGA SATUAN'!$D$6,MATCH(RAB!C317,'HARGA SATUAN'!$C$7:$C$1492,0),0)),"",OFFSET('HARGA SATUAN'!$D$6,MATCH(RAB!C317,'HARGA SATUAN'!$C$7:$C$1492,0),0))</f>
        <v>HDW</v>
      </c>
      <c r="E317" s="356" t="str">
        <f ca="1">IF(B317="+","Unit",IF(ISERROR(OFFSET('HARGA SATUAN'!$E$6,MATCH(RAB!C317,'HARGA SATUAN'!$C$7:$C$1492,0),0)),"",OFFSET('HARGA SATUAN'!$E$6,MATCH(RAB!C317,'HARGA SATUAN'!$C$7:$C$1492,0),0)))</f>
        <v>Mtr</v>
      </c>
      <c r="F317" s="536">
        <f>F315*1</f>
        <v>1</v>
      </c>
      <c r="G317" s="357">
        <f ca="1">IF(ISERROR(OFFSET('HARGA SATUAN'!$I$6,MATCH(RAB!C317,'HARGA SATUAN'!$C$7:$C$1492,0),0)),0,OFFSET('HARGA SATUAN'!$I$6,MATCH(RAB!C317,'HARGA SATUAN'!$C$7:$C$1492,0),0))</f>
        <v>7789</v>
      </c>
      <c r="H317" s="358">
        <f t="shared" ca="1" si="80"/>
        <v>0</v>
      </c>
      <c r="I317" s="358">
        <f t="shared" ca="1" si="81"/>
        <v>7789</v>
      </c>
      <c r="J317" s="358">
        <f t="shared" ca="1" si="82"/>
        <v>0</v>
      </c>
      <c r="K317" s="359">
        <f t="shared" ca="1" si="83"/>
        <v>7789</v>
      </c>
      <c r="L317" s="339"/>
      <c r="M317" s="339"/>
      <c r="N317" s="366"/>
      <c r="O317" s="341"/>
      <c r="P317" s="394"/>
      <c r="Q317" s="341"/>
    </row>
    <row r="318" spans="1:17" s="362" customFormat="1">
      <c r="A318" s="333"/>
      <c r="B318" s="532">
        <v>3</v>
      </c>
      <c r="C318" s="498" t="s">
        <v>179</v>
      </c>
      <c r="D318" s="355" t="str">
        <f ca="1">IF(ISERROR(OFFSET('HARGA SATUAN'!$D$6,MATCH(RAB!C318,'HARGA SATUAN'!$C$7:$C$1492,0),0)),"",OFFSET('HARGA SATUAN'!$D$6,MATCH(RAB!C318,'HARGA SATUAN'!$C$7:$C$1492,0),0))</f>
        <v>HDW</v>
      </c>
      <c r="E318" s="356" t="str">
        <f ca="1">IF(B318="+","Unit",IF(ISERROR(OFFSET('HARGA SATUAN'!$E$6,MATCH(RAB!C318,'HARGA SATUAN'!$C$7:$C$1492,0),0)),"",OFFSET('HARGA SATUAN'!$E$6,MATCH(RAB!C318,'HARGA SATUAN'!$C$7:$C$1492,0),0)))</f>
        <v>Bh</v>
      </c>
      <c r="F318" s="536">
        <f>F315*1</f>
        <v>1</v>
      </c>
      <c r="G318" s="357">
        <f ca="1">IF(ISERROR(OFFSET('HARGA SATUAN'!$I$6,MATCH(RAB!C318,'HARGA SATUAN'!$C$7:$C$1492,0),0)),0,OFFSET('HARGA SATUAN'!$I$6,MATCH(RAB!C318,'HARGA SATUAN'!$C$7:$C$1492,0),0))</f>
        <v>15500</v>
      </c>
      <c r="H318" s="358">
        <f t="shared" ca="1" si="80"/>
        <v>0</v>
      </c>
      <c r="I318" s="358">
        <f t="shared" ca="1" si="81"/>
        <v>15500</v>
      </c>
      <c r="J318" s="358">
        <f t="shared" ca="1" si="82"/>
        <v>0</v>
      </c>
      <c r="K318" s="359">
        <f t="shared" ca="1" si="83"/>
        <v>15500</v>
      </c>
      <c r="L318" s="339"/>
      <c r="M318" s="339"/>
      <c r="N318" s="366"/>
      <c r="O318" s="341"/>
      <c r="P318" s="394"/>
      <c r="Q318" s="341"/>
    </row>
    <row r="319" spans="1:17" s="362" customFormat="1">
      <c r="A319" s="333"/>
      <c r="B319" s="532">
        <v>4</v>
      </c>
      <c r="C319" s="498" t="s">
        <v>217</v>
      </c>
      <c r="D319" s="355" t="str">
        <f ca="1">IF(ISERROR(OFFSET('HARGA SATUAN'!$D$6,MATCH(RAB!C319,'HARGA SATUAN'!$C$7:$C$1492,0),0)),"",OFFSET('HARGA SATUAN'!$D$6,MATCH(RAB!C319,'HARGA SATUAN'!$C$7:$C$1492,0),0))</f>
        <v>HDW</v>
      </c>
      <c r="E319" s="356" t="str">
        <f ca="1">IF(B319="+","Unit",IF(ISERROR(OFFSET('HARGA SATUAN'!$E$6,MATCH(RAB!C319,'HARGA SATUAN'!$C$7:$C$1492,0),0)),"",OFFSET('HARGA SATUAN'!$E$6,MATCH(RAB!C319,'HARGA SATUAN'!$C$7:$C$1492,0),0)))</f>
        <v>Bh</v>
      </c>
      <c r="F319" s="536">
        <f>F315*2</f>
        <v>2</v>
      </c>
      <c r="G319" s="357">
        <f ca="1">IF(ISERROR(OFFSET('HARGA SATUAN'!$I$6,MATCH(RAB!C319,'HARGA SATUAN'!$C$7:$C$1492,0),0)),0,OFFSET('HARGA SATUAN'!$I$6,MATCH(RAB!C319,'HARGA SATUAN'!$C$7:$C$1492,0),0))</f>
        <v>11400</v>
      </c>
      <c r="H319" s="358">
        <f t="shared" ca="1" si="80"/>
        <v>0</v>
      </c>
      <c r="I319" s="358">
        <f t="shared" ca="1" si="81"/>
        <v>22800</v>
      </c>
      <c r="J319" s="358">
        <f t="shared" ca="1" si="82"/>
        <v>0</v>
      </c>
      <c r="K319" s="359">
        <f t="shared" ca="1" si="83"/>
        <v>22800</v>
      </c>
      <c r="L319" s="339"/>
      <c r="M319" s="339"/>
      <c r="N319" s="366"/>
      <c r="O319" s="341"/>
      <c r="P319" s="394"/>
      <c r="Q319" s="341"/>
    </row>
    <row r="320" spans="1:17" s="362" customFormat="1">
      <c r="A320" s="333"/>
      <c r="B320" s="532">
        <v>5</v>
      </c>
      <c r="C320" s="498" t="s">
        <v>218</v>
      </c>
      <c r="D320" s="355" t="str">
        <f ca="1">IF(ISERROR(OFFSET('HARGA SATUAN'!$D$6,MATCH(RAB!C320,'HARGA SATUAN'!$C$7:$C$1492,0),0)),"",OFFSET('HARGA SATUAN'!$D$6,MATCH(RAB!C320,'HARGA SATUAN'!$C$7:$C$1492,0),0))</f>
        <v>HDW</v>
      </c>
      <c r="E320" s="356" t="str">
        <f ca="1">IF(B320="+","Unit",IF(ISERROR(OFFSET('HARGA SATUAN'!$E$6,MATCH(RAB!C320,'HARGA SATUAN'!$C$7:$C$1492,0),0)),"",OFFSET('HARGA SATUAN'!$E$6,MATCH(RAB!C320,'HARGA SATUAN'!$C$7:$C$1492,0),0)))</f>
        <v>Bh</v>
      </c>
      <c r="F320" s="536">
        <f>F315*2</f>
        <v>2</v>
      </c>
      <c r="G320" s="357">
        <f ca="1">IF(ISERROR(OFFSET('HARGA SATUAN'!$I$6,MATCH(RAB!C320,'HARGA SATUAN'!$C$7:$C$1492,0),0)),0,OFFSET('HARGA SATUAN'!$I$6,MATCH(RAB!C320,'HARGA SATUAN'!$C$7:$C$1492,0),0))</f>
        <v>29600</v>
      </c>
      <c r="H320" s="358">
        <f t="shared" ca="1" si="80"/>
        <v>0</v>
      </c>
      <c r="I320" s="358">
        <f t="shared" ca="1" si="81"/>
        <v>59200</v>
      </c>
      <c r="J320" s="358">
        <f t="shared" ca="1" si="82"/>
        <v>0</v>
      </c>
      <c r="K320" s="359">
        <f t="shared" ca="1" si="83"/>
        <v>59200</v>
      </c>
      <c r="L320" s="339"/>
      <c r="M320" s="339"/>
      <c r="N320" s="366"/>
      <c r="O320" s="341"/>
      <c r="P320" s="394"/>
      <c r="Q320" s="341"/>
    </row>
    <row r="321" spans="1:17" s="362" customFormat="1">
      <c r="A321" s="333"/>
      <c r="B321" s="532">
        <v>6</v>
      </c>
      <c r="C321" s="498" t="s">
        <v>223</v>
      </c>
      <c r="D321" s="355" t="str">
        <f ca="1">IF(ISERROR(OFFSET('HARGA SATUAN'!$D$6,MATCH(RAB!C321,'HARGA SATUAN'!$C$7:$C$1492,0),0)),"",OFFSET('HARGA SATUAN'!$D$6,MATCH(RAB!C321,'HARGA SATUAN'!$C$7:$C$1492,0),0))</f>
        <v>HDW</v>
      </c>
      <c r="E321" s="356" t="str">
        <f ca="1">IF(B321="+","Unit",IF(ISERROR(OFFSET('HARGA SATUAN'!$E$6,MATCH(RAB!C321,'HARGA SATUAN'!$C$7:$C$1492,0),0)),"",OFFSET('HARGA SATUAN'!$E$6,MATCH(RAB!C321,'HARGA SATUAN'!$C$7:$C$1492,0),0)))</f>
        <v>Bh</v>
      </c>
      <c r="F321" s="536">
        <f>F315*2</f>
        <v>2</v>
      </c>
      <c r="G321" s="357">
        <f ca="1">IF(ISERROR(OFFSET('HARGA SATUAN'!$I$6,MATCH(RAB!C321,'HARGA SATUAN'!$C$7:$C$1492,0),0)),0,OFFSET('HARGA SATUAN'!$I$6,MATCH(RAB!C321,'HARGA SATUAN'!$C$7:$C$1492,0),0))</f>
        <v>27815</v>
      </c>
      <c r="H321" s="358">
        <f t="shared" ca="1" si="80"/>
        <v>0</v>
      </c>
      <c r="I321" s="358">
        <f t="shared" ca="1" si="81"/>
        <v>55630</v>
      </c>
      <c r="J321" s="358">
        <f t="shared" ca="1" si="82"/>
        <v>0</v>
      </c>
      <c r="K321" s="359">
        <f t="shared" ca="1" si="83"/>
        <v>55630</v>
      </c>
      <c r="L321" s="339"/>
      <c r="M321" s="339"/>
      <c r="N321" s="366"/>
      <c r="O321" s="341"/>
      <c r="P321" s="394"/>
      <c r="Q321" s="341"/>
    </row>
    <row r="322" spans="1:17" s="362" customFormat="1">
      <c r="A322" s="333"/>
      <c r="B322" s="532">
        <v>7</v>
      </c>
      <c r="C322" s="498" t="s">
        <v>27</v>
      </c>
      <c r="D322" s="355" t="str">
        <f ca="1">IF(ISERROR(OFFSET('HARGA SATUAN'!$D$6,MATCH(RAB!C322,'HARGA SATUAN'!$C$7:$C$1492,0),0)),"",OFFSET('HARGA SATUAN'!$D$6,MATCH(RAB!C322,'HARGA SATUAN'!$C$7:$C$1492,0),0))</f>
        <v>HDW</v>
      </c>
      <c r="E322" s="356" t="str">
        <f ca="1">IF(B322="+","Unit",IF(ISERROR(OFFSET('HARGA SATUAN'!$E$6,MATCH(RAB!C322,'HARGA SATUAN'!$C$7:$C$1492,0),0)),"",OFFSET('HARGA SATUAN'!$E$6,MATCH(RAB!C322,'HARGA SATUAN'!$C$7:$C$1492,0),0)))</f>
        <v>Bh</v>
      </c>
      <c r="F322" s="536">
        <f>F315*1</f>
        <v>1</v>
      </c>
      <c r="G322" s="357">
        <f ca="1">IF(ISERROR(OFFSET('HARGA SATUAN'!$I$6,MATCH(RAB!C322,'HARGA SATUAN'!$C$7:$C$1492,0),0)),0,OFFSET('HARGA SATUAN'!$I$6,MATCH(RAB!C322,'HARGA SATUAN'!$C$7:$C$1492,0),0))</f>
        <v>16000</v>
      </c>
      <c r="H322" s="358">
        <f t="shared" ca="1" si="80"/>
        <v>0</v>
      </c>
      <c r="I322" s="358">
        <f t="shared" ca="1" si="81"/>
        <v>16000</v>
      </c>
      <c r="J322" s="358">
        <f t="shared" ca="1" si="82"/>
        <v>0</v>
      </c>
      <c r="K322" s="359">
        <f t="shared" ca="1" si="83"/>
        <v>16000</v>
      </c>
      <c r="L322" s="339"/>
      <c r="M322" s="339"/>
      <c r="N322" s="366"/>
      <c r="O322" s="341"/>
      <c r="P322" s="394"/>
      <c r="Q322" s="341"/>
    </row>
    <row r="323" spans="1:17" s="362" customFormat="1">
      <c r="A323" s="333"/>
      <c r="B323" s="532">
        <v>8</v>
      </c>
      <c r="C323" s="498" t="s">
        <v>265</v>
      </c>
      <c r="D323" s="355" t="str">
        <f ca="1">IF(ISERROR(OFFSET('HARGA SATUAN'!$D$6,MATCH(RAB!C323,'HARGA SATUAN'!$C$7:$C$1492,0),0)),"",OFFSET('HARGA SATUAN'!$D$6,MATCH(RAB!C323,'HARGA SATUAN'!$C$7:$C$1492,0),0))</f>
        <v>HDW</v>
      </c>
      <c r="E323" s="356" t="str">
        <f ca="1">IF(B323="+","Unit",IF(ISERROR(OFFSET('HARGA SATUAN'!$E$6,MATCH(RAB!C323,'HARGA SATUAN'!$C$7:$C$1492,0),0)),"",OFFSET('HARGA SATUAN'!$E$6,MATCH(RAB!C323,'HARGA SATUAN'!$C$7:$C$1492,0),0)))</f>
        <v>Bh</v>
      </c>
      <c r="F323" s="536">
        <f>F315*1</f>
        <v>1</v>
      </c>
      <c r="G323" s="357">
        <f ca="1">IF(ISERROR(OFFSET('HARGA SATUAN'!$I$6,MATCH(RAB!C323,'HARGA SATUAN'!$C$7:$C$1492,0),0)),0,OFFSET('HARGA SATUAN'!$I$6,MATCH(RAB!C323,'HARGA SATUAN'!$C$7:$C$1492,0),0))</f>
        <v>33501.866666666669</v>
      </c>
      <c r="H323" s="358">
        <f t="shared" ca="1" si="80"/>
        <v>0</v>
      </c>
      <c r="I323" s="358">
        <f t="shared" ca="1" si="81"/>
        <v>33501.866666666669</v>
      </c>
      <c r="J323" s="358">
        <f t="shared" ca="1" si="82"/>
        <v>0</v>
      </c>
      <c r="K323" s="359">
        <f t="shared" ca="1" si="83"/>
        <v>33501.866666666669</v>
      </c>
      <c r="L323" s="339"/>
      <c r="M323" s="339"/>
      <c r="N323" s="366"/>
      <c r="O323" s="341"/>
      <c r="P323" s="394"/>
      <c r="Q323" s="341"/>
    </row>
    <row r="324" spans="1:17" s="362" customFormat="1">
      <c r="A324" s="333"/>
      <c r="B324" s="532">
        <v>9</v>
      </c>
      <c r="C324" s="498" t="s">
        <v>26</v>
      </c>
      <c r="D324" s="355" t="str">
        <f ca="1">IF(ISERROR(OFFSET('HARGA SATUAN'!$D$6,MATCH(RAB!C324,'HARGA SATUAN'!$C$7:$C$1492,0),0)),"",OFFSET('HARGA SATUAN'!$D$6,MATCH(RAB!C324,'HARGA SATUAN'!$C$7:$C$1492,0),0))</f>
        <v>HDW</v>
      </c>
      <c r="E324" s="356" t="str">
        <f ca="1">IF(B324="+","Unit",IF(ISERROR(OFFSET('HARGA SATUAN'!$E$6,MATCH(RAB!C324,'HARGA SATUAN'!$C$7:$C$1492,0),0)),"",OFFSET('HARGA SATUAN'!$E$6,MATCH(RAB!C324,'HARGA SATUAN'!$C$7:$C$1492,0),0)))</f>
        <v>Bh</v>
      </c>
      <c r="F324" s="536">
        <f>F315*2</f>
        <v>2</v>
      </c>
      <c r="G324" s="357">
        <f ca="1">IF(ISERROR(OFFSET('HARGA SATUAN'!$I$6,MATCH(RAB!C324,'HARGA SATUAN'!$C$7:$C$1492,0),0)),0,OFFSET('HARGA SATUAN'!$I$6,MATCH(RAB!C324,'HARGA SATUAN'!$C$7:$C$1492,0),0))</f>
        <v>2500</v>
      </c>
      <c r="H324" s="358">
        <f t="shared" ca="1" si="80"/>
        <v>0</v>
      </c>
      <c r="I324" s="358">
        <f t="shared" ca="1" si="81"/>
        <v>5000</v>
      </c>
      <c r="J324" s="358">
        <f t="shared" ca="1" si="82"/>
        <v>0</v>
      </c>
      <c r="K324" s="359">
        <f t="shared" ca="1" si="83"/>
        <v>5000</v>
      </c>
      <c r="L324" s="339"/>
      <c r="M324" s="339"/>
      <c r="N324" s="366"/>
      <c r="O324" s="341"/>
      <c r="P324" s="394"/>
      <c r="Q324" s="341"/>
    </row>
    <row r="325" spans="1:17" s="362" customFormat="1">
      <c r="A325" s="333"/>
      <c r="B325" s="532">
        <v>10</v>
      </c>
      <c r="C325" s="498" t="s">
        <v>655</v>
      </c>
      <c r="D325" s="355" t="str">
        <f ca="1">IF(ISERROR(OFFSET('HARGA SATUAN'!$D$6,MATCH(RAB!C325,'HARGA SATUAN'!$C$7:$C$1492,0),0)),"",OFFSET('HARGA SATUAN'!$D$6,MATCH(RAB!C325,'HARGA SATUAN'!$C$7:$C$1492,0),0))</f>
        <v>JASA</v>
      </c>
      <c r="E325" s="356" t="str">
        <f ca="1">IF(B325="+","Unit",IF(ISERROR(OFFSET('HARGA SATUAN'!$E$6,MATCH(RAB!C325,'HARGA SATUAN'!$C$7:$C$1492,0),0)),"",OFFSET('HARGA SATUAN'!$E$6,MATCH(RAB!C325,'HARGA SATUAN'!$C$7:$C$1492,0),0)))</f>
        <v>Unit</v>
      </c>
      <c r="F325" s="536">
        <f>F315*1</f>
        <v>1</v>
      </c>
      <c r="G325" s="357">
        <f ca="1">IF(ISERROR(OFFSET('HARGA SATUAN'!$I$6,MATCH(RAB!C325,'HARGA SATUAN'!$C$7:$C$1492,0),0)),0,OFFSET('HARGA SATUAN'!$I$6,MATCH(RAB!C325,'HARGA SATUAN'!$C$7:$C$1492,0),0))</f>
        <v>50100</v>
      </c>
      <c r="H325" s="358">
        <f t="shared" ca="1" si="80"/>
        <v>0</v>
      </c>
      <c r="I325" s="358">
        <f t="shared" ca="1" si="81"/>
        <v>0</v>
      </c>
      <c r="J325" s="358">
        <f t="shared" ca="1" si="82"/>
        <v>50100</v>
      </c>
      <c r="K325" s="359">
        <f t="shared" ca="1" si="83"/>
        <v>50100</v>
      </c>
      <c r="L325" s="339"/>
      <c r="M325" s="339"/>
      <c r="N325" s="366"/>
      <c r="O325" s="341"/>
      <c r="P325" s="394"/>
      <c r="Q325" s="341"/>
    </row>
    <row r="326" spans="1:17" s="362" customFormat="1">
      <c r="A326" s="333"/>
      <c r="B326" s="506"/>
      <c r="C326" s="507"/>
      <c r="D326" s="355" t="str">
        <f ca="1">IF(ISERROR(OFFSET('HARGA SATUAN'!$D$6,MATCH(RAB!C326,'HARGA SATUAN'!$C$7:$C$1492,0),0)),"",OFFSET('HARGA SATUAN'!$D$6,MATCH(RAB!C326,'HARGA SATUAN'!$C$7:$C$1492,0),0))</f>
        <v/>
      </c>
      <c r="E326" s="356" t="str">
        <f ca="1">IF(B326="+","Unit",IF(ISERROR(OFFSET('HARGA SATUAN'!$E$6,MATCH(RAB!C326,'HARGA SATUAN'!$C$7:$C$1492,0),0)),"",OFFSET('HARGA SATUAN'!$E$6,MATCH(RAB!C326,'HARGA SATUAN'!$C$7:$C$1492,0),0)))</f>
        <v/>
      </c>
      <c r="F326" s="515"/>
      <c r="G326" s="357">
        <f ca="1">IF(ISERROR(OFFSET('HARGA SATUAN'!$I$6,MATCH(RAB!C326,'HARGA SATUAN'!$C$7:$C$1492,0),0)),0,OFFSET('HARGA SATUAN'!$I$6,MATCH(RAB!C326,'HARGA SATUAN'!$C$7:$C$1492,0),0))</f>
        <v>0</v>
      </c>
      <c r="H326" s="358">
        <f t="shared" ca="1" si="80"/>
        <v>0</v>
      </c>
      <c r="I326" s="358">
        <f t="shared" ca="1" si="81"/>
        <v>0</v>
      </c>
      <c r="J326" s="358">
        <f t="shared" ca="1" si="82"/>
        <v>0</v>
      </c>
      <c r="K326" s="359">
        <f t="shared" ca="1" si="83"/>
        <v>0</v>
      </c>
      <c r="L326" s="339"/>
      <c r="M326" s="339"/>
      <c r="N326" s="366"/>
      <c r="O326" s="341"/>
      <c r="P326" s="394"/>
      <c r="Q326" s="341"/>
    </row>
    <row r="327" spans="1:17" s="362" customFormat="1">
      <c r="A327" s="333"/>
      <c r="B327" s="538"/>
      <c r="C327" s="505" t="s">
        <v>1661</v>
      </c>
      <c r="D327" s="355" t="str">
        <f ca="1">IF(ISERROR(OFFSET('HARGA SATUAN'!$D$6,MATCH(RAB!C327,'HARGA SATUAN'!$C$7:$C$1492,0),0)),"",OFFSET('HARGA SATUAN'!$D$6,MATCH(RAB!C327,'HARGA SATUAN'!$C$7:$C$1492,0),0))</f>
        <v/>
      </c>
      <c r="E327" s="356" t="str">
        <f ca="1">IF(B327="+","Unit",IF(ISERROR(OFFSET('HARGA SATUAN'!$E$6,MATCH(RAB!C327,'HARGA SATUAN'!$C$7:$C$1492,0),0)),"",OFFSET('HARGA SATUAN'!$E$6,MATCH(RAB!C327,'HARGA SATUAN'!$C$7:$C$1492,0),0)))</f>
        <v/>
      </c>
      <c r="F327" s="515"/>
      <c r="G327" s="357">
        <f ca="1">IF(ISERROR(OFFSET('HARGA SATUAN'!$I$6,MATCH(RAB!C327,'HARGA SATUAN'!$C$7:$C$1492,0),0)),0,OFFSET('HARGA SATUAN'!$I$6,MATCH(RAB!C327,'HARGA SATUAN'!$C$7:$C$1492,0),0))</f>
        <v>0</v>
      </c>
      <c r="H327" s="358">
        <f t="shared" ca="1" si="80"/>
        <v>0</v>
      </c>
      <c r="I327" s="358">
        <f t="shared" ca="1" si="81"/>
        <v>0</v>
      </c>
      <c r="J327" s="358">
        <f t="shared" ca="1" si="82"/>
        <v>0</v>
      </c>
      <c r="K327" s="359">
        <f t="shared" ca="1" si="83"/>
        <v>0</v>
      </c>
      <c r="L327" s="339"/>
      <c r="M327" s="339"/>
      <c r="N327" s="366"/>
      <c r="O327" s="341"/>
      <c r="P327" s="394"/>
      <c r="Q327" s="341"/>
    </row>
    <row r="328" spans="1:17" s="362" customFormat="1">
      <c r="A328" s="333"/>
      <c r="B328" s="506"/>
      <c r="C328" s="507"/>
      <c r="D328" s="355" t="str">
        <f ca="1">IF(ISERROR(OFFSET('HARGA SATUAN'!$D$6,MATCH(RAB!C328,'HARGA SATUAN'!$C$7:$C$1492,0),0)),"",OFFSET('HARGA SATUAN'!$D$6,MATCH(RAB!C328,'HARGA SATUAN'!$C$7:$C$1492,0),0))</f>
        <v/>
      </c>
      <c r="E328" s="356" t="str">
        <f ca="1">IF(B328="+","Unit",IF(ISERROR(OFFSET('HARGA SATUAN'!$E$6,MATCH(RAB!C328,'HARGA SATUAN'!$C$7:$C$1492,0),0)),"",OFFSET('HARGA SATUAN'!$E$6,MATCH(RAB!C328,'HARGA SATUAN'!$C$7:$C$1492,0),0)))</f>
        <v/>
      </c>
      <c r="F328" s="515"/>
      <c r="G328" s="357">
        <f ca="1">IF(ISERROR(OFFSET('HARGA SATUAN'!$I$6,MATCH(RAB!C328,'HARGA SATUAN'!$C$7:$C$1492,0),0)),0,OFFSET('HARGA SATUAN'!$I$6,MATCH(RAB!C328,'HARGA SATUAN'!$C$7:$C$1492,0),0))</f>
        <v>0</v>
      </c>
      <c r="H328" s="358">
        <f t="shared" ca="1" si="80"/>
        <v>0</v>
      </c>
      <c r="I328" s="358">
        <f t="shared" ca="1" si="81"/>
        <v>0</v>
      </c>
      <c r="J328" s="358">
        <f t="shared" ca="1" si="82"/>
        <v>0</v>
      </c>
      <c r="K328" s="359">
        <f t="shared" ca="1" si="83"/>
        <v>0</v>
      </c>
      <c r="L328" s="339"/>
      <c r="M328" s="339"/>
      <c r="N328" s="366"/>
      <c r="O328" s="341"/>
      <c r="P328" s="394"/>
      <c r="Q328" s="341"/>
    </row>
    <row r="329" spans="1:17" s="362" customFormat="1">
      <c r="A329" s="333"/>
      <c r="B329" s="532" t="s">
        <v>1035</v>
      </c>
      <c r="C329" s="533" t="s">
        <v>1654</v>
      </c>
      <c r="D329" s="355" t="str">
        <f ca="1">IF(ISERROR(OFFSET('HARGA SATUAN'!$D$6,MATCH(RAB!C329,'HARGA SATUAN'!$C$7:$C$1492,0),0)),"",OFFSET('HARGA SATUAN'!$D$6,MATCH(RAB!C329,'HARGA SATUAN'!$C$7:$C$1492,0),0))</f>
        <v/>
      </c>
      <c r="E329" s="356" t="str">
        <f ca="1">IF(B329="+","Unit",IF(ISERROR(OFFSET('HARGA SATUAN'!$E$6,MATCH(RAB!C329,'HARGA SATUAN'!$C$7:$C$1492,0),0)),"",OFFSET('HARGA SATUAN'!$E$6,MATCH(RAB!C329,'HARGA SATUAN'!$C$7:$C$1492,0),0)))</f>
        <v>Unit</v>
      </c>
      <c r="F329" s="495">
        <v>3</v>
      </c>
      <c r="G329" s="357">
        <f ca="1">IF(ISERROR(OFFSET('HARGA SATUAN'!$I$6,MATCH(RAB!C329,'HARGA SATUAN'!$C$7:$C$1492,0),0)),0,OFFSET('HARGA SATUAN'!$I$6,MATCH(RAB!C329,'HARGA SATUAN'!$C$7:$C$1492,0),0))</f>
        <v>0</v>
      </c>
      <c r="H329" s="358">
        <f t="shared" ca="1" si="80"/>
        <v>0</v>
      </c>
      <c r="I329" s="358">
        <f t="shared" ca="1" si="81"/>
        <v>0</v>
      </c>
      <c r="J329" s="358">
        <f t="shared" ca="1" si="82"/>
        <v>0</v>
      </c>
      <c r="K329" s="359">
        <f t="shared" ca="1" si="83"/>
        <v>0</v>
      </c>
      <c r="L329" s="339"/>
      <c r="M329" s="339"/>
      <c r="N329" s="366"/>
      <c r="O329" s="341"/>
      <c r="P329" s="394"/>
      <c r="Q329" s="341"/>
    </row>
    <row r="330" spans="1:17" s="362" customFormat="1">
      <c r="A330" s="333"/>
      <c r="B330" s="532">
        <v>1</v>
      </c>
      <c r="C330" s="533" t="s">
        <v>181</v>
      </c>
      <c r="D330" s="355" t="str">
        <f ca="1">IF(ISERROR(OFFSET('HARGA SATUAN'!$D$6,MATCH(RAB!C330,'HARGA SATUAN'!$C$7:$C$1492,0),0)),"",OFFSET('HARGA SATUAN'!$D$6,MATCH(RAB!C330,'HARGA SATUAN'!$C$7:$C$1492,0),0))</f>
        <v>HDW</v>
      </c>
      <c r="E330" s="356" t="str">
        <f ca="1">IF(B330="+","Unit",IF(ISERROR(OFFSET('HARGA SATUAN'!$E$6,MATCH(RAB!C330,'HARGA SATUAN'!$C$7:$C$1492,0),0)),"",OFFSET('HARGA SATUAN'!$E$6,MATCH(RAB!C330,'HARGA SATUAN'!$C$7:$C$1492,0),0)))</f>
        <v>Bh</v>
      </c>
      <c r="F330" s="495">
        <f>F329*1</f>
        <v>3</v>
      </c>
      <c r="G330" s="357">
        <f ca="1">IF(ISERROR(OFFSET('HARGA SATUAN'!$I$6,MATCH(RAB!C330,'HARGA SATUAN'!$C$7:$C$1492,0),0)),0,OFFSET('HARGA SATUAN'!$I$6,MATCH(RAB!C330,'HARGA SATUAN'!$C$7:$C$1492,0),0))</f>
        <v>28100</v>
      </c>
      <c r="H330" s="358">
        <f t="shared" ca="1" si="80"/>
        <v>0</v>
      </c>
      <c r="I330" s="358">
        <f t="shared" ca="1" si="81"/>
        <v>84300</v>
      </c>
      <c r="J330" s="358">
        <f t="shared" ca="1" si="82"/>
        <v>0</v>
      </c>
      <c r="K330" s="359">
        <f t="shared" ca="1" si="83"/>
        <v>84300</v>
      </c>
      <c r="L330" s="339"/>
      <c r="M330" s="339"/>
      <c r="N330" s="366"/>
      <c r="O330" s="341"/>
      <c r="P330" s="394"/>
      <c r="Q330" s="341"/>
    </row>
    <row r="331" spans="1:17" s="362" customFormat="1">
      <c r="A331" s="333"/>
      <c r="B331" s="532">
        <v>2</v>
      </c>
      <c r="C331" s="533" t="s">
        <v>67</v>
      </c>
      <c r="D331" s="355" t="str">
        <f ca="1">IF(ISERROR(OFFSET('HARGA SATUAN'!$D$6,MATCH(RAB!C331,'HARGA SATUAN'!$C$7:$C$1492,0),0)),"",OFFSET('HARGA SATUAN'!$D$6,MATCH(RAB!C331,'HARGA SATUAN'!$C$7:$C$1492,0),0))</f>
        <v>MDU-KD</v>
      </c>
      <c r="E331" s="356" t="str">
        <f ca="1">IF(B331="+","Unit",IF(ISERROR(OFFSET('HARGA SATUAN'!$E$6,MATCH(RAB!C331,'HARGA SATUAN'!$C$7:$C$1492,0),0)),"",OFFSET('HARGA SATUAN'!$E$6,MATCH(RAB!C331,'HARGA SATUAN'!$C$7:$C$1492,0),0)))</f>
        <v>Mtr</v>
      </c>
      <c r="F331" s="495">
        <f>F329*1</f>
        <v>3</v>
      </c>
      <c r="G331" s="357">
        <f ca="1">IF(ISERROR(OFFSET('HARGA SATUAN'!$I$6,MATCH(RAB!C331,'HARGA SATUAN'!$C$7:$C$1492,0),0)),0,OFFSET('HARGA SATUAN'!$I$6,MATCH(RAB!C331,'HARGA SATUAN'!$C$7:$C$1492,0),0))</f>
        <v>36900</v>
      </c>
      <c r="H331" s="358">
        <f t="shared" ca="1" si="80"/>
        <v>110700</v>
      </c>
      <c r="I331" s="358">
        <f t="shared" ca="1" si="81"/>
        <v>0</v>
      </c>
      <c r="J331" s="358">
        <f t="shared" ca="1" si="82"/>
        <v>0</v>
      </c>
      <c r="K331" s="359">
        <f t="shared" ca="1" si="83"/>
        <v>110700</v>
      </c>
      <c r="L331" s="339"/>
      <c r="M331" s="339"/>
      <c r="N331" s="366"/>
      <c r="O331" s="341"/>
      <c r="P331" s="394"/>
      <c r="Q331" s="341"/>
    </row>
    <row r="332" spans="1:17" s="362" customFormat="1">
      <c r="A332" s="333"/>
      <c r="B332" s="532">
        <v>3</v>
      </c>
      <c r="C332" s="109" t="s">
        <v>559</v>
      </c>
      <c r="D332" s="355" t="str">
        <f ca="1">IF(ISERROR(OFFSET('HARGA SATUAN'!$D$6,MATCH(RAB!C332,'HARGA SATUAN'!$C$7:$C$1492,0),0)),"",OFFSET('HARGA SATUAN'!$D$6,MATCH(RAB!C332,'HARGA SATUAN'!$C$7:$C$1492,0),0))</f>
        <v>MDU-KD</v>
      </c>
      <c r="E332" s="356" t="str">
        <f ca="1">IF(B332="+","Unit",IF(ISERROR(OFFSET('HARGA SATUAN'!$E$6,MATCH(RAB!C332,'HARGA SATUAN'!$C$7:$C$1492,0),0)),"",OFFSET('HARGA SATUAN'!$E$6,MATCH(RAB!C332,'HARGA SATUAN'!$C$7:$C$1492,0),0)))</f>
        <v>Bh</v>
      </c>
      <c r="F332" s="495">
        <f>F329*1</f>
        <v>3</v>
      </c>
      <c r="G332" s="357">
        <f ca="1">IF(ISERROR(OFFSET('HARGA SATUAN'!$I$6,MATCH(RAB!C332,'HARGA SATUAN'!$C$7:$C$1492,0),0)),0,OFFSET('HARGA SATUAN'!$I$6,MATCH(RAB!C332,'HARGA SATUAN'!$C$7:$C$1492,0),0))</f>
        <v>725900</v>
      </c>
      <c r="H332" s="358">
        <f t="shared" ca="1" si="80"/>
        <v>2177700</v>
      </c>
      <c r="I332" s="358">
        <f t="shared" ca="1" si="81"/>
        <v>0</v>
      </c>
      <c r="J332" s="358">
        <f t="shared" ca="1" si="82"/>
        <v>0</v>
      </c>
      <c r="K332" s="359">
        <f t="shared" ca="1" si="83"/>
        <v>2177700</v>
      </c>
      <c r="L332" s="339"/>
      <c r="M332" s="339"/>
      <c r="N332" s="366"/>
      <c r="O332" s="341"/>
      <c r="P332" s="394"/>
      <c r="Q332" s="341"/>
    </row>
    <row r="333" spans="1:17" s="362" customFormat="1">
      <c r="A333" s="333"/>
      <c r="B333" s="532">
        <v>4</v>
      </c>
      <c r="C333" s="533" t="s">
        <v>745</v>
      </c>
      <c r="D333" s="355" t="str">
        <f ca="1">IF(ISERROR(OFFSET('HARGA SATUAN'!$D$6,MATCH(RAB!C333,'HARGA SATUAN'!$C$7:$C$1492,0),0)),"",OFFSET('HARGA SATUAN'!$D$6,MATCH(RAB!C333,'HARGA SATUAN'!$C$7:$C$1492,0),0))</f>
        <v>JASA</v>
      </c>
      <c r="E333" s="356" t="str">
        <f ca="1">IF(B333="+","Unit",IF(ISERROR(OFFSET('HARGA SATUAN'!$E$6,MATCH(RAB!C333,'HARGA SATUAN'!$C$7:$C$1492,0),0)),"",OFFSET('HARGA SATUAN'!$E$6,MATCH(RAB!C333,'HARGA SATUAN'!$C$7:$C$1492,0),0)))</f>
        <v>Unit</v>
      </c>
      <c r="F333" s="495">
        <f>F329*1</f>
        <v>3</v>
      </c>
      <c r="G333" s="357">
        <f ca="1">IF(ISERROR(OFFSET('HARGA SATUAN'!$I$6,MATCH(RAB!C333,'HARGA SATUAN'!$C$7:$C$1492,0),0)),0,OFFSET('HARGA SATUAN'!$I$6,MATCH(RAB!C333,'HARGA SATUAN'!$C$7:$C$1492,0),0))</f>
        <v>58400</v>
      </c>
      <c r="H333" s="358">
        <f t="shared" ca="1" si="80"/>
        <v>0</v>
      </c>
      <c r="I333" s="358">
        <f t="shared" ca="1" si="81"/>
        <v>0</v>
      </c>
      <c r="J333" s="358">
        <f t="shared" ca="1" si="82"/>
        <v>175200</v>
      </c>
      <c r="K333" s="359">
        <f t="shared" ca="1" si="83"/>
        <v>175200</v>
      </c>
      <c r="L333" s="339"/>
      <c r="M333" s="339"/>
      <c r="N333" s="366"/>
      <c r="O333" s="341"/>
      <c r="P333" s="394"/>
      <c r="Q333" s="341"/>
    </row>
    <row r="334" spans="1:17" s="362" customFormat="1">
      <c r="A334" s="333"/>
      <c r="B334" s="506"/>
      <c r="C334" s="507"/>
      <c r="D334" s="355" t="str">
        <f ca="1">IF(ISERROR(OFFSET('HARGA SATUAN'!$D$6,MATCH(RAB!C334,'HARGA SATUAN'!$C$7:$C$1492,0),0)),"",OFFSET('HARGA SATUAN'!$D$6,MATCH(RAB!C334,'HARGA SATUAN'!$C$7:$C$1492,0),0))</f>
        <v/>
      </c>
      <c r="E334" s="356" t="str">
        <f ca="1">IF(B334="+","Unit",IF(ISERROR(OFFSET('HARGA SATUAN'!$E$6,MATCH(RAB!C334,'HARGA SATUAN'!$C$7:$C$1492,0),0)),"",OFFSET('HARGA SATUAN'!$E$6,MATCH(RAB!C334,'HARGA SATUAN'!$C$7:$C$1492,0),0)))</f>
        <v/>
      </c>
      <c r="F334" s="515"/>
      <c r="G334" s="357">
        <f ca="1">IF(ISERROR(OFFSET('HARGA SATUAN'!$I$6,MATCH(RAB!C334,'HARGA SATUAN'!$C$7:$C$1492,0),0)),0,OFFSET('HARGA SATUAN'!$I$6,MATCH(RAB!C334,'HARGA SATUAN'!$C$7:$C$1492,0),0))</f>
        <v>0</v>
      </c>
      <c r="H334" s="358">
        <f t="shared" ca="1" si="80"/>
        <v>0</v>
      </c>
      <c r="I334" s="358">
        <f t="shared" ca="1" si="81"/>
        <v>0</v>
      </c>
      <c r="J334" s="358">
        <f t="shared" ca="1" si="82"/>
        <v>0</v>
      </c>
      <c r="K334" s="359">
        <f t="shared" ca="1" si="83"/>
        <v>0</v>
      </c>
      <c r="L334" s="339"/>
      <c r="M334" s="339"/>
      <c r="N334" s="366"/>
      <c r="O334" s="341"/>
      <c r="P334" s="394"/>
      <c r="Q334" s="341"/>
    </row>
    <row r="335" spans="1:17" s="362" customFormat="1">
      <c r="A335" s="333"/>
      <c r="B335" s="496" t="s">
        <v>1035</v>
      </c>
      <c r="C335" s="497" t="s">
        <v>1619</v>
      </c>
      <c r="D335" s="355" t="str">
        <f ca="1">IF(ISERROR(OFFSET('HARGA SATUAN'!$D$6,MATCH(RAB!C335,'HARGA SATUAN'!$C$7:$C$1492,0),0)),"",OFFSET('HARGA SATUAN'!$D$6,MATCH(RAB!C335,'HARGA SATUAN'!$C$7:$C$1492,0),0))</f>
        <v/>
      </c>
      <c r="E335" s="356" t="str">
        <f ca="1">IF(B335="+","Unit",IF(ISERROR(OFFSET('HARGA SATUAN'!$E$6,MATCH(RAB!C335,'HARGA SATUAN'!$C$7:$C$1492,0),0)),"",OFFSET('HARGA SATUAN'!$E$6,MATCH(RAB!C335,'HARGA SATUAN'!$C$7:$C$1492,0),0)))</f>
        <v>Unit</v>
      </c>
      <c r="F335" s="494">
        <v>1</v>
      </c>
      <c r="G335" s="357">
        <f ca="1">IF(ISERROR(OFFSET('HARGA SATUAN'!$I$6,MATCH(RAB!C335,'HARGA SATUAN'!$C$7:$C$1492,0),0)),0,OFFSET('HARGA SATUAN'!$I$6,MATCH(RAB!C335,'HARGA SATUAN'!$C$7:$C$1492,0),0))</f>
        <v>0</v>
      </c>
      <c r="H335" s="358">
        <f t="shared" ca="1" si="80"/>
        <v>0</v>
      </c>
      <c r="I335" s="358">
        <f t="shared" ca="1" si="81"/>
        <v>0</v>
      </c>
      <c r="J335" s="358">
        <f t="shared" ca="1" si="82"/>
        <v>0</v>
      </c>
      <c r="K335" s="359">
        <f t="shared" ca="1" si="83"/>
        <v>0</v>
      </c>
      <c r="L335" s="339"/>
      <c r="M335" s="339"/>
      <c r="N335" s="366"/>
      <c r="O335" s="341"/>
      <c r="P335" s="394"/>
      <c r="Q335" s="341"/>
    </row>
    <row r="336" spans="1:17" s="362" customFormat="1">
      <c r="A336" s="333"/>
      <c r="B336" s="496">
        <v>1</v>
      </c>
      <c r="C336" s="498" t="s">
        <v>29</v>
      </c>
      <c r="D336" s="355" t="str">
        <f ca="1">IF(ISERROR(OFFSET('HARGA SATUAN'!$D$6,MATCH(RAB!C336,'HARGA SATUAN'!$C$7:$C$1492,0),0)),"",OFFSET('HARGA SATUAN'!$D$6,MATCH(RAB!C336,'HARGA SATUAN'!$C$7:$C$1492,0),0))</f>
        <v>HDW</v>
      </c>
      <c r="E336" s="356" t="str">
        <f ca="1">IF(B336="+","Unit",IF(ISERROR(OFFSET('HARGA SATUAN'!$E$6,MATCH(RAB!C336,'HARGA SATUAN'!$C$7:$C$1492,0),0)),"",OFFSET('HARGA SATUAN'!$E$6,MATCH(RAB!C336,'HARGA SATUAN'!$C$7:$C$1492,0),0)))</f>
        <v>Bh</v>
      </c>
      <c r="F336" s="494">
        <f>F335*1</f>
        <v>1</v>
      </c>
      <c r="G336" s="357">
        <f ca="1">IF(ISERROR(OFFSET('HARGA SATUAN'!$I$6,MATCH(RAB!C336,'HARGA SATUAN'!$C$7:$C$1492,0),0)),0,OFFSET('HARGA SATUAN'!$I$6,MATCH(RAB!C336,'HARGA SATUAN'!$C$7:$C$1492,0),0))</f>
        <v>185200</v>
      </c>
      <c r="H336" s="358">
        <f t="shared" ca="1" si="80"/>
        <v>0</v>
      </c>
      <c r="I336" s="358">
        <f t="shared" ca="1" si="81"/>
        <v>185200</v>
      </c>
      <c r="J336" s="358">
        <f t="shared" ca="1" si="82"/>
        <v>0</v>
      </c>
      <c r="K336" s="359">
        <f t="shared" ca="1" si="83"/>
        <v>185200</v>
      </c>
      <c r="L336" s="339"/>
      <c r="M336" s="339"/>
      <c r="N336" s="366"/>
      <c r="O336" s="341"/>
      <c r="P336" s="394"/>
      <c r="Q336" s="341"/>
    </row>
    <row r="337" spans="1:17" s="362" customFormat="1">
      <c r="A337" s="333"/>
      <c r="B337" s="532">
        <v>2</v>
      </c>
      <c r="C337" s="533" t="s">
        <v>30</v>
      </c>
      <c r="D337" s="355" t="str">
        <f ca="1">IF(ISERROR(OFFSET('HARGA SATUAN'!$D$6,MATCH(RAB!C337,'HARGA SATUAN'!$C$7:$C$1492,0),0)),"",OFFSET('HARGA SATUAN'!$D$6,MATCH(RAB!C337,'HARGA SATUAN'!$C$7:$C$1492,0),0))</f>
        <v>HDW</v>
      </c>
      <c r="E337" s="356" t="str">
        <f ca="1">IF(B337="+","Unit",IF(ISERROR(OFFSET('HARGA SATUAN'!$E$6,MATCH(RAB!C337,'HARGA SATUAN'!$C$7:$C$1492,0),0)),"",OFFSET('HARGA SATUAN'!$E$6,MATCH(RAB!C337,'HARGA SATUAN'!$C$7:$C$1492,0),0)))</f>
        <v>Bh</v>
      </c>
      <c r="F337" s="494">
        <f>F335*1</f>
        <v>1</v>
      </c>
      <c r="G337" s="357">
        <f ca="1">IF(ISERROR(OFFSET('HARGA SATUAN'!$I$6,MATCH(RAB!C337,'HARGA SATUAN'!$C$7:$C$1492,0),0)),0,OFFSET('HARGA SATUAN'!$I$6,MATCH(RAB!C337,'HARGA SATUAN'!$C$7:$C$1492,0),0))</f>
        <v>47459</v>
      </c>
      <c r="H337" s="358">
        <f t="shared" ca="1" si="80"/>
        <v>0</v>
      </c>
      <c r="I337" s="358">
        <f t="shared" ca="1" si="81"/>
        <v>47459</v>
      </c>
      <c r="J337" s="358">
        <f t="shared" ca="1" si="82"/>
        <v>0</v>
      </c>
      <c r="K337" s="359">
        <f t="shared" ca="1" si="83"/>
        <v>47459</v>
      </c>
      <c r="L337" s="339"/>
      <c r="M337" s="339"/>
      <c r="N337" s="366"/>
      <c r="O337" s="341"/>
      <c r="P337" s="394"/>
      <c r="Q337" s="341"/>
    </row>
    <row r="338" spans="1:17" s="362" customFormat="1">
      <c r="A338" s="333"/>
      <c r="B338" s="532">
        <v>3</v>
      </c>
      <c r="C338" s="533" t="s">
        <v>31</v>
      </c>
      <c r="D338" s="355" t="str">
        <f ca="1">IF(ISERROR(OFFSET('HARGA SATUAN'!$D$6,MATCH(RAB!C338,'HARGA SATUAN'!$C$7:$C$1492,0),0)),"",OFFSET('HARGA SATUAN'!$D$6,MATCH(RAB!C338,'HARGA SATUAN'!$C$7:$C$1492,0),0))</f>
        <v>HDW</v>
      </c>
      <c r="E338" s="356" t="str">
        <f ca="1">IF(B338="+","Unit",IF(ISERROR(OFFSET('HARGA SATUAN'!$E$6,MATCH(RAB!C338,'HARGA SATUAN'!$C$7:$C$1492,0),0)),"",OFFSET('HARGA SATUAN'!$E$6,MATCH(RAB!C338,'HARGA SATUAN'!$C$7:$C$1492,0),0)))</f>
        <v>Bh</v>
      </c>
      <c r="F338" s="494">
        <f>F335*1</f>
        <v>1</v>
      </c>
      <c r="G338" s="357">
        <f ca="1">IF(ISERROR(OFFSET('HARGA SATUAN'!$I$6,MATCH(RAB!C338,'HARGA SATUAN'!$C$7:$C$1492,0),0)),0,OFFSET('HARGA SATUAN'!$I$6,MATCH(RAB!C338,'HARGA SATUAN'!$C$7:$C$1492,0),0))</f>
        <v>4880</v>
      </c>
      <c r="H338" s="358">
        <f t="shared" ca="1" si="80"/>
        <v>0</v>
      </c>
      <c r="I338" s="358">
        <f t="shared" ca="1" si="81"/>
        <v>4880</v>
      </c>
      <c r="J338" s="358">
        <f t="shared" ca="1" si="82"/>
        <v>0</v>
      </c>
      <c r="K338" s="359">
        <f t="shared" ca="1" si="83"/>
        <v>4880</v>
      </c>
      <c r="L338" s="339"/>
      <c r="M338" s="339"/>
      <c r="N338" s="366"/>
      <c r="O338" s="341"/>
      <c r="P338" s="394"/>
      <c r="Q338" s="341"/>
    </row>
    <row r="339" spans="1:17" s="362" customFormat="1">
      <c r="A339" s="333"/>
      <c r="B339" s="532">
        <v>4</v>
      </c>
      <c r="C339" s="533" t="s">
        <v>32</v>
      </c>
      <c r="D339" s="355" t="str">
        <f ca="1">IF(ISERROR(OFFSET('HARGA SATUAN'!$D$6,MATCH(RAB!C339,'HARGA SATUAN'!$C$7:$C$1492,0),0)),"",OFFSET('HARGA SATUAN'!$D$6,MATCH(RAB!C339,'HARGA SATUAN'!$C$7:$C$1492,0),0))</f>
        <v>HDW</v>
      </c>
      <c r="E339" s="356" t="str">
        <f ca="1">IF(B339="+","Unit",IF(ISERROR(OFFSET('HARGA SATUAN'!$E$6,MATCH(RAB!C339,'HARGA SATUAN'!$C$7:$C$1492,0),0)),"",OFFSET('HARGA SATUAN'!$E$6,MATCH(RAB!C339,'HARGA SATUAN'!$C$7:$C$1492,0),0)))</f>
        <v>Mtr</v>
      </c>
      <c r="F339" s="494">
        <f>F335*10</f>
        <v>10</v>
      </c>
      <c r="G339" s="357">
        <f ca="1">IF(ISERROR(OFFSET('HARGA SATUAN'!$I$6,MATCH(RAB!C339,'HARGA SATUAN'!$C$7:$C$1492,0),0)),0,OFFSET('HARGA SATUAN'!$I$6,MATCH(RAB!C339,'HARGA SATUAN'!$C$7:$C$1492,0),0))</f>
        <v>30000</v>
      </c>
      <c r="H339" s="358">
        <f t="shared" ca="1" si="80"/>
        <v>0</v>
      </c>
      <c r="I339" s="358">
        <f t="shared" ca="1" si="81"/>
        <v>300000</v>
      </c>
      <c r="J339" s="358">
        <f t="shared" ca="1" si="82"/>
        <v>0</v>
      </c>
      <c r="K339" s="359">
        <f t="shared" ca="1" si="83"/>
        <v>300000</v>
      </c>
      <c r="L339" s="339"/>
      <c r="M339" s="339"/>
      <c r="N339" s="366"/>
      <c r="O339" s="341"/>
      <c r="P339" s="394"/>
      <c r="Q339" s="341"/>
    </row>
    <row r="340" spans="1:17" s="362" customFormat="1">
      <c r="A340" s="333"/>
      <c r="B340" s="532">
        <v>5</v>
      </c>
      <c r="C340" s="533" t="s">
        <v>33</v>
      </c>
      <c r="D340" s="355" t="str">
        <f ca="1">IF(ISERROR(OFFSET('HARGA SATUAN'!$D$6,MATCH(RAB!C340,'HARGA SATUAN'!$C$7:$C$1492,0),0)),"",OFFSET('HARGA SATUAN'!$D$6,MATCH(RAB!C340,'HARGA SATUAN'!$C$7:$C$1492,0),0))</f>
        <v>HDW</v>
      </c>
      <c r="E340" s="356" t="str">
        <f ca="1">IF(B340="+","Unit",IF(ISERROR(OFFSET('HARGA SATUAN'!$E$6,MATCH(RAB!C340,'HARGA SATUAN'!$C$7:$C$1492,0),0)),"",OFFSET('HARGA SATUAN'!$E$6,MATCH(RAB!C340,'HARGA SATUAN'!$C$7:$C$1492,0),0)))</f>
        <v>Bh</v>
      </c>
      <c r="F340" s="494">
        <f>F335*2</f>
        <v>2</v>
      </c>
      <c r="G340" s="357">
        <f ca="1">IF(ISERROR(OFFSET('HARGA SATUAN'!$I$6,MATCH(RAB!C340,'HARGA SATUAN'!$C$7:$C$1492,0),0)),0,OFFSET('HARGA SATUAN'!$I$6,MATCH(RAB!C340,'HARGA SATUAN'!$C$7:$C$1492,0),0))</f>
        <v>9500</v>
      </c>
      <c r="H340" s="358">
        <f t="shared" ca="1" si="80"/>
        <v>0</v>
      </c>
      <c r="I340" s="358">
        <f t="shared" ca="1" si="81"/>
        <v>19000</v>
      </c>
      <c r="J340" s="358">
        <f t="shared" ca="1" si="82"/>
        <v>0</v>
      </c>
      <c r="K340" s="359">
        <f t="shared" ca="1" si="83"/>
        <v>19000</v>
      </c>
      <c r="L340" s="339"/>
      <c r="M340" s="339"/>
      <c r="N340" s="366"/>
      <c r="O340" s="341"/>
      <c r="P340" s="394"/>
      <c r="Q340" s="341"/>
    </row>
    <row r="341" spans="1:17" s="362" customFormat="1">
      <c r="A341" s="333"/>
      <c r="B341" s="532">
        <v>6</v>
      </c>
      <c r="C341" s="533" t="s">
        <v>34</v>
      </c>
      <c r="D341" s="355" t="str">
        <f ca="1">IF(ISERROR(OFFSET('HARGA SATUAN'!$D$6,MATCH(RAB!C341,'HARGA SATUAN'!$C$7:$C$1492,0),0)),"",OFFSET('HARGA SATUAN'!$D$6,MATCH(RAB!C341,'HARGA SATUAN'!$C$7:$C$1492,0),0))</f>
        <v>HDW</v>
      </c>
      <c r="E341" s="356" t="str">
        <f ca="1">IF(B341="+","Unit",IF(ISERROR(OFFSET('HARGA SATUAN'!$E$6,MATCH(RAB!C341,'HARGA SATUAN'!$C$7:$C$1492,0),0)),"",OFFSET('HARGA SATUAN'!$E$6,MATCH(RAB!C341,'HARGA SATUAN'!$C$7:$C$1492,0),0)))</f>
        <v>Bh</v>
      </c>
      <c r="F341" s="494">
        <f>F335*5.5</f>
        <v>5.5</v>
      </c>
      <c r="G341" s="357">
        <f ca="1">IF(ISERROR(OFFSET('HARGA SATUAN'!$I$6,MATCH(RAB!C341,'HARGA SATUAN'!$C$7:$C$1492,0),0)),0,OFFSET('HARGA SATUAN'!$I$6,MATCH(RAB!C341,'HARGA SATUAN'!$C$7:$C$1492,0),0))</f>
        <v>6100</v>
      </c>
      <c r="H341" s="358">
        <f t="shared" ca="1" si="80"/>
        <v>0</v>
      </c>
      <c r="I341" s="358">
        <f t="shared" ca="1" si="81"/>
        <v>33550</v>
      </c>
      <c r="J341" s="358">
        <f t="shared" ca="1" si="82"/>
        <v>0</v>
      </c>
      <c r="K341" s="359">
        <f t="shared" ca="1" si="83"/>
        <v>33550</v>
      </c>
      <c r="L341" s="339"/>
      <c r="M341" s="339"/>
      <c r="N341" s="366"/>
      <c r="O341" s="341"/>
      <c r="P341" s="394"/>
      <c r="Q341" s="341"/>
    </row>
    <row r="342" spans="1:17" s="362" customFormat="1">
      <c r="A342" s="333"/>
      <c r="B342" s="532">
        <v>7</v>
      </c>
      <c r="C342" s="533" t="s">
        <v>35</v>
      </c>
      <c r="D342" s="355" t="str">
        <f ca="1">IF(ISERROR(OFFSET('HARGA SATUAN'!$D$6,MATCH(RAB!C342,'HARGA SATUAN'!$C$7:$C$1492,0),0)),"",OFFSET('HARGA SATUAN'!$D$6,MATCH(RAB!C342,'HARGA SATUAN'!$C$7:$C$1492,0),0))</f>
        <v>HDW</v>
      </c>
      <c r="E342" s="356" t="str">
        <f ca="1">IF(B342="+","Unit",IF(ISERROR(OFFSET('HARGA SATUAN'!$E$6,MATCH(RAB!C342,'HARGA SATUAN'!$C$7:$C$1492,0),0)),"",OFFSET('HARGA SATUAN'!$E$6,MATCH(RAB!C342,'HARGA SATUAN'!$C$7:$C$1492,0),0)))</f>
        <v>Bh</v>
      </c>
      <c r="F342" s="494">
        <f>F335*6</f>
        <v>6</v>
      </c>
      <c r="G342" s="357">
        <f ca="1">IF(ISERROR(OFFSET('HARGA SATUAN'!$I$6,MATCH(RAB!C342,'HARGA SATUAN'!$C$7:$C$1492,0),0)),0,OFFSET('HARGA SATUAN'!$I$6,MATCH(RAB!C342,'HARGA SATUAN'!$C$7:$C$1492,0),0))</f>
        <v>2300</v>
      </c>
      <c r="H342" s="358">
        <f t="shared" ca="1" si="80"/>
        <v>0</v>
      </c>
      <c r="I342" s="358">
        <f t="shared" ca="1" si="81"/>
        <v>13800</v>
      </c>
      <c r="J342" s="358">
        <f t="shared" ca="1" si="82"/>
        <v>0</v>
      </c>
      <c r="K342" s="359">
        <f t="shared" ca="1" si="83"/>
        <v>13800</v>
      </c>
      <c r="L342" s="339"/>
      <c r="M342" s="339"/>
      <c r="N342" s="366"/>
      <c r="O342" s="341"/>
      <c r="P342" s="394"/>
      <c r="Q342" s="341"/>
    </row>
    <row r="343" spans="1:17" s="362" customFormat="1">
      <c r="A343" s="333"/>
      <c r="B343" s="532">
        <v>8</v>
      </c>
      <c r="C343" s="533" t="s">
        <v>1620</v>
      </c>
      <c r="D343" s="355" t="str">
        <f ca="1">IF(ISERROR(OFFSET('HARGA SATUAN'!$D$6,MATCH(RAB!C343,'HARGA SATUAN'!$C$7:$C$1492,0),0)),"",OFFSET('HARGA SATUAN'!$D$6,MATCH(RAB!C343,'HARGA SATUAN'!$C$7:$C$1492,0),0))</f>
        <v>HDW</v>
      </c>
      <c r="E343" s="356" t="str">
        <f ca="1">IF(B343="+","Unit",IF(ISERROR(OFFSET('HARGA SATUAN'!$E$6,MATCH(RAB!C343,'HARGA SATUAN'!$C$7:$C$1492,0),0)),"",OFFSET('HARGA SATUAN'!$E$6,MATCH(RAB!C343,'HARGA SATUAN'!$C$7:$C$1492,0),0)))</f>
        <v>Mtr</v>
      </c>
      <c r="F343" s="494">
        <f>F335*4.8</f>
        <v>4.8</v>
      </c>
      <c r="G343" s="357">
        <f ca="1">IF(ISERROR(OFFSET('HARGA SATUAN'!$I$6,MATCH(RAB!C343,'HARGA SATUAN'!$C$7:$C$1492,0),0)),0,OFFSET('HARGA SATUAN'!$I$6,MATCH(RAB!C343,'HARGA SATUAN'!$C$7:$C$1492,0),0))</f>
        <v>23310</v>
      </c>
      <c r="H343" s="358">
        <f t="shared" ca="1" si="80"/>
        <v>0</v>
      </c>
      <c r="I343" s="358">
        <f t="shared" ca="1" si="81"/>
        <v>111888</v>
      </c>
      <c r="J343" s="358">
        <f t="shared" ca="1" si="82"/>
        <v>0</v>
      </c>
      <c r="K343" s="359">
        <f t="shared" ca="1" si="83"/>
        <v>111888</v>
      </c>
      <c r="L343" s="339"/>
      <c r="M343" s="339"/>
      <c r="N343" s="366"/>
      <c r="O343" s="341"/>
      <c r="P343" s="394"/>
      <c r="Q343" s="341"/>
    </row>
    <row r="344" spans="1:17" s="362" customFormat="1">
      <c r="A344" s="333"/>
      <c r="B344" s="532">
        <v>9</v>
      </c>
      <c r="C344" s="533" t="s">
        <v>736</v>
      </c>
      <c r="D344" s="355" t="str">
        <f ca="1">IF(ISERROR(OFFSET('HARGA SATUAN'!$D$6,MATCH(RAB!C344,'HARGA SATUAN'!$C$7:$C$1492,0),0)),"",OFFSET('HARGA SATUAN'!$D$6,MATCH(RAB!C344,'HARGA SATUAN'!$C$7:$C$1492,0),0))</f>
        <v>JASA</v>
      </c>
      <c r="E344" s="356" t="str">
        <f ca="1">IF(B344="+","Unit",IF(ISERROR(OFFSET('HARGA SATUAN'!$E$6,MATCH(RAB!C344,'HARGA SATUAN'!$C$7:$C$1492,0),0)),"",OFFSET('HARGA SATUAN'!$E$6,MATCH(RAB!C344,'HARGA SATUAN'!$C$7:$C$1492,0),0)))</f>
        <v>Unit</v>
      </c>
      <c r="F344" s="494">
        <f>F335*1</f>
        <v>1</v>
      </c>
      <c r="G344" s="357">
        <f ca="1">IF(ISERROR(OFFSET('HARGA SATUAN'!$I$6,MATCH(RAB!C344,'HARGA SATUAN'!$C$7:$C$1492,0),0)),0,OFFSET('HARGA SATUAN'!$I$6,MATCH(RAB!C344,'HARGA SATUAN'!$C$7:$C$1492,0),0))</f>
        <v>65400</v>
      </c>
      <c r="H344" s="358">
        <f t="shared" ca="1" si="80"/>
        <v>0</v>
      </c>
      <c r="I344" s="358">
        <f t="shared" ca="1" si="81"/>
        <v>0</v>
      </c>
      <c r="J344" s="358">
        <f t="shared" ca="1" si="82"/>
        <v>65400</v>
      </c>
      <c r="K344" s="359">
        <f t="shared" ca="1" si="83"/>
        <v>65400</v>
      </c>
      <c r="L344" s="339"/>
      <c r="M344" s="339"/>
      <c r="N344" s="366"/>
      <c r="O344" s="341"/>
      <c r="P344" s="394"/>
      <c r="Q344" s="341"/>
    </row>
    <row r="345" spans="1:17" s="362" customFormat="1">
      <c r="A345" s="333"/>
      <c r="B345" s="506"/>
      <c r="C345" s="507"/>
      <c r="D345" s="355" t="str">
        <f ca="1">IF(ISERROR(OFFSET('HARGA SATUAN'!$D$6,MATCH(RAB!C345,'HARGA SATUAN'!$C$7:$C$1492,0),0)),"",OFFSET('HARGA SATUAN'!$D$6,MATCH(RAB!C345,'HARGA SATUAN'!$C$7:$C$1492,0),0))</f>
        <v/>
      </c>
      <c r="E345" s="356" t="str">
        <f ca="1">IF(B345="+","Unit",IF(ISERROR(OFFSET('HARGA SATUAN'!$E$6,MATCH(RAB!C345,'HARGA SATUAN'!$C$7:$C$1492,0),0)),"",OFFSET('HARGA SATUAN'!$E$6,MATCH(RAB!C345,'HARGA SATUAN'!$C$7:$C$1492,0),0)))</f>
        <v/>
      </c>
      <c r="F345" s="515"/>
      <c r="G345" s="357">
        <f ca="1">IF(ISERROR(OFFSET('HARGA SATUAN'!$I$6,MATCH(RAB!C345,'HARGA SATUAN'!$C$7:$C$1492,0),0)),0,OFFSET('HARGA SATUAN'!$I$6,MATCH(RAB!C345,'HARGA SATUAN'!$C$7:$C$1492,0),0))</f>
        <v>0</v>
      </c>
      <c r="H345" s="358">
        <f t="shared" ca="1" si="80"/>
        <v>0</v>
      </c>
      <c r="I345" s="358">
        <f t="shared" ca="1" si="81"/>
        <v>0</v>
      </c>
      <c r="J345" s="358">
        <f t="shared" ca="1" si="82"/>
        <v>0</v>
      </c>
      <c r="K345" s="359">
        <f t="shared" ca="1" si="83"/>
        <v>0</v>
      </c>
      <c r="L345" s="339"/>
      <c r="M345" s="339"/>
      <c r="N345" s="366"/>
      <c r="O345" s="341"/>
      <c r="P345" s="394"/>
      <c r="Q345" s="341"/>
    </row>
    <row r="346" spans="1:17" s="362" customFormat="1">
      <c r="A346" s="333"/>
      <c r="B346" s="532" t="s">
        <v>1035</v>
      </c>
      <c r="C346" s="533" t="s">
        <v>1653</v>
      </c>
      <c r="D346" s="355" t="str">
        <f ca="1">IF(ISERROR(OFFSET('HARGA SATUAN'!$D$6,MATCH(RAB!C346,'HARGA SATUAN'!$C$7:$C$1492,0),0)),"",OFFSET('HARGA SATUAN'!$D$6,MATCH(RAB!C346,'HARGA SATUAN'!$C$7:$C$1492,0),0))</f>
        <v/>
      </c>
      <c r="E346" s="356" t="str">
        <f ca="1">IF(B346="+","Unit",IF(ISERROR(OFFSET('HARGA SATUAN'!$E$6,MATCH(RAB!C346,'HARGA SATUAN'!$C$7:$C$1492,0),0)),"",OFFSET('HARGA SATUAN'!$E$6,MATCH(RAB!C346,'HARGA SATUAN'!$C$7:$C$1492,0),0)))</f>
        <v>Unit</v>
      </c>
      <c r="F346" s="495">
        <v>0</v>
      </c>
      <c r="G346" s="357">
        <f ca="1">IF(ISERROR(OFFSET('HARGA SATUAN'!$I$6,MATCH(RAB!C346,'HARGA SATUAN'!$C$7:$C$1492,0),0)),0,OFFSET('HARGA SATUAN'!$I$6,MATCH(RAB!C346,'HARGA SATUAN'!$C$7:$C$1492,0),0))</f>
        <v>0</v>
      </c>
      <c r="H346" s="358">
        <f t="shared" ca="1" si="80"/>
        <v>0</v>
      </c>
      <c r="I346" s="358">
        <f t="shared" ca="1" si="81"/>
        <v>0</v>
      </c>
      <c r="J346" s="358">
        <f t="shared" ca="1" si="82"/>
        <v>0</v>
      </c>
      <c r="K346" s="359">
        <f t="shared" ca="1" si="83"/>
        <v>0</v>
      </c>
      <c r="L346" s="339"/>
      <c r="M346" s="339"/>
      <c r="N346" s="366"/>
      <c r="O346" s="341"/>
      <c r="P346" s="394"/>
      <c r="Q346" s="341"/>
    </row>
    <row r="347" spans="1:17" s="362" customFormat="1">
      <c r="A347" s="333"/>
      <c r="B347" s="532">
        <v>1</v>
      </c>
      <c r="C347" s="533" t="s">
        <v>535</v>
      </c>
      <c r="D347" s="355" t="str">
        <f ca="1">IF(ISERROR(OFFSET('HARGA SATUAN'!$D$6,MATCH(RAB!C347,'HARGA SATUAN'!$C$7:$C$1492,0),0)),"",OFFSET('HARGA SATUAN'!$D$6,MATCH(RAB!C347,'HARGA SATUAN'!$C$7:$C$1492,0),0))</f>
        <v>MDU-KD</v>
      </c>
      <c r="E347" s="356" t="str">
        <f ca="1">IF(B347="+","Unit",IF(ISERROR(OFFSET('HARGA SATUAN'!$E$6,MATCH(RAB!C347,'HARGA SATUAN'!$C$7:$C$1492,0),0)),"",OFFSET('HARGA SATUAN'!$E$6,MATCH(RAB!C347,'HARGA SATUAN'!$C$7:$C$1492,0),0)))</f>
        <v>Bh</v>
      </c>
      <c r="F347" s="495">
        <f>F346*1</f>
        <v>0</v>
      </c>
      <c r="G347" s="357">
        <f ca="1">IF(ISERROR(OFFSET('HARGA SATUAN'!$I$6,MATCH(RAB!C347,'HARGA SATUAN'!$C$7:$C$1492,0),0)),0,OFFSET('HARGA SATUAN'!$I$6,MATCH(RAB!C347,'HARGA SATUAN'!$C$7:$C$1492,0),0))</f>
        <v>848250</v>
      </c>
      <c r="H347" s="358">
        <f t="shared" ca="1" si="80"/>
        <v>0</v>
      </c>
      <c r="I347" s="358">
        <f t="shared" ca="1" si="81"/>
        <v>0</v>
      </c>
      <c r="J347" s="358">
        <f t="shared" ca="1" si="82"/>
        <v>0</v>
      </c>
      <c r="K347" s="359">
        <f t="shared" ca="1" si="83"/>
        <v>0</v>
      </c>
      <c r="L347" s="339"/>
      <c r="M347" s="339"/>
      <c r="N347" s="366"/>
      <c r="O347" s="341"/>
      <c r="P347" s="394"/>
      <c r="Q347" s="341"/>
    </row>
    <row r="348" spans="1:17" s="362" customFormat="1">
      <c r="A348" s="333"/>
      <c r="B348" s="532">
        <v>2</v>
      </c>
      <c r="C348" s="109" t="s">
        <v>62</v>
      </c>
      <c r="D348" s="355" t="str">
        <f ca="1">IF(ISERROR(OFFSET('HARGA SATUAN'!$D$6,MATCH(RAB!C348,'HARGA SATUAN'!$C$7:$C$1492,0),0)),"",OFFSET('HARGA SATUAN'!$D$6,MATCH(RAB!C348,'HARGA SATUAN'!$C$7:$C$1492,0),0))</f>
        <v>HDW</v>
      </c>
      <c r="E348" s="356" t="str">
        <f ca="1">IF(B348="+","Unit",IF(ISERROR(OFFSET('HARGA SATUAN'!$E$6,MATCH(RAB!C348,'HARGA SATUAN'!$C$7:$C$1492,0),0)),"",OFFSET('HARGA SATUAN'!$E$6,MATCH(RAB!C348,'HARGA SATUAN'!$C$7:$C$1492,0),0)))</f>
        <v>Bh</v>
      </c>
      <c r="F348" s="495">
        <f>F346*1</f>
        <v>0</v>
      </c>
      <c r="G348" s="357">
        <f ca="1">IF(ISERROR(OFFSET('HARGA SATUAN'!$I$6,MATCH(RAB!C348,'HARGA SATUAN'!$C$7:$C$1492,0),0)),0,OFFSET('HARGA SATUAN'!$I$6,MATCH(RAB!C348,'HARGA SATUAN'!$C$7:$C$1492,0),0))</f>
        <v>32500</v>
      </c>
      <c r="H348" s="358">
        <f t="shared" ca="1" si="80"/>
        <v>0</v>
      </c>
      <c r="I348" s="358">
        <f t="shared" ca="1" si="81"/>
        <v>0</v>
      </c>
      <c r="J348" s="358">
        <f t="shared" ca="1" si="82"/>
        <v>0</v>
      </c>
      <c r="K348" s="359">
        <f t="shared" ca="1" si="83"/>
        <v>0</v>
      </c>
      <c r="L348" s="339"/>
      <c r="M348" s="339"/>
      <c r="N348" s="366"/>
      <c r="O348" s="341"/>
      <c r="P348" s="394"/>
      <c r="Q348" s="341"/>
    </row>
    <row r="349" spans="1:17" s="362" customFormat="1">
      <c r="A349" s="333"/>
      <c r="B349" s="532">
        <v>3</v>
      </c>
      <c r="C349" s="533" t="s">
        <v>187</v>
      </c>
      <c r="D349" s="355" t="str">
        <f ca="1">IF(ISERROR(OFFSET('HARGA SATUAN'!$D$6,MATCH(RAB!C349,'HARGA SATUAN'!$C$7:$C$1492,0),0)),"",OFFSET('HARGA SATUAN'!$D$6,MATCH(RAB!C349,'HARGA SATUAN'!$C$7:$C$1492,0),0))</f>
        <v>HDW</v>
      </c>
      <c r="E349" s="356" t="str">
        <f ca="1">IF(B349="+","Unit",IF(ISERROR(OFFSET('HARGA SATUAN'!$E$6,MATCH(RAB!C349,'HARGA SATUAN'!$C$7:$C$1492,0),0)),"",OFFSET('HARGA SATUAN'!$E$6,MATCH(RAB!C349,'HARGA SATUAN'!$C$7:$C$1492,0),0)))</f>
        <v>Bh</v>
      </c>
      <c r="F349" s="495">
        <f>F346*1</f>
        <v>0</v>
      </c>
      <c r="G349" s="357">
        <f ca="1">IF(ISERROR(OFFSET('HARGA SATUAN'!$I$6,MATCH(RAB!C349,'HARGA SATUAN'!$C$7:$C$1492,0),0)),0,OFFSET('HARGA SATUAN'!$I$6,MATCH(RAB!C349,'HARGA SATUAN'!$C$7:$C$1492,0),0))</f>
        <v>17100</v>
      </c>
      <c r="H349" s="358">
        <f t="shared" ca="1" si="80"/>
        <v>0</v>
      </c>
      <c r="I349" s="358">
        <f t="shared" ca="1" si="81"/>
        <v>0</v>
      </c>
      <c r="J349" s="358">
        <f t="shared" ca="1" si="82"/>
        <v>0</v>
      </c>
      <c r="K349" s="359">
        <f t="shared" ca="1" si="83"/>
        <v>0</v>
      </c>
      <c r="L349" s="339"/>
      <c r="M349" s="339"/>
      <c r="N349" s="366"/>
      <c r="O349" s="341"/>
      <c r="P349" s="394"/>
      <c r="Q349" s="341"/>
    </row>
    <row r="350" spans="1:17" s="362" customFormat="1">
      <c r="A350" s="333"/>
      <c r="B350" s="532">
        <v>4</v>
      </c>
      <c r="C350" s="109" t="s">
        <v>174</v>
      </c>
      <c r="D350" s="355" t="str">
        <f ca="1">IF(ISERROR(OFFSET('HARGA SATUAN'!$D$6,MATCH(RAB!C350,'HARGA SATUAN'!$C$7:$C$1492,0),0)),"",OFFSET('HARGA SATUAN'!$D$6,MATCH(RAB!C350,'HARGA SATUAN'!$C$7:$C$1492,0),0))</f>
        <v>HDW</v>
      </c>
      <c r="E350" s="356" t="str">
        <f ca="1">IF(B350="+","Unit",IF(ISERROR(OFFSET('HARGA SATUAN'!$E$6,MATCH(RAB!C350,'HARGA SATUAN'!$C$7:$C$1492,0),0)),"",OFFSET('HARGA SATUAN'!$E$6,MATCH(RAB!C350,'HARGA SATUAN'!$C$7:$C$1492,0),0)))</f>
        <v>Bh</v>
      </c>
      <c r="F350" s="495">
        <f>F346*1</f>
        <v>0</v>
      </c>
      <c r="G350" s="357">
        <f ca="1">IF(ISERROR(OFFSET('HARGA SATUAN'!$I$6,MATCH(RAB!C350,'HARGA SATUAN'!$C$7:$C$1492,0),0)),0,OFFSET('HARGA SATUAN'!$I$6,MATCH(RAB!C350,'HARGA SATUAN'!$C$7:$C$1492,0),0))</f>
        <v>67700</v>
      </c>
      <c r="H350" s="358">
        <f t="shared" ca="1" si="80"/>
        <v>0</v>
      </c>
      <c r="I350" s="358">
        <f t="shared" ca="1" si="81"/>
        <v>0</v>
      </c>
      <c r="J350" s="358">
        <f t="shared" ca="1" si="82"/>
        <v>0</v>
      </c>
      <c r="K350" s="359">
        <f t="shared" ca="1" si="83"/>
        <v>0</v>
      </c>
      <c r="L350" s="339"/>
      <c r="M350" s="339"/>
      <c r="N350" s="366"/>
      <c r="O350" s="341"/>
      <c r="P350" s="394"/>
      <c r="Q350" s="341"/>
    </row>
    <row r="351" spans="1:17" s="362" customFormat="1">
      <c r="A351" s="333"/>
      <c r="B351" s="532">
        <v>5</v>
      </c>
      <c r="C351" s="533" t="s">
        <v>747</v>
      </c>
      <c r="D351" s="355" t="str">
        <f ca="1">IF(ISERROR(OFFSET('HARGA SATUAN'!$D$6,MATCH(RAB!C351,'HARGA SATUAN'!$C$7:$C$1492,0),0)),"",OFFSET('HARGA SATUAN'!$D$6,MATCH(RAB!C351,'HARGA SATUAN'!$C$7:$C$1492,0),0))</f>
        <v>JASA</v>
      </c>
      <c r="E351" s="356" t="str">
        <f ca="1">IF(B351="+","Unit",IF(ISERROR(OFFSET('HARGA SATUAN'!$E$6,MATCH(RAB!C351,'HARGA SATUAN'!$C$7:$C$1492,0),0)),"",OFFSET('HARGA SATUAN'!$E$6,MATCH(RAB!C351,'HARGA SATUAN'!$C$7:$C$1492,0),0)))</f>
        <v>Unit</v>
      </c>
      <c r="F351" s="495">
        <f>F346*1</f>
        <v>0</v>
      </c>
      <c r="G351" s="357">
        <f ca="1">IF(ISERROR(OFFSET('HARGA SATUAN'!$I$6,MATCH(RAB!C351,'HARGA SATUAN'!$C$7:$C$1492,0),0)),0,OFFSET('HARGA SATUAN'!$I$6,MATCH(RAB!C351,'HARGA SATUAN'!$C$7:$C$1492,0),0))</f>
        <v>58400</v>
      </c>
      <c r="H351" s="358">
        <f t="shared" ca="1" si="80"/>
        <v>0</v>
      </c>
      <c r="I351" s="358">
        <f t="shared" ca="1" si="81"/>
        <v>0</v>
      </c>
      <c r="J351" s="358">
        <f t="shared" ca="1" si="82"/>
        <v>0</v>
      </c>
      <c r="K351" s="359">
        <f t="shared" ca="1" si="83"/>
        <v>0</v>
      </c>
      <c r="L351" s="339"/>
      <c r="M351" s="339"/>
      <c r="N351" s="366"/>
      <c r="O351" s="341"/>
      <c r="P351" s="394"/>
      <c r="Q351" s="341"/>
    </row>
    <row r="352" spans="1:17" s="362" customFormat="1">
      <c r="A352" s="333"/>
      <c r="B352" s="506"/>
      <c r="C352" s="507"/>
      <c r="D352" s="355" t="str">
        <f ca="1">IF(ISERROR(OFFSET('HARGA SATUAN'!$D$6,MATCH(RAB!C352,'HARGA SATUAN'!$C$7:$C$1492,0),0)),"",OFFSET('HARGA SATUAN'!$D$6,MATCH(RAB!C352,'HARGA SATUAN'!$C$7:$C$1492,0),0))</f>
        <v/>
      </c>
      <c r="E352" s="356" t="str">
        <f ca="1">IF(B352="+","Unit",IF(ISERROR(OFFSET('HARGA SATUAN'!$E$6,MATCH(RAB!C352,'HARGA SATUAN'!$C$7:$C$1492,0),0)),"",OFFSET('HARGA SATUAN'!$E$6,MATCH(RAB!C352,'HARGA SATUAN'!$C$7:$C$1492,0),0)))</f>
        <v/>
      </c>
      <c r="F352" s="515"/>
      <c r="G352" s="357">
        <f ca="1">IF(ISERROR(OFFSET('HARGA SATUAN'!$I$6,MATCH(RAB!C352,'HARGA SATUAN'!$C$7:$C$1492,0),0)),0,OFFSET('HARGA SATUAN'!$I$6,MATCH(RAB!C352,'HARGA SATUAN'!$C$7:$C$1492,0),0))</f>
        <v>0</v>
      </c>
      <c r="H352" s="358">
        <f t="shared" ca="1" si="80"/>
        <v>0</v>
      </c>
      <c r="I352" s="358">
        <f t="shared" ca="1" si="81"/>
        <v>0</v>
      </c>
      <c r="J352" s="358">
        <f t="shared" ca="1" si="82"/>
        <v>0</v>
      </c>
      <c r="K352" s="359">
        <f t="shared" ca="1" si="83"/>
        <v>0</v>
      </c>
      <c r="L352" s="339"/>
      <c r="M352" s="339"/>
      <c r="N352" s="366"/>
      <c r="O352" s="341"/>
      <c r="P352" s="394"/>
      <c r="Q352" s="341"/>
    </row>
    <row r="353" spans="1:17" s="362" customFormat="1">
      <c r="A353" s="333"/>
      <c r="B353" s="506"/>
      <c r="C353" s="507"/>
      <c r="D353" s="355" t="str">
        <f ca="1">IF(ISERROR(OFFSET('HARGA SATUAN'!$D$6,MATCH(RAB!C353,'HARGA SATUAN'!$C$7:$C$1492,0),0)),"",OFFSET('HARGA SATUAN'!$D$6,MATCH(RAB!C353,'HARGA SATUAN'!$C$7:$C$1492,0),0))</f>
        <v/>
      </c>
      <c r="E353" s="356" t="str">
        <f ca="1">IF(B353="+","Unit",IF(ISERROR(OFFSET('HARGA SATUAN'!$E$6,MATCH(RAB!C353,'HARGA SATUAN'!$C$7:$C$1492,0),0)),"",OFFSET('HARGA SATUAN'!$E$6,MATCH(RAB!C353,'HARGA SATUAN'!$C$7:$C$1492,0),0)))</f>
        <v/>
      </c>
      <c r="F353" s="515"/>
      <c r="G353" s="357">
        <f ca="1">IF(ISERROR(OFFSET('HARGA SATUAN'!$I$6,MATCH(RAB!C353,'HARGA SATUAN'!$C$7:$C$1492,0),0)),0,OFFSET('HARGA SATUAN'!$I$6,MATCH(RAB!C353,'HARGA SATUAN'!$C$7:$C$1492,0),0))</f>
        <v>0</v>
      </c>
      <c r="H353" s="358">
        <f t="shared" ca="1" si="80"/>
        <v>0</v>
      </c>
      <c r="I353" s="358">
        <f t="shared" ca="1" si="81"/>
        <v>0</v>
      </c>
      <c r="J353" s="358">
        <f t="shared" ca="1" si="82"/>
        <v>0</v>
      </c>
      <c r="K353" s="359">
        <f t="shared" ca="1" si="83"/>
        <v>0</v>
      </c>
      <c r="L353" s="339"/>
      <c r="M353" s="339"/>
      <c r="N353" s="366"/>
      <c r="O353" s="341"/>
      <c r="P353" s="394"/>
      <c r="Q353" s="341"/>
    </row>
    <row r="354" spans="1:17" s="362" customFormat="1">
      <c r="A354" s="333"/>
      <c r="B354" s="538"/>
      <c r="C354" s="505" t="s">
        <v>1660</v>
      </c>
      <c r="D354" s="355" t="str">
        <f ca="1">IF(ISERROR(OFFSET('HARGA SATUAN'!$D$6,MATCH(RAB!C354,'HARGA SATUAN'!$C$7:$C$1492,0),0)),"",OFFSET('HARGA SATUAN'!$D$6,MATCH(RAB!C354,'HARGA SATUAN'!$C$7:$C$1492,0),0))</f>
        <v/>
      </c>
      <c r="E354" s="356" t="str">
        <f ca="1">IF(B354="+","Unit",IF(ISERROR(OFFSET('HARGA SATUAN'!$E$6,MATCH(RAB!C354,'HARGA SATUAN'!$C$7:$C$1492,0),0)),"",OFFSET('HARGA SATUAN'!$E$6,MATCH(RAB!C354,'HARGA SATUAN'!$C$7:$C$1492,0),0)))</f>
        <v/>
      </c>
      <c r="F354" s="515"/>
      <c r="G354" s="357">
        <f ca="1">IF(ISERROR(OFFSET('HARGA SATUAN'!$I$6,MATCH(RAB!C354,'HARGA SATUAN'!$C$7:$C$1492,0),0)),0,OFFSET('HARGA SATUAN'!$I$6,MATCH(RAB!C354,'HARGA SATUAN'!$C$7:$C$1492,0),0))</f>
        <v>0</v>
      </c>
      <c r="H354" s="358">
        <f t="shared" ca="1" si="80"/>
        <v>0</v>
      </c>
      <c r="I354" s="358">
        <f t="shared" ca="1" si="81"/>
        <v>0</v>
      </c>
      <c r="J354" s="358">
        <f t="shared" ca="1" si="82"/>
        <v>0</v>
      </c>
      <c r="K354" s="359">
        <f t="shared" ca="1" si="83"/>
        <v>0</v>
      </c>
      <c r="L354" s="339"/>
      <c r="M354" s="339"/>
      <c r="N354" s="366"/>
      <c r="O354" s="341"/>
      <c r="P354" s="394"/>
      <c r="Q354" s="341"/>
    </row>
    <row r="355" spans="1:17" s="362" customFormat="1">
      <c r="A355" s="333"/>
      <c r="B355" s="506"/>
      <c r="C355" s="507"/>
      <c r="D355" s="355" t="str">
        <f ca="1">IF(ISERROR(OFFSET('HARGA SATUAN'!$D$6,MATCH(RAB!C355,'HARGA SATUAN'!$C$7:$C$1492,0),0)),"",OFFSET('HARGA SATUAN'!$D$6,MATCH(RAB!C355,'HARGA SATUAN'!$C$7:$C$1492,0),0))</f>
        <v/>
      </c>
      <c r="E355" s="356" t="str">
        <f ca="1">IF(B355="+","Unit",IF(ISERROR(OFFSET('HARGA SATUAN'!$E$6,MATCH(RAB!C355,'HARGA SATUAN'!$C$7:$C$1492,0),0)),"",OFFSET('HARGA SATUAN'!$E$6,MATCH(RAB!C355,'HARGA SATUAN'!$C$7:$C$1492,0),0)))</f>
        <v/>
      </c>
      <c r="F355" s="515"/>
      <c r="G355" s="357">
        <f ca="1">IF(ISERROR(OFFSET('HARGA SATUAN'!$I$6,MATCH(RAB!C355,'HARGA SATUAN'!$C$7:$C$1492,0),0)),0,OFFSET('HARGA SATUAN'!$I$6,MATCH(RAB!C355,'HARGA SATUAN'!$C$7:$C$1492,0),0))</f>
        <v>0</v>
      </c>
      <c r="H355" s="358">
        <f t="shared" ca="1" si="80"/>
        <v>0</v>
      </c>
      <c r="I355" s="358">
        <f t="shared" ca="1" si="81"/>
        <v>0</v>
      </c>
      <c r="J355" s="358">
        <f t="shared" ca="1" si="82"/>
        <v>0</v>
      </c>
      <c r="K355" s="359">
        <f t="shared" ca="1" si="83"/>
        <v>0</v>
      </c>
      <c r="L355" s="339"/>
      <c r="M355" s="339"/>
      <c r="N355" s="366"/>
      <c r="O355" s="341"/>
      <c r="P355" s="394"/>
      <c r="Q355" s="341"/>
    </row>
    <row r="356" spans="1:17" s="362" customFormat="1">
      <c r="A356" s="333"/>
      <c r="B356" s="506" t="s">
        <v>1035</v>
      </c>
      <c r="C356" s="507" t="s">
        <v>1627</v>
      </c>
      <c r="D356" s="355" t="str">
        <f ca="1">IF(ISERROR(OFFSET('HARGA SATUAN'!$D$6,MATCH(RAB!C356,'HARGA SATUAN'!$C$7:$C$1492,0),0)),"",OFFSET('HARGA SATUAN'!$D$6,MATCH(RAB!C356,'HARGA SATUAN'!$C$7:$C$1492,0),0))</f>
        <v/>
      </c>
      <c r="E356" s="356" t="str">
        <f ca="1">IF(B356="+","Unit",IF(ISERROR(OFFSET('HARGA SATUAN'!$E$6,MATCH(RAB!C356,'HARGA SATUAN'!$C$7:$C$1492,0),0)),"",OFFSET('HARGA SATUAN'!$E$6,MATCH(RAB!C356,'HARGA SATUAN'!$C$7:$C$1492,0),0)))</f>
        <v>Unit</v>
      </c>
      <c r="F356" s="494">
        <v>8</v>
      </c>
      <c r="G356" s="357">
        <f ca="1">IF(ISERROR(OFFSET('HARGA SATUAN'!$I$6,MATCH(RAB!C356,'HARGA SATUAN'!$C$7:$C$1492,0),0)),0,OFFSET('HARGA SATUAN'!$I$6,MATCH(RAB!C356,'HARGA SATUAN'!$C$7:$C$1492,0),0))</f>
        <v>0</v>
      </c>
      <c r="H356" s="358">
        <f t="shared" ca="1" si="80"/>
        <v>0</v>
      </c>
      <c r="I356" s="358">
        <f t="shared" ca="1" si="81"/>
        <v>0</v>
      </c>
      <c r="J356" s="358">
        <f t="shared" ca="1" si="82"/>
        <v>0</v>
      </c>
      <c r="K356" s="359">
        <f t="shared" ca="1" si="83"/>
        <v>0</v>
      </c>
      <c r="L356" s="339"/>
      <c r="M356" s="339"/>
      <c r="N356" s="366"/>
      <c r="O356" s="341"/>
      <c r="P356" s="394"/>
      <c r="Q356" s="341"/>
    </row>
    <row r="357" spans="1:17" s="362" customFormat="1">
      <c r="A357" s="333"/>
      <c r="B357" s="506">
        <v>1</v>
      </c>
      <c r="C357" s="507" t="s">
        <v>28</v>
      </c>
      <c r="D357" s="355" t="str">
        <f ca="1">IF(ISERROR(OFFSET('HARGA SATUAN'!$D$6,MATCH(RAB!C357,'HARGA SATUAN'!$C$7:$C$1492,0),0)),"",OFFSET('HARGA SATUAN'!$D$6,MATCH(RAB!C357,'HARGA SATUAN'!$C$7:$C$1492,0),0))</f>
        <v>HDW</v>
      </c>
      <c r="E357" s="356" t="str">
        <f ca="1">IF(B357="+","Unit",IF(ISERROR(OFFSET('HARGA SATUAN'!$E$6,MATCH(RAB!C357,'HARGA SATUAN'!$C$7:$C$1492,0),0)),"",OFFSET('HARGA SATUAN'!$E$6,MATCH(RAB!C357,'HARGA SATUAN'!$C$7:$C$1492,0),0)))</f>
        <v>Bh</v>
      </c>
      <c r="F357" s="494">
        <f>F356*1</f>
        <v>8</v>
      </c>
      <c r="G357" s="357">
        <f ca="1">IF(ISERROR(OFFSET('HARGA SATUAN'!$I$6,MATCH(RAB!C357,'HARGA SATUAN'!$C$7:$C$1492,0),0)),0,OFFSET('HARGA SATUAN'!$I$6,MATCH(RAB!C357,'HARGA SATUAN'!$C$7:$C$1492,0),0))</f>
        <v>26500</v>
      </c>
      <c r="H357" s="358">
        <f t="shared" ca="1" si="80"/>
        <v>0</v>
      </c>
      <c r="I357" s="358">
        <f t="shared" ca="1" si="81"/>
        <v>212000</v>
      </c>
      <c r="J357" s="358">
        <f t="shared" ca="1" si="82"/>
        <v>0</v>
      </c>
      <c r="K357" s="359">
        <f t="shared" ca="1" si="83"/>
        <v>212000</v>
      </c>
      <c r="L357" s="339"/>
      <c r="M357" s="339"/>
      <c r="N357" s="366"/>
      <c r="O357" s="341"/>
      <c r="P357" s="394"/>
      <c r="Q357" s="341"/>
    </row>
    <row r="358" spans="1:17" s="362" customFormat="1">
      <c r="A358" s="333"/>
      <c r="B358" s="506">
        <v>2</v>
      </c>
      <c r="C358" s="507" t="s">
        <v>203</v>
      </c>
      <c r="D358" s="355" t="str">
        <f ca="1">IF(ISERROR(OFFSET('HARGA SATUAN'!$D$6,MATCH(RAB!C358,'HARGA SATUAN'!$C$7:$C$1492,0),0)),"",OFFSET('HARGA SATUAN'!$D$6,MATCH(RAB!C358,'HARGA SATUAN'!$C$7:$C$1492,0),0))</f>
        <v>HDW</v>
      </c>
      <c r="E358" s="356" t="str">
        <f ca="1">IF(B358="+","Unit",IF(ISERROR(OFFSET('HARGA SATUAN'!$E$6,MATCH(RAB!C358,'HARGA SATUAN'!$C$7:$C$1492,0),0)),"",OFFSET('HARGA SATUAN'!$E$6,MATCH(RAB!C358,'HARGA SATUAN'!$C$7:$C$1492,0),0)))</f>
        <v>Bh</v>
      </c>
      <c r="F358" s="494">
        <f>F356*1</f>
        <v>8</v>
      </c>
      <c r="G358" s="357">
        <f ca="1">IF(ISERROR(OFFSET('HARGA SATUAN'!$I$6,MATCH(RAB!C358,'HARGA SATUAN'!$C$7:$C$1492,0),0)),0,OFFSET('HARGA SATUAN'!$I$6,MATCH(RAB!C358,'HARGA SATUAN'!$C$7:$C$1492,0),0))</f>
        <v>12500</v>
      </c>
      <c r="H358" s="358">
        <f t="shared" ca="1" si="80"/>
        <v>0</v>
      </c>
      <c r="I358" s="358">
        <f t="shared" ca="1" si="81"/>
        <v>100000</v>
      </c>
      <c r="J358" s="358">
        <f t="shared" ca="1" si="82"/>
        <v>0</v>
      </c>
      <c r="K358" s="359">
        <f t="shared" ca="1" si="83"/>
        <v>100000</v>
      </c>
      <c r="L358" s="339"/>
      <c r="M358" s="339"/>
      <c r="N358" s="366"/>
      <c r="O358" s="341"/>
      <c r="P358" s="394"/>
      <c r="Q358" s="341"/>
    </row>
    <row r="359" spans="1:17" s="362" customFormat="1">
      <c r="A359" s="333"/>
      <c r="B359" s="506">
        <v>3</v>
      </c>
      <c r="C359" s="507" t="s">
        <v>206</v>
      </c>
      <c r="D359" s="355" t="str">
        <f ca="1">IF(ISERROR(OFFSET('HARGA SATUAN'!$D$6,MATCH(RAB!C359,'HARGA SATUAN'!$C$7:$C$1492,0),0)),"",OFFSET('HARGA SATUAN'!$D$6,MATCH(RAB!C359,'HARGA SATUAN'!$C$7:$C$1492,0),0))</f>
        <v>HDW</v>
      </c>
      <c r="E359" s="356" t="str">
        <f ca="1">IF(B359="+","Unit",IF(ISERROR(OFFSET('HARGA SATUAN'!$E$6,MATCH(RAB!C359,'HARGA SATUAN'!$C$7:$C$1492,0),0)),"",OFFSET('HARGA SATUAN'!$E$6,MATCH(RAB!C359,'HARGA SATUAN'!$C$7:$C$1492,0),0)))</f>
        <v>Mtr</v>
      </c>
      <c r="F359" s="494">
        <f>F356*12</f>
        <v>96</v>
      </c>
      <c r="G359" s="357">
        <f ca="1">IF(ISERROR(OFFSET('HARGA SATUAN'!$I$6,MATCH(RAB!C359,'HARGA SATUAN'!$C$7:$C$1492,0),0)),0,OFFSET('HARGA SATUAN'!$I$6,MATCH(RAB!C359,'HARGA SATUAN'!$C$7:$C$1492,0),0))</f>
        <v>39204</v>
      </c>
      <c r="H359" s="358">
        <f t="shared" ca="1" si="80"/>
        <v>0</v>
      </c>
      <c r="I359" s="358">
        <f t="shared" ca="1" si="81"/>
        <v>3763584</v>
      </c>
      <c r="J359" s="358">
        <f t="shared" ca="1" si="82"/>
        <v>0</v>
      </c>
      <c r="K359" s="359">
        <f t="shared" ca="1" si="83"/>
        <v>3763584</v>
      </c>
      <c r="L359" s="339"/>
      <c r="M359" s="339"/>
      <c r="N359" s="366"/>
      <c r="O359" s="341"/>
      <c r="P359" s="394"/>
      <c r="Q359" s="341"/>
    </row>
    <row r="360" spans="1:17" s="362" customFormat="1">
      <c r="A360" s="333"/>
      <c r="B360" s="506">
        <v>4</v>
      </c>
      <c r="C360" s="507" t="s">
        <v>287</v>
      </c>
      <c r="D360" s="355" t="str">
        <f ca="1">IF(ISERROR(OFFSET('HARGA SATUAN'!$D$6,MATCH(RAB!C360,'HARGA SATUAN'!$C$7:$C$1492,0),0)),"",OFFSET('HARGA SATUAN'!$D$6,MATCH(RAB!C360,'HARGA SATUAN'!$C$7:$C$1492,0),0))</f>
        <v>HDW</v>
      </c>
      <c r="E360" s="356" t="str">
        <f ca="1">IF(B360="+","Unit",IF(ISERROR(OFFSET('HARGA SATUAN'!$E$6,MATCH(RAB!C360,'HARGA SATUAN'!$C$7:$C$1492,0),0)),"",OFFSET('HARGA SATUAN'!$E$6,MATCH(RAB!C360,'HARGA SATUAN'!$C$7:$C$1492,0),0)))</f>
        <v>Bh</v>
      </c>
      <c r="F360" s="494">
        <f>F356*2</f>
        <v>16</v>
      </c>
      <c r="G360" s="357">
        <f ca="1">IF(ISERROR(OFFSET('HARGA SATUAN'!$I$6,MATCH(RAB!C360,'HARGA SATUAN'!$C$7:$C$1492,0),0)),0,OFFSET('HARGA SATUAN'!$I$6,MATCH(RAB!C360,'HARGA SATUAN'!$C$7:$C$1492,0),0))</f>
        <v>40000</v>
      </c>
      <c r="H360" s="358">
        <f t="shared" ca="1" si="80"/>
        <v>0</v>
      </c>
      <c r="I360" s="358">
        <f t="shared" ca="1" si="81"/>
        <v>640000</v>
      </c>
      <c r="J360" s="358">
        <f t="shared" ca="1" si="82"/>
        <v>0</v>
      </c>
      <c r="K360" s="359">
        <f t="shared" ca="1" si="83"/>
        <v>640000</v>
      </c>
      <c r="L360" s="339"/>
      <c r="M360" s="339"/>
      <c r="N360" s="366"/>
      <c r="O360" s="341"/>
      <c r="P360" s="394"/>
      <c r="Q360" s="341"/>
    </row>
    <row r="361" spans="1:17" s="362" customFormat="1">
      <c r="A361" s="333"/>
      <c r="B361" s="506">
        <v>5</v>
      </c>
      <c r="C361" s="507" t="s">
        <v>26</v>
      </c>
      <c r="D361" s="355" t="str">
        <f ca="1">IF(ISERROR(OFFSET('HARGA SATUAN'!$D$6,MATCH(RAB!C361,'HARGA SATUAN'!$C$7:$C$1492,0),0)),"",OFFSET('HARGA SATUAN'!$D$6,MATCH(RAB!C361,'HARGA SATUAN'!$C$7:$C$1492,0),0))</f>
        <v>HDW</v>
      </c>
      <c r="E361" s="356" t="str">
        <f ca="1">IF(B361="+","Unit",IF(ISERROR(OFFSET('HARGA SATUAN'!$E$6,MATCH(RAB!C361,'HARGA SATUAN'!$C$7:$C$1492,0),0)),"",OFFSET('HARGA SATUAN'!$E$6,MATCH(RAB!C361,'HARGA SATUAN'!$C$7:$C$1492,0),0)))</f>
        <v>Bh</v>
      </c>
      <c r="F361" s="494">
        <f>F356*1</f>
        <v>8</v>
      </c>
      <c r="G361" s="357">
        <f ca="1">IF(ISERROR(OFFSET('HARGA SATUAN'!$I$6,MATCH(RAB!C361,'HARGA SATUAN'!$C$7:$C$1492,0),0)),0,OFFSET('HARGA SATUAN'!$I$6,MATCH(RAB!C361,'HARGA SATUAN'!$C$7:$C$1492,0),0))</f>
        <v>2500</v>
      </c>
      <c r="H361" s="358">
        <f t="shared" ca="1" si="80"/>
        <v>0</v>
      </c>
      <c r="I361" s="358">
        <f t="shared" ca="1" si="81"/>
        <v>20000</v>
      </c>
      <c r="J361" s="358">
        <f t="shared" ca="1" si="82"/>
        <v>0</v>
      </c>
      <c r="K361" s="359">
        <f t="shared" ca="1" si="83"/>
        <v>20000</v>
      </c>
      <c r="L361" s="339"/>
      <c r="M361" s="339"/>
      <c r="N361" s="366"/>
      <c r="O361" s="341"/>
      <c r="P361" s="394"/>
      <c r="Q361" s="341"/>
    </row>
    <row r="362" spans="1:17" s="362" customFormat="1">
      <c r="A362" s="333"/>
      <c r="B362" s="506">
        <v>6</v>
      </c>
      <c r="C362" s="507" t="s">
        <v>760</v>
      </c>
      <c r="D362" s="355" t="str">
        <f ca="1">IF(ISERROR(OFFSET('HARGA SATUAN'!$D$6,MATCH(RAB!C362,'HARGA SATUAN'!$C$7:$C$1492,0),0)),"",OFFSET('HARGA SATUAN'!$D$6,MATCH(RAB!C362,'HARGA SATUAN'!$C$7:$C$1492,0),0))</f>
        <v>JASA</v>
      </c>
      <c r="E362" s="356" t="str">
        <f ca="1">IF(B362="+","Unit",IF(ISERROR(OFFSET('HARGA SATUAN'!$E$6,MATCH(RAB!C362,'HARGA SATUAN'!$C$7:$C$1492,0),0)),"",OFFSET('HARGA SATUAN'!$E$6,MATCH(RAB!C362,'HARGA SATUAN'!$C$7:$C$1492,0),0)))</f>
        <v>Unit</v>
      </c>
      <c r="F362" s="494">
        <f>F356*1</f>
        <v>8</v>
      </c>
      <c r="G362" s="357">
        <f ca="1">IF(ISERROR(OFFSET('HARGA SATUAN'!$I$6,MATCH(RAB!C362,'HARGA SATUAN'!$C$7:$C$1492,0),0)),0,OFFSET('HARGA SATUAN'!$I$6,MATCH(RAB!C362,'HARGA SATUAN'!$C$7:$C$1492,0),0))</f>
        <v>36600</v>
      </c>
      <c r="H362" s="358">
        <f t="shared" ca="1" si="80"/>
        <v>0</v>
      </c>
      <c r="I362" s="358">
        <f t="shared" ca="1" si="81"/>
        <v>0</v>
      </c>
      <c r="J362" s="358">
        <f t="shared" ca="1" si="82"/>
        <v>292800</v>
      </c>
      <c r="K362" s="359">
        <f t="shared" ca="1" si="83"/>
        <v>292800</v>
      </c>
      <c r="L362" s="339"/>
      <c r="M362" s="339"/>
      <c r="N362" s="366"/>
      <c r="O362" s="341"/>
      <c r="P362" s="394"/>
      <c r="Q362" s="341"/>
    </row>
    <row r="363" spans="1:17" s="362" customFormat="1">
      <c r="A363" s="333"/>
      <c r="B363" s="506"/>
      <c r="C363" s="507"/>
      <c r="D363" s="355" t="str">
        <f ca="1">IF(ISERROR(OFFSET('HARGA SATUAN'!$D$6,MATCH(RAB!C363,'HARGA SATUAN'!$C$7:$C$1492,0),0)),"",OFFSET('HARGA SATUAN'!$D$6,MATCH(RAB!C363,'HARGA SATUAN'!$C$7:$C$1492,0),0))</f>
        <v/>
      </c>
      <c r="E363" s="356" t="str">
        <f ca="1">IF(B363="+","Unit",IF(ISERROR(OFFSET('HARGA SATUAN'!$E$6,MATCH(RAB!C363,'HARGA SATUAN'!$C$7:$C$1492,0),0)),"",OFFSET('HARGA SATUAN'!$E$6,MATCH(RAB!C363,'HARGA SATUAN'!$C$7:$C$1492,0),0)))</f>
        <v/>
      </c>
      <c r="F363" s="515"/>
      <c r="G363" s="357">
        <f ca="1">IF(ISERROR(OFFSET('HARGA SATUAN'!$I$6,MATCH(RAB!C363,'HARGA SATUAN'!$C$7:$C$1492,0),0)),0,OFFSET('HARGA SATUAN'!$I$6,MATCH(RAB!C363,'HARGA SATUAN'!$C$7:$C$1492,0),0))</f>
        <v>0</v>
      </c>
      <c r="H363" s="358">
        <f t="shared" ca="1" si="80"/>
        <v>0</v>
      </c>
      <c r="I363" s="358">
        <f t="shared" ca="1" si="81"/>
        <v>0</v>
      </c>
      <c r="J363" s="358">
        <f t="shared" ca="1" si="82"/>
        <v>0</v>
      </c>
      <c r="K363" s="359">
        <f t="shared" ca="1" si="83"/>
        <v>0</v>
      </c>
      <c r="L363" s="339"/>
      <c r="M363" s="339"/>
      <c r="N363" s="366"/>
      <c r="O363" s="341"/>
      <c r="P363" s="394"/>
      <c r="Q363" s="341"/>
    </row>
    <row r="364" spans="1:17" s="362" customFormat="1">
      <c r="A364" s="333"/>
      <c r="B364" s="506" t="s">
        <v>1035</v>
      </c>
      <c r="C364" s="507" t="s">
        <v>1628</v>
      </c>
      <c r="D364" s="355" t="str">
        <f ca="1">IF(ISERROR(OFFSET('HARGA SATUAN'!$D$6,MATCH(RAB!C364,'HARGA SATUAN'!$C$7:$C$1492,0),0)),"",OFFSET('HARGA SATUAN'!$D$6,MATCH(RAB!C364,'HARGA SATUAN'!$C$7:$C$1492,0),0))</f>
        <v/>
      </c>
      <c r="E364" s="356" t="str">
        <f ca="1">IF(B364="+","Unit",IF(ISERROR(OFFSET('HARGA SATUAN'!$E$6,MATCH(RAB!C364,'HARGA SATUAN'!$C$7:$C$1492,0),0)),"",OFFSET('HARGA SATUAN'!$E$6,MATCH(RAB!C364,'HARGA SATUAN'!$C$7:$C$1492,0),0)))</f>
        <v>Unit</v>
      </c>
      <c r="F364" s="494">
        <f>F356</f>
        <v>8</v>
      </c>
      <c r="G364" s="357">
        <f ca="1">IF(ISERROR(OFFSET('HARGA SATUAN'!$I$6,MATCH(RAB!C364,'HARGA SATUAN'!$C$7:$C$1492,0),0)),0,OFFSET('HARGA SATUAN'!$I$6,MATCH(RAB!C364,'HARGA SATUAN'!$C$7:$C$1492,0),0))</f>
        <v>0</v>
      </c>
      <c r="H364" s="358">
        <f t="shared" ca="1" si="80"/>
        <v>0</v>
      </c>
      <c r="I364" s="358">
        <f t="shared" ca="1" si="81"/>
        <v>0</v>
      </c>
      <c r="J364" s="358">
        <f t="shared" ca="1" si="82"/>
        <v>0</v>
      </c>
      <c r="K364" s="359">
        <f t="shared" ca="1" si="83"/>
        <v>0</v>
      </c>
      <c r="L364" s="339"/>
      <c r="M364" s="339"/>
      <c r="N364" s="366"/>
      <c r="O364" s="341"/>
      <c r="P364" s="394"/>
      <c r="Q364" s="341"/>
    </row>
    <row r="365" spans="1:17" s="362" customFormat="1">
      <c r="A365" s="333"/>
      <c r="B365" s="506">
        <v>1</v>
      </c>
      <c r="C365" s="507" t="s">
        <v>597</v>
      </c>
      <c r="D365" s="355" t="str">
        <f ca="1">IF(ISERROR(OFFSET('HARGA SATUAN'!$D$6,MATCH(RAB!C365,'HARGA SATUAN'!$C$7:$C$1492,0),0)),"",OFFSET('HARGA SATUAN'!$D$6,MATCH(RAB!C365,'HARGA SATUAN'!$C$7:$C$1492,0),0))</f>
        <v>HDW</v>
      </c>
      <c r="E365" s="356" t="str">
        <f ca="1">IF(B365="+","Unit",IF(ISERROR(OFFSET('HARGA SATUAN'!$E$6,MATCH(RAB!C365,'HARGA SATUAN'!$C$7:$C$1492,0),0)),"",OFFSET('HARGA SATUAN'!$E$6,MATCH(RAB!C365,'HARGA SATUAN'!$C$7:$C$1492,0),0)))</f>
        <v>Bh</v>
      </c>
      <c r="F365" s="494">
        <f>F364*1</f>
        <v>8</v>
      </c>
      <c r="G365" s="357">
        <f ca="1">IF(ISERROR(OFFSET('HARGA SATUAN'!$I$6,MATCH(RAB!C365,'HARGA SATUAN'!$C$7:$C$1492,0),0)),0,OFFSET('HARGA SATUAN'!$I$6,MATCH(RAB!C365,'HARGA SATUAN'!$C$7:$C$1492,0),0))</f>
        <v>120900</v>
      </c>
      <c r="H365" s="358">
        <f t="shared" ca="1" si="80"/>
        <v>0</v>
      </c>
      <c r="I365" s="358">
        <f t="shared" ca="1" si="81"/>
        <v>967200</v>
      </c>
      <c r="J365" s="358">
        <f t="shared" ca="1" si="82"/>
        <v>0</v>
      </c>
      <c r="K365" s="359">
        <f t="shared" ca="1" si="83"/>
        <v>967200</v>
      </c>
      <c r="L365" s="339"/>
      <c r="M365" s="339"/>
      <c r="N365" s="366"/>
      <c r="O365" s="341"/>
      <c r="P365" s="394"/>
      <c r="Q365" s="341"/>
    </row>
    <row r="366" spans="1:17" s="362" customFormat="1">
      <c r="A366" s="333"/>
      <c r="B366" s="506">
        <v>2</v>
      </c>
      <c r="C366" s="507" t="s">
        <v>261</v>
      </c>
      <c r="D366" s="355" t="str">
        <f ca="1">IF(ISERROR(OFFSET('HARGA SATUAN'!$D$6,MATCH(RAB!C366,'HARGA SATUAN'!$C$7:$C$1492,0),0)),"",OFFSET('HARGA SATUAN'!$D$6,MATCH(RAB!C366,'HARGA SATUAN'!$C$7:$C$1492,0),0))</f>
        <v>HDW</v>
      </c>
      <c r="E366" s="356" t="str">
        <f ca="1">IF(B366="+","Unit",IF(ISERROR(OFFSET('HARGA SATUAN'!$E$6,MATCH(RAB!C366,'HARGA SATUAN'!$C$7:$C$1492,0),0)),"",OFFSET('HARGA SATUAN'!$E$6,MATCH(RAB!C366,'HARGA SATUAN'!$C$7:$C$1492,0),0)))</f>
        <v>Bh</v>
      </c>
      <c r="F366" s="494">
        <f>F364*1</f>
        <v>8</v>
      </c>
      <c r="G366" s="357">
        <f ca="1">IF(ISERROR(OFFSET('HARGA SATUAN'!$I$6,MATCH(RAB!C366,'HARGA SATUAN'!$C$7:$C$1492,0),0)),0,OFFSET('HARGA SATUAN'!$I$6,MATCH(RAB!C366,'HARGA SATUAN'!$C$7:$C$1492,0),0))</f>
        <v>135800</v>
      </c>
      <c r="H366" s="358">
        <f t="shared" ca="1" si="80"/>
        <v>0</v>
      </c>
      <c r="I366" s="358">
        <f t="shared" ca="1" si="81"/>
        <v>1086400</v>
      </c>
      <c r="J366" s="358">
        <f t="shared" ca="1" si="82"/>
        <v>0</v>
      </c>
      <c r="K366" s="359">
        <f t="shared" ca="1" si="83"/>
        <v>1086400</v>
      </c>
      <c r="L366" s="339"/>
      <c r="M366" s="339"/>
      <c r="N366" s="366"/>
      <c r="O366" s="341"/>
      <c r="P366" s="394"/>
      <c r="Q366" s="341"/>
    </row>
    <row r="367" spans="1:17" s="362" customFormat="1">
      <c r="A367" s="333"/>
      <c r="B367" s="506">
        <v>3</v>
      </c>
      <c r="C367" s="507" t="s">
        <v>214</v>
      </c>
      <c r="D367" s="355" t="str">
        <f ca="1">IF(ISERROR(OFFSET('HARGA SATUAN'!$D$6,MATCH(RAB!C367,'HARGA SATUAN'!$C$7:$C$1492,0),0)),"",OFFSET('HARGA SATUAN'!$D$6,MATCH(RAB!C367,'HARGA SATUAN'!$C$7:$C$1492,0),0))</f>
        <v>HDW</v>
      </c>
      <c r="E367" s="356" t="str">
        <f ca="1">IF(B367="+","Unit",IF(ISERROR(OFFSET('HARGA SATUAN'!$E$6,MATCH(RAB!C367,'HARGA SATUAN'!$C$7:$C$1492,0),0)),"",OFFSET('HARGA SATUAN'!$E$6,MATCH(RAB!C367,'HARGA SATUAN'!$C$7:$C$1492,0),0)))</f>
        <v>Bh</v>
      </c>
      <c r="F367" s="515">
        <f>F364*1</f>
        <v>8</v>
      </c>
      <c r="G367" s="357">
        <f ca="1">IF(ISERROR(OFFSET('HARGA SATUAN'!$I$6,MATCH(RAB!C367,'HARGA SATUAN'!$C$7:$C$1492,0),0)),0,OFFSET('HARGA SATUAN'!$I$6,MATCH(RAB!C367,'HARGA SATUAN'!$C$7:$C$1492,0),0))</f>
        <v>4500</v>
      </c>
      <c r="H367" s="358">
        <f t="shared" ref="H367:H406" ca="1" si="84">IF(OR(D367="MDU",D367="MDU-KD"),(IF($O$3="RAB NON MDU","PLN KD",G367*F367)),0)</f>
        <v>0</v>
      </c>
      <c r="I367" s="358">
        <f t="shared" ref="I367:I406" ca="1" si="85">IF(D367="HDW",G367*F367,0)</f>
        <v>36000</v>
      </c>
      <c r="J367" s="358">
        <f t="shared" ref="J367:J406" ca="1" si="86">IF(D367="JASA",G367*F367,0)</f>
        <v>0</v>
      </c>
      <c r="K367" s="359">
        <f t="shared" ref="K367:K406" ca="1" si="87">SUM(H367:J367)</f>
        <v>36000</v>
      </c>
      <c r="L367" s="339"/>
      <c r="M367" s="339"/>
      <c r="N367" s="366"/>
      <c r="O367" s="341"/>
      <c r="P367" s="394"/>
      <c r="Q367" s="341"/>
    </row>
    <row r="368" spans="1:17" s="362" customFormat="1">
      <c r="A368" s="333"/>
      <c r="B368" s="506">
        <v>4</v>
      </c>
      <c r="C368" s="507" t="s">
        <v>768</v>
      </c>
      <c r="D368" s="355" t="str">
        <f ca="1">IF(ISERROR(OFFSET('HARGA SATUAN'!$D$6,MATCH(RAB!C368,'HARGA SATUAN'!$C$7:$C$1492,0),0)),"",OFFSET('HARGA SATUAN'!$D$6,MATCH(RAB!C368,'HARGA SATUAN'!$C$7:$C$1492,0),0))</f>
        <v>JASA</v>
      </c>
      <c r="E368" s="356" t="str">
        <f ca="1">IF(B368="+","Unit",IF(ISERROR(OFFSET('HARGA SATUAN'!$E$6,MATCH(RAB!C368,'HARGA SATUAN'!$C$7:$C$1492,0),0)),"",OFFSET('HARGA SATUAN'!$E$6,MATCH(RAB!C368,'HARGA SATUAN'!$C$7:$C$1492,0),0)))</f>
        <v>Unit</v>
      </c>
      <c r="F368" s="494">
        <f>F364*1</f>
        <v>8</v>
      </c>
      <c r="G368" s="357">
        <f ca="1">IF(ISERROR(OFFSET('HARGA SATUAN'!$I$6,MATCH(RAB!C368,'HARGA SATUAN'!$C$7:$C$1492,0),0)),0,OFFSET('HARGA SATUAN'!$I$6,MATCH(RAB!C368,'HARGA SATUAN'!$C$7:$C$1492,0),0))</f>
        <v>55500</v>
      </c>
      <c r="H368" s="358">
        <f t="shared" ca="1" si="84"/>
        <v>0</v>
      </c>
      <c r="I368" s="358">
        <f t="shared" ca="1" si="85"/>
        <v>0</v>
      </c>
      <c r="J368" s="358">
        <f t="shared" ca="1" si="86"/>
        <v>444000</v>
      </c>
      <c r="K368" s="359">
        <f t="shared" ca="1" si="87"/>
        <v>444000</v>
      </c>
      <c r="L368" s="339"/>
      <c r="M368" s="339"/>
      <c r="N368" s="366"/>
      <c r="O368" s="341"/>
      <c r="P368" s="394"/>
      <c r="Q368" s="341"/>
    </row>
    <row r="369" spans="1:17" s="362" customFormat="1">
      <c r="A369" s="333"/>
      <c r="B369" s="506"/>
      <c r="C369" s="507"/>
      <c r="D369" s="355" t="str">
        <f ca="1">IF(ISERROR(OFFSET('HARGA SATUAN'!$D$6,MATCH(RAB!C369,'HARGA SATUAN'!$C$7:$C$1492,0),0)),"",OFFSET('HARGA SATUAN'!$D$6,MATCH(RAB!C369,'HARGA SATUAN'!$C$7:$C$1492,0),0))</f>
        <v/>
      </c>
      <c r="E369" s="356" t="str">
        <f ca="1">IF(B369="+","Unit",IF(ISERROR(OFFSET('HARGA SATUAN'!$E$6,MATCH(RAB!C369,'HARGA SATUAN'!$C$7:$C$1492,0),0)),"",OFFSET('HARGA SATUAN'!$E$6,MATCH(RAB!C369,'HARGA SATUAN'!$C$7:$C$1492,0),0)))</f>
        <v/>
      </c>
      <c r="F369" s="515"/>
      <c r="G369" s="357">
        <f ca="1">IF(ISERROR(OFFSET('HARGA SATUAN'!$I$6,MATCH(RAB!C369,'HARGA SATUAN'!$C$7:$C$1492,0),0)),0,OFFSET('HARGA SATUAN'!$I$6,MATCH(RAB!C369,'HARGA SATUAN'!$C$7:$C$1492,0),0))</f>
        <v>0</v>
      </c>
      <c r="H369" s="358">
        <f t="shared" ca="1" si="84"/>
        <v>0</v>
      </c>
      <c r="I369" s="358">
        <f t="shared" ca="1" si="85"/>
        <v>0</v>
      </c>
      <c r="J369" s="358">
        <f t="shared" ca="1" si="86"/>
        <v>0</v>
      </c>
      <c r="K369" s="359">
        <f t="shared" ca="1" si="87"/>
        <v>0</v>
      </c>
      <c r="L369" s="339"/>
      <c r="M369" s="339"/>
      <c r="N369" s="366"/>
      <c r="O369" s="341"/>
      <c r="P369" s="394"/>
      <c r="Q369" s="341"/>
    </row>
    <row r="370" spans="1:17" s="362" customFormat="1">
      <c r="A370" s="333"/>
      <c r="B370" s="520" t="s">
        <v>1035</v>
      </c>
      <c r="C370" s="521" t="s">
        <v>1631</v>
      </c>
      <c r="D370" s="355" t="str">
        <f ca="1">IF(ISERROR(OFFSET('HARGA SATUAN'!$D$6,MATCH(RAB!C370,'HARGA SATUAN'!$C$7:$C$1492,0),0)),"",OFFSET('HARGA SATUAN'!$D$6,MATCH(RAB!C370,'HARGA SATUAN'!$C$7:$C$1492,0),0))</f>
        <v/>
      </c>
      <c r="E370" s="356" t="str">
        <f ca="1">IF(B370="+","Unit",IF(ISERROR(OFFSET('HARGA SATUAN'!$E$6,MATCH(RAB!C370,'HARGA SATUAN'!$C$7:$C$1492,0),0)),"",OFFSET('HARGA SATUAN'!$E$6,MATCH(RAB!C370,'HARGA SATUAN'!$C$7:$C$1492,0),0)))</f>
        <v>Unit</v>
      </c>
      <c r="F370" s="494">
        <f>F356</f>
        <v>8</v>
      </c>
      <c r="G370" s="357">
        <f ca="1">IF(ISERROR(OFFSET('HARGA SATUAN'!$I$6,MATCH(RAB!C370,'HARGA SATUAN'!$C$7:$C$1492,0),0)),0,OFFSET('HARGA SATUAN'!$I$6,MATCH(RAB!C370,'HARGA SATUAN'!$C$7:$C$1492,0),0))</f>
        <v>0</v>
      </c>
      <c r="H370" s="358">
        <f t="shared" ca="1" si="84"/>
        <v>0</v>
      </c>
      <c r="I370" s="358">
        <f t="shared" ca="1" si="85"/>
        <v>0</v>
      </c>
      <c r="J370" s="358">
        <f t="shared" ca="1" si="86"/>
        <v>0</v>
      </c>
      <c r="K370" s="359">
        <f t="shared" ca="1" si="87"/>
        <v>0</v>
      </c>
      <c r="L370" s="339"/>
      <c r="M370" s="339"/>
      <c r="N370" s="366"/>
      <c r="O370" s="341"/>
      <c r="P370" s="394"/>
      <c r="Q370" s="341"/>
    </row>
    <row r="371" spans="1:17" s="362" customFormat="1">
      <c r="A371" s="333"/>
      <c r="B371" s="520">
        <v>1</v>
      </c>
      <c r="C371" s="521" t="s">
        <v>30</v>
      </c>
      <c r="D371" s="355" t="str">
        <f ca="1">IF(ISERROR(OFFSET('HARGA SATUAN'!$D$6,MATCH(RAB!C371,'HARGA SATUAN'!$C$7:$C$1492,0),0)),"",OFFSET('HARGA SATUAN'!$D$6,MATCH(RAB!C371,'HARGA SATUAN'!$C$7:$C$1492,0),0))</f>
        <v>HDW</v>
      </c>
      <c r="E371" s="356" t="str">
        <f ca="1">IF(B371="+","Unit",IF(ISERROR(OFFSET('HARGA SATUAN'!$E$6,MATCH(RAB!C371,'HARGA SATUAN'!$C$7:$C$1492,0),0)),"",OFFSET('HARGA SATUAN'!$E$6,MATCH(RAB!C371,'HARGA SATUAN'!$C$7:$C$1492,0),0)))</f>
        <v>Bh</v>
      </c>
      <c r="F371" s="494">
        <f>F370*1</f>
        <v>8</v>
      </c>
      <c r="G371" s="357">
        <f ca="1">IF(ISERROR(OFFSET('HARGA SATUAN'!$I$6,MATCH(RAB!C371,'HARGA SATUAN'!$C$7:$C$1492,0),0)),0,OFFSET('HARGA SATUAN'!$I$6,MATCH(RAB!C371,'HARGA SATUAN'!$C$7:$C$1492,0),0))</f>
        <v>47459</v>
      </c>
      <c r="H371" s="358">
        <f t="shared" ca="1" si="84"/>
        <v>0</v>
      </c>
      <c r="I371" s="358">
        <f t="shared" ca="1" si="85"/>
        <v>379672</v>
      </c>
      <c r="J371" s="358">
        <f t="shared" ca="1" si="86"/>
        <v>0</v>
      </c>
      <c r="K371" s="359">
        <f t="shared" ca="1" si="87"/>
        <v>379672</v>
      </c>
      <c r="L371" s="339"/>
      <c r="M371" s="339"/>
      <c r="N371" s="366"/>
      <c r="O371" s="341"/>
      <c r="P371" s="394"/>
      <c r="Q371" s="341"/>
    </row>
    <row r="372" spans="1:17" s="362" customFormat="1">
      <c r="A372" s="333"/>
      <c r="B372" s="520">
        <v>2</v>
      </c>
      <c r="C372" s="521" t="s">
        <v>32</v>
      </c>
      <c r="D372" s="355" t="str">
        <f ca="1">IF(ISERROR(OFFSET('HARGA SATUAN'!$D$6,MATCH(RAB!C372,'HARGA SATUAN'!$C$7:$C$1492,0),0)),"",OFFSET('HARGA SATUAN'!$D$6,MATCH(RAB!C372,'HARGA SATUAN'!$C$7:$C$1492,0),0))</f>
        <v>HDW</v>
      </c>
      <c r="E372" s="356" t="str">
        <f ca="1">IF(B372="+","Unit",IF(ISERROR(OFFSET('HARGA SATUAN'!$E$6,MATCH(RAB!C372,'HARGA SATUAN'!$C$7:$C$1492,0),0)),"",OFFSET('HARGA SATUAN'!$E$6,MATCH(RAB!C372,'HARGA SATUAN'!$C$7:$C$1492,0),0)))</f>
        <v>Mtr</v>
      </c>
      <c r="F372" s="494">
        <f>F370*0.8</f>
        <v>6.4</v>
      </c>
      <c r="G372" s="357">
        <f ca="1">IF(ISERROR(OFFSET('HARGA SATUAN'!$I$6,MATCH(RAB!C372,'HARGA SATUAN'!$C$7:$C$1492,0),0)),0,OFFSET('HARGA SATUAN'!$I$6,MATCH(RAB!C372,'HARGA SATUAN'!$C$7:$C$1492,0),0))</f>
        <v>30000</v>
      </c>
      <c r="H372" s="358">
        <f t="shared" ca="1" si="84"/>
        <v>0</v>
      </c>
      <c r="I372" s="358">
        <f t="shared" ca="1" si="85"/>
        <v>192000</v>
      </c>
      <c r="J372" s="358">
        <f t="shared" ca="1" si="86"/>
        <v>0</v>
      </c>
      <c r="K372" s="359">
        <f t="shared" ca="1" si="87"/>
        <v>192000</v>
      </c>
      <c r="L372" s="339"/>
      <c r="M372" s="339"/>
      <c r="N372" s="366"/>
      <c r="O372" s="341"/>
      <c r="P372" s="394"/>
      <c r="Q372" s="341"/>
    </row>
    <row r="373" spans="1:17" s="362" customFormat="1">
      <c r="A373" s="333"/>
      <c r="B373" s="520">
        <v>3</v>
      </c>
      <c r="C373" s="521" t="s">
        <v>33</v>
      </c>
      <c r="D373" s="355" t="str">
        <f ca="1">IF(ISERROR(OFFSET('HARGA SATUAN'!$D$6,MATCH(RAB!C373,'HARGA SATUAN'!$C$7:$C$1492,0),0)),"",OFFSET('HARGA SATUAN'!$D$6,MATCH(RAB!C373,'HARGA SATUAN'!$C$7:$C$1492,0),0))</f>
        <v>HDW</v>
      </c>
      <c r="E373" s="356" t="str">
        <f ca="1">IF(B373="+","Unit",IF(ISERROR(OFFSET('HARGA SATUAN'!$E$6,MATCH(RAB!C373,'HARGA SATUAN'!$C$7:$C$1492,0),0)),"",OFFSET('HARGA SATUAN'!$E$6,MATCH(RAB!C373,'HARGA SATUAN'!$C$7:$C$1492,0),0)))</f>
        <v>Bh</v>
      </c>
      <c r="F373" s="494">
        <f>F370*1</f>
        <v>8</v>
      </c>
      <c r="G373" s="357">
        <f ca="1">IF(ISERROR(OFFSET('HARGA SATUAN'!$I$6,MATCH(RAB!C373,'HARGA SATUAN'!$C$7:$C$1492,0),0)),0,OFFSET('HARGA SATUAN'!$I$6,MATCH(RAB!C373,'HARGA SATUAN'!$C$7:$C$1492,0),0))</f>
        <v>9500</v>
      </c>
      <c r="H373" s="358">
        <f t="shared" ca="1" si="84"/>
        <v>0</v>
      </c>
      <c r="I373" s="358">
        <f t="shared" ca="1" si="85"/>
        <v>76000</v>
      </c>
      <c r="J373" s="358">
        <f t="shared" ca="1" si="86"/>
        <v>0</v>
      </c>
      <c r="K373" s="359">
        <f t="shared" ca="1" si="87"/>
        <v>76000</v>
      </c>
      <c r="L373" s="339"/>
      <c r="M373" s="339"/>
      <c r="N373" s="366"/>
      <c r="O373" s="341"/>
      <c r="P373" s="394"/>
      <c r="Q373" s="341"/>
    </row>
    <row r="374" spans="1:17" s="362" customFormat="1">
      <c r="A374" s="333"/>
      <c r="B374" s="520">
        <v>4</v>
      </c>
      <c r="C374" s="521" t="s">
        <v>738</v>
      </c>
      <c r="D374" s="355" t="str">
        <f ca="1">IF(ISERROR(OFFSET('HARGA SATUAN'!$D$6,MATCH(RAB!C374,'HARGA SATUAN'!$C$7:$C$1492,0),0)),"",OFFSET('HARGA SATUAN'!$D$6,MATCH(RAB!C374,'HARGA SATUAN'!$C$7:$C$1492,0),0))</f>
        <v>JASA</v>
      </c>
      <c r="E374" s="356" t="str">
        <f ca="1">IF(B374="+","Unit",IF(ISERROR(OFFSET('HARGA SATUAN'!$E$6,MATCH(RAB!C374,'HARGA SATUAN'!$C$7:$C$1492,0),0)),"",OFFSET('HARGA SATUAN'!$E$6,MATCH(RAB!C374,'HARGA SATUAN'!$C$7:$C$1492,0),0)))</f>
        <v>Unit</v>
      </c>
      <c r="F374" s="494">
        <f>F370*1</f>
        <v>8</v>
      </c>
      <c r="G374" s="357">
        <f ca="1">IF(ISERROR(OFFSET('HARGA SATUAN'!$I$6,MATCH(RAB!C374,'HARGA SATUAN'!$C$7:$C$1492,0),0)),0,OFFSET('HARGA SATUAN'!$I$6,MATCH(RAB!C374,'HARGA SATUAN'!$C$7:$C$1492,0),0))</f>
        <v>21200</v>
      </c>
      <c r="H374" s="358">
        <f t="shared" ca="1" si="84"/>
        <v>0</v>
      </c>
      <c r="I374" s="358">
        <f t="shared" ca="1" si="85"/>
        <v>0</v>
      </c>
      <c r="J374" s="358">
        <f t="shared" ca="1" si="86"/>
        <v>169600</v>
      </c>
      <c r="K374" s="359">
        <f t="shared" ca="1" si="87"/>
        <v>169600</v>
      </c>
      <c r="L374" s="339"/>
      <c r="M374" s="339"/>
      <c r="N374" s="366"/>
      <c r="O374" s="341"/>
      <c r="P374" s="394"/>
      <c r="Q374" s="341"/>
    </row>
    <row r="375" spans="1:17" s="362" customFormat="1">
      <c r="A375" s="333"/>
      <c r="B375" s="520"/>
      <c r="C375" s="521"/>
      <c r="D375" s="355" t="str">
        <f ca="1">IF(ISERROR(OFFSET('HARGA SATUAN'!$D$6,MATCH(RAB!C375,'HARGA SATUAN'!$C$7:$C$1492,0),0)),"",OFFSET('HARGA SATUAN'!$D$6,MATCH(RAB!C375,'HARGA SATUAN'!$C$7:$C$1492,0),0))</f>
        <v/>
      </c>
      <c r="E375" s="356" t="str">
        <f ca="1">IF(B375="+","Unit",IF(ISERROR(OFFSET('HARGA SATUAN'!$E$6,MATCH(RAB!C375,'HARGA SATUAN'!$C$7:$C$1492,0),0)),"",OFFSET('HARGA SATUAN'!$E$6,MATCH(RAB!C375,'HARGA SATUAN'!$C$7:$C$1492,0),0)))</f>
        <v/>
      </c>
      <c r="F375" s="494"/>
      <c r="G375" s="357">
        <f ca="1">IF(ISERROR(OFFSET('HARGA SATUAN'!$I$6,MATCH(RAB!C375,'HARGA SATUAN'!$C$7:$C$1492,0),0)),0,OFFSET('HARGA SATUAN'!$I$6,MATCH(RAB!C375,'HARGA SATUAN'!$C$7:$C$1492,0),0))</f>
        <v>0</v>
      </c>
      <c r="H375" s="358">
        <f t="shared" ca="1" si="84"/>
        <v>0</v>
      </c>
      <c r="I375" s="358">
        <f t="shared" ca="1" si="85"/>
        <v>0</v>
      </c>
      <c r="J375" s="358">
        <f t="shared" ca="1" si="86"/>
        <v>0</v>
      </c>
      <c r="K375" s="359">
        <f t="shared" ca="1" si="87"/>
        <v>0</v>
      </c>
      <c r="L375" s="339"/>
      <c r="M375" s="339"/>
      <c r="N375" s="366"/>
      <c r="O375" s="341"/>
      <c r="P375" s="394"/>
      <c r="Q375" s="341"/>
    </row>
    <row r="376" spans="1:17" s="362" customFormat="1">
      <c r="A376" s="333"/>
      <c r="B376" s="538"/>
      <c r="C376" s="505" t="s">
        <v>1663</v>
      </c>
      <c r="D376" s="355" t="str">
        <f ca="1">IF(ISERROR(OFFSET('HARGA SATUAN'!$D$6,MATCH(RAB!C376,'HARGA SATUAN'!$C$7:$C$1492,0),0)),"",OFFSET('HARGA SATUAN'!$D$6,MATCH(RAB!C376,'HARGA SATUAN'!$C$7:$C$1492,0),0))</f>
        <v/>
      </c>
      <c r="E376" s="356" t="str">
        <f ca="1">IF(B376="+","Unit",IF(ISERROR(OFFSET('HARGA SATUAN'!$E$6,MATCH(RAB!C376,'HARGA SATUAN'!$C$7:$C$1492,0),0)),"",OFFSET('HARGA SATUAN'!$E$6,MATCH(RAB!C376,'HARGA SATUAN'!$C$7:$C$1492,0),0)))</f>
        <v/>
      </c>
      <c r="F376" s="494"/>
      <c r="G376" s="357">
        <f ca="1">IF(ISERROR(OFFSET('HARGA SATUAN'!$I$6,MATCH(RAB!C376,'HARGA SATUAN'!$C$7:$C$1492,0),0)),0,OFFSET('HARGA SATUAN'!$I$6,MATCH(RAB!C376,'HARGA SATUAN'!$C$7:$C$1492,0),0))</f>
        <v>0</v>
      </c>
      <c r="H376" s="358">
        <f t="shared" ca="1" si="84"/>
        <v>0</v>
      </c>
      <c r="I376" s="358">
        <f t="shared" ca="1" si="85"/>
        <v>0</v>
      </c>
      <c r="J376" s="358">
        <f t="shared" ca="1" si="86"/>
        <v>0</v>
      </c>
      <c r="K376" s="359">
        <f t="shared" ca="1" si="87"/>
        <v>0</v>
      </c>
      <c r="L376" s="339"/>
      <c r="M376" s="339"/>
      <c r="N376" s="366"/>
      <c r="O376" s="341"/>
      <c r="P376" s="394"/>
      <c r="Q376" s="341"/>
    </row>
    <row r="377" spans="1:17" s="362" customFormat="1">
      <c r="A377" s="333"/>
      <c r="B377" s="520"/>
      <c r="C377" s="521"/>
      <c r="D377" s="355" t="str">
        <f ca="1">IF(ISERROR(OFFSET('HARGA SATUAN'!$D$6,MATCH(RAB!C377,'HARGA SATUAN'!$C$7:$C$1492,0),0)),"",OFFSET('HARGA SATUAN'!$D$6,MATCH(RAB!C377,'HARGA SATUAN'!$C$7:$C$1492,0),0))</f>
        <v/>
      </c>
      <c r="E377" s="356" t="str">
        <f ca="1">IF(B377="+","Unit",IF(ISERROR(OFFSET('HARGA SATUAN'!$E$6,MATCH(RAB!C377,'HARGA SATUAN'!$C$7:$C$1492,0),0)),"",OFFSET('HARGA SATUAN'!$E$6,MATCH(RAB!C377,'HARGA SATUAN'!$C$7:$C$1492,0),0)))</f>
        <v/>
      </c>
      <c r="F377" s="494"/>
      <c r="G377" s="357">
        <f ca="1">IF(ISERROR(OFFSET('HARGA SATUAN'!$I$6,MATCH(RAB!C377,'HARGA SATUAN'!$C$7:$C$1492,0),0)),0,OFFSET('HARGA SATUAN'!$I$6,MATCH(RAB!C377,'HARGA SATUAN'!$C$7:$C$1492,0),0))</f>
        <v>0</v>
      </c>
      <c r="H377" s="358">
        <f t="shared" ca="1" si="84"/>
        <v>0</v>
      </c>
      <c r="I377" s="358">
        <f t="shared" ca="1" si="85"/>
        <v>0</v>
      </c>
      <c r="J377" s="358">
        <f t="shared" ca="1" si="86"/>
        <v>0</v>
      </c>
      <c r="K377" s="359">
        <f t="shared" ca="1" si="87"/>
        <v>0</v>
      </c>
      <c r="L377" s="339"/>
      <c r="M377" s="339"/>
      <c r="N377" s="366"/>
      <c r="O377" s="341"/>
      <c r="P377" s="394"/>
      <c r="Q377" s="341"/>
    </row>
    <row r="378" spans="1:17" s="362" customFormat="1">
      <c r="A378" s="333"/>
      <c r="B378" s="509" t="s">
        <v>1035</v>
      </c>
      <c r="C378" s="510" t="s">
        <v>1629</v>
      </c>
      <c r="D378" s="355" t="str">
        <f ca="1">IF(ISERROR(OFFSET('HARGA SATUAN'!$D$6,MATCH(RAB!C378,'HARGA SATUAN'!$C$7:$C$1492,0),0)),"",OFFSET('HARGA SATUAN'!$D$6,MATCH(RAB!C378,'HARGA SATUAN'!$C$7:$C$1492,0),0))</f>
        <v/>
      </c>
      <c r="E378" s="356" t="str">
        <f ca="1">IF(B378="+","Unit",IF(ISERROR(OFFSET('HARGA SATUAN'!$E$6,MATCH(RAB!C378,'HARGA SATUAN'!$C$7:$C$1492,0),0)),"",OFFSET('HARGA SATUAN'!$E$6,MATCH(RAB!C378,'HARGA SATUAN'!$C$7:$C$1492,0),0)))</f>
        <v>Unit</v>
      </c>
      <c r="F378" s="494">
        <f>F207</f>
        <v>17</v>
      </c>
      <c r="G378" s="357">
        <f ca="1">IF(ISERROR(OFFSET('HARGA SATUAN'!$I$6,MATCH(RAB!C378,'HARGA SATUAN'!$C$7:$C$1492,0),0)),0,OFFSET('HARGA SATUAN'!$I$6,MATCH(RAB!C378,'HARGA SATUAN'!$C$7:$C$1492,0),0))</f>
        <v>0</v>
      </c>
      <c r="H378" s="358">
        <f t="shared" ca="1" si="84"/>
        <v>0</v>
      </c>
      <c r="I378" s="358">
        <f t="shared" ca="1" si="85"/>
        <v>0</v>
      </c>
      <c r="J378" s="358">
        <f t="shared" ca="1" si="86"/>
        <v>0</v>
      </c>
      <c r="K378" s="359">
        <f t="shared" ca="1" si="87"/>
        <v>0</v>
      </c>
      <c r="L378" s="339"/>
      <c r="M378" s="339"/>
      <c r="N378" s="366"/>
      <c r="O378" s="341"/>
      <c r="P378" s="394"/>
      <c r="Q378" s="341"/>
    </row>
    <row r="379" spans="1:17" s="362" customFormat="1">
      <c r="A379" s="333"/>
      <c r="B379" s="509">
        <v>1</v>
      </c>
      <c r="C379" s="510" t="s">
        <v>30</v>
      </c>
      <c r="D379" s="355" t="str">
        <f ca="1">IF(ISERROR(OFFSET('HARGA SATUAN'!$D$6,MATCH(RAB!C379,'HARGA SATUAN'!$C$7:$C$1492,0),0)),"",OFFSET('HARGA SATUAN'!$D$6,MATCH(RAB!C379,'HARGA SATUAN'!$C$7:$C$1492,0),0))</f>
        <v>HDW</v>
      </c>
      <c r="E379" s="356" t="str">
        <f ca="1">IF(B379="+","Unit",IF(ISERROR(OFFSET('HARGA SATUAN'!$E$6,MATCH(RAB!C379,'HARGA SATUAN'!$C$7:$C$1492,0),0)),"",OFFSET('HARGA SATUAN'!$E$6,MATCH(RAB!C379,'HARGA SATUAN'!$C$7:$C$1492,0),0)))</f>
        <v>Bh</v>
      </c>
      <c r="F379" s="494">
        <f>F378*1</f>
        <v>17</v>
      </c>
      <c r="G379" s="357">
        <f ca="1">IF(ISERROR(OFFSET('HARGA SATUAN'!$I$6,MATCH(RAB!C379,'HARGA SATUAN'!$C$7:$C$1492,0),0)),0,OFFSET('HARGA SATUAN'!$I$6,MATCH(RAB!C379,'HARGA SATUAN'!$C$7:$C$1492,0),0))</f>
        <v>47459</v>
      </c>
      <c r="H379" s="358">
        <f t="shared" ca="1" si="84"/>
        <v>0</v>
      </c>
      <c r="I379" s="358">
        <f t="shared" ca="1" si="85"/>
        <v>806803</v>
      </c>
      <c r="J379" s="358">
        <f t="shared" ca="1" si="86"/>
        <v>0</v>
      </c>
      <c r="K379" s="359">
        <f t="shared" ca="1" si="87"/>
        <v>806803</v>
      </c>
      <c r="L379" s="339"/>
      <c r="M379" s="339"/>
      <c r="N379" s="366"/>
      <c r="O379" s="341"/>
      <c r="P379" s="394"/>
      <c r="Q379" s="341"/>
    </row>
    <row r="380" spans="1:17" s="362" customFormat="1">
      <c r="A380" s="333"/>
      <c r="B380" s="509">
        <v>2</v>
      </c>
      <c r="C380" s="510" t="s">
        <v>32</v>
      </c>
      <c r="D380" s="355" t="str">
        <f ca="1">IF(ISERROR(OFFSET('HARGA SATUAN'!$D$6,MATCH(RAB!C380,'HARGA SATUAN'!$C$7:$C$1492,0),0)),"",OFFSET('HARGA SATUAN'!$D$6,MATCH(RAB!C380,'HARGA SATUAN'!$C$7:$C$1492,0),0))</f>
        <v>HDW</v>
      </c>
      <c r="E380" s="356" t="str">
        <f ca="1">IF(B380="+","Unit",IF(ISERROR(OFFSET('HARGA SATUAN'!$E$6,MATCH(RAB!C380,'HARGA SATUAN'!$C$7:$C$1492,0),0)),"",OFFSET('HARGA SATUAN'!$E$6,MATCH(RAB!C380,'HARGA SATUAN'!$C$7:$C$1492,0),0)))</f>
        <v>Mtr</v>
      </c>
      <c r="F380" s="494">
        <f>F378*0.8</f>
        <v>13.600000000000001</v>
      </c>
      <c r="G380" s="357">
        <f ca="1">IF(ISERROR(OFFSET('HARGA SATUAN'!$I$6,MATCH(RAB!C380,'HARGA SATUAN'!$C$7:$C$1492,0),0)),0,OFFSET('HARGA SATUAN'!$I$6,MATCH(RAB!C380,'HARGA SATUAN'!$C$7:$C$1492,0),0))</f>
        <v>30000</v>
      </c>
      <c r="H380" s="358">
        <f t="shared" ca="1" si="84"/>
        <v>0</v>
      </c>
      <c r="I380" s="358">
        <f t="shared" ca="1" si="85"/>
        <v>408000.00000000006</v>
      </c>
      <c r="J380" s="358">
        <f t="shared" ca="1" si="86"/>
        <v>0</v>
      </c>
      <c r="K380" s="359">
        <f t="shared" ca="1" si="87"/>
        <v>408000.00000000006</v>
      </c>
      <c r="L380" s="339"/>
      <c r="M380" s="339"/>
      <c r="N380" s="366"/>
      <c r="O380" s="341"/>
      <c r="P380" s="394"/>
      <c r="Q380" s="341"/>
    </row>
    <row r="381" spans="1:17" s="362" customFormat="1">
      <c r="A381" s="333"/>
      <c r="B381" s="509">
        <v>3</v>
      </c>
      <c r="C381" s="510" t="s">
        <v>33</v>
      </c>
      <c r="D381" s="355" t="str">
        <f ca="1">IF(ISERROR(OFFSET('HARGA SATUAN'!$D$6,MATCH(RAB!C381,'HARGA SATUAN'!$C$7:$C$1492,0),0)),"",OFFSET('HARGA SATUAN'!$D$6,MATCH(RAB!C381,'HARGA SATUAN'!$C$7:$C$1492,0),0))</f>
        <v>HDW</v>
      </c>
      <c r="E381" s="356" t="str">
        <f ca="1">IF(B381="+","Unit",IF(ISERROR(OFFSET('HARGA SATUAN'!$E$6,MATCH(RAB!C381,'HARGA SATUAN'!$C$7:$C$1492,0),0)),"",OFFSET('HARGA SATUAN'!$E$6,MATCH(RAB!C381,'HARGA SATUAN'!$C$7:$C$1492,0),0)))</f>
        <v>Bh</v>
      </c>
      <c r="F381" s="494">
        <f>F378*1</f>
        <v>17</v>
      </c>
      <c r="G381" s="357">
        <f ca="1">IF(ISERROR(OFFSET('HARGA SATUAN'!$I$6,MATCH(RAB!C381,'HARGA SATUAN'!$C$7:$C$1492,0),0)),0,OFFSET('HARGA SATUAN'!$I$6,MATCH(RAB!C381,'HARGA SATUAN'!$C$7:$C$1492,0),0))</f>
        <v>9500</v>
      </c>
      <c r="H381" s="358">
        <f t="shared" ca="1" si="84"/>
        <v>0</v>
      </c>
      <c r="I381" s="358">
        <f t="shared" ca="1" si="85"/>
        <v>161500</v>
      </c>
      <c r="J381" s="358">
        <f t="shared" ca="1" si="86"/>
        <v>0</v>
      </c>
      <c r="K381" s="359">
        <f t="shared" ca="1" si="87"/>
        <v>161500</v>
      </c>
      <c r="L381" s="339"/>
      <c r="M381" s="339"/>
      <c r="N381" s="366"/>
      <c r="O381" s="341"/>
      <c r="P381" s="394"/>
      <c r="Q381" s="341"/>
    </row>
    <row r="382" spans="1:17" s="362" customFormat="1">
      <c r="A382" s="333"/>
      <c r="B382" s="509">
        <v>4</v>
      </c>
      <c r="C382" s="510" t="s">
        <v>737</v>
      </c>
      <c r="D382" s="355" t="str">
        <f ca="1">IF(ISERROR(OFFSET('HARGA SATUAN'!$D$6,MATCH(RAB!C382,'HARGA SATUAN'!$C$7:$C$1492,0),0)),"",OFFSET('HARGA SATUAN'!$D$6,MATCH(RAB!C382,'HARGA SATUAN'!$C$7:$C$1492,0),0))</f>
        <v>JASA</v>
      </c>
      <c r="E382" s="356" t="str">
        <f ca="1">IF(B382="+","Unit",IF(ISERROR(OFFSET('HARGA SATUAN'!$E$6,MATCH(RAB!C382,'HARGA SATUAN'!$C$7:$C$1492,0),0)),"",OFFSET('HARGA SATUAN'!$E$6,MATCH(RAB!C382,'HARGA SATUAN'!$C$7:$C$1492,0),0)))</f>
        <v>Unit</v>
      </c>
      <c r="F382" s="494">
        <f>F378*1</f>
        <v>17</v>
      </c>
      <c r="G382" s="357">
        <f ca="1">IF(ISERROR(OFFSET('HARGA SATUAN'!$I$6,MATCH(RAB!C382,'HARGA SATUAN'!$C$7:$C$1492,0),0)),0,OFFSET('HARGA SATUAN'!$I$6,MATCH(RAB!C382,'HARGA SATUAN'!$C$7:$C$1492,0),0))</f>
        <v>16200</v>
      </c>
      <c r="H382" s="358">
        <f t="shared" ca="1" si="84"/>
        <v>0</v>
      </c>
      <c r="I382" s="358">
        <f t="shared" ca="1" si="85"/>
        <v>0</v>
      </c>
      <c r="J382" s="358">
        <f t="shared" ca="1" si="86"/>
        <v>275400</v>
      </c>
      <c r="K382" s="359">
        <f t="shared" ca="1" si="87"/>
        <v>275400</v>
      </c>
      <c r="L382" s="339"/>
      <c r="M382" s="339"/>
      <c r="N382" s="366"/>
      <c r="O382" s="341"/>
      <c r="P382" s="394"/>
      <c r="Q382" s="341"/>
    </row>
    <row r="383" spans="1:17" s="362" customFormat="1">
      <c r="A383" s="333"/>
      <c r="B383" s="520"/>
      <c r="C383" s="521"/>
      <c r="D383" s="355" t="str">
        <f ca="1">IF(ISERROR(OFFSET('HARGA SATUAN'!$D$6,MATCH(RAB!C383,'HARGA SATUAN'!$C$7:$C$1492,0),0)),"",OFFSET('HARGA SATUAN'!$D$6,MATCH(RAB!C383,'HARGA SATUAN'!$C$7:$C$1492,0),0))</f>
        <v/>
      </c>
      <c r="E383" s="356" t="str">
        <f ca="1">IF(B383="+","Unit",IF(ISERROR(OFFSET('HARGA SATUAN'!$E$6,MATCH(RAB!C383,'HARGA SATUAN'!$C$7:$C$1492,0),0)),"",OFFSET('HARGA SATUAN'!$E$6,MATCH(RAB!C383,'HARGA SATUAN'!$C$7:$C$1492,0),0)))</f>
        <v/>
      </c>
      <c r="F383" s="494"/>
      <c r="G383" s="357">
        <f ca="1">IF(ISERROR(OFFSET('HARGA SATUAN'!$I$6,MATCH(RAB!C383,'HARGA SATUAN'!$C$7:$C$1492,0),0)),0,OFFSET('HARGA SATUAN'!$I$6,MATCH(RAB!C383,'HARGA SATUAN'!$C$7:$C$1492,0),0))</f>
        <v>0</v>
      </c>
      <c r="H383" s="358">
        <f t="shared" ca="1" si="84"/>
        <v>0</v>
      </c>
      <c r="I383" s="358">
        <f t="shared" ca="1" si="85"/>
        <v>0</v>
      </c>
      <c r="J383" s="358">
        <f t="shared" ca="1" si="86"/>
        <v>0</v>
      </c>
      <c r="K383" s="359">
        <f t="shared" ca="1" si="87"/>
        <v>0</v>
      </c>
      <c r="L383" s="339"/>
      <c r="M383" s="339"/>
      <c r="N383" s="366"/>
      <c r="O383" s="341"/>
      <c r="P383" s="394"/>
      <c r="Q383" s="341"/>
    </row>
    <row r="384" spans="1:17" s="362" customFormat="1">
      <c r="A384" s="333"/>
      <c r="B384" s="538"/>
      <c r="C384" s="505" t="s">
        <v>1662</v>
      </c>
      <c r="D384" s="355" t="str">
        <f ca="1">IF(ISERROR(OFFSET('HARGA SATUAN'!$D$6,MATCH(RAB!C384,'HARGA SATUAN'!$C$7:$C$1492,0),0)),"",OFFSET('HARGA SATUAN'!$D$6,MATCH(RAB!C384,'HARGA SATUAN'!$C$7:$C$1492,0),0))</f>
        <v/>
      </c>
      <c r="E384" s="356" t="str">
        <f ca="1">IF(B384="+","Unit",IF(ISERROR(OFFSET('HARGA SATUAN'!$E$6,MATCH(RAB!C384,'HARGA SATUAN'!$C$7:$C$1492,0),0)),"",OFFSET('HARGA SATUAN'!$E$6,MATCH(RAB!C384,'HARGA SATUAN'!$C$7:$C$1492,0),0)))</f>
        <v/>
      </c>
      <c r="F384" s="494"/>
      <c r="G384" s="357">
        <f ca="1">IF(ISERROR(OFFSET('HARGA SATUAN'!$I$6,MATCH(RAB!C384,'HARGA SATUAN'!$C$7:$C$1492,0),0)),0,OFFSET('HARGA SATUAN'!$I$6,MATCH(RAB!C384,'HARGA SATUAN'!$C$7:$C$1492,0),0))</f>
        <v>0</v>
      </c>
      <c r="H384" s="358">
        <f t="shared" ca="1" si="84"/>
        <v>0</v>
      </c>
      <c r="I384" s="358">
        <f t="shared" ca="1" si="85"/>
        <v>0</v>
      </c>
      <c r="J384" s="358">
        <f t="shared" ca="1" si="86"/>
        <v>0</v>
      </c>
      <c r="K384" s="359">
        <f t="shared" ca="1" si="87"/>
        <v>0</v>
      </c>
      <c r="L384" s="339"/>
      <c r="M384" s="339"/>
      <c r="N384" s="366"/>
      <c r="O384" s="341"/>
      <c r="P384" s="394"/>
      <c r="Q384" s="341"/>
    </row>
    <row r="385" spans="1:17" s="362" customFormat="1">
      <c r="A385" s="333"/>
      <c r="B385" s="520"/>
      <c r="C385" s="521"/>
      <c r="D385" s="355" t="str">
        <f ca="1">IF(ISERROR(OFFSET('HARGA SATUAN'!$D$6,MATCH(RAB!C385,'HARGA SATUAN'!$C$7:$C$1492,0),0)),"",OFFSET('HARGA SATUAN'!$D$6,MATCH(RAB!C385,'HARGA SATUAN'!$C$7:$C$1492,0),0))</f>
        <v/>
      </c>
      <c r="E385" s="356" t="str">
        <f ca="1">IF(B385="+","Unit",IF(ISERROR(OFFSET('HARGA SATUAN'!$E$6,MATCH(RAB!C385,'HARGA SATUAN'!$C$7:$C$1492,0),0)),"",OFFSET('HARGA SATUAN'!$E$6,MATCH(RAB!C385,'HARGA SATUAN'!$C$7:$C$1492,0),0)))</f>
        <v/>
      </c>
      <c r="F385" s="494"/>
      <c r="G385" s="357">
        <f ca="1">IF(ISERROR(OFFSET('HARGA SATUAN'!$I$6,MATCH(RAB!C385,'HARGA SATUAN'!$C$7:$C$1492,0),0)),0,OFFSET('HARGA SATUAN'!$I$6,MATCH(RAB!C385,'HARGA SATUAN'!$C$7:$C$1492,0),0))</f>
        <v>0</v>
      </c>
      <c r="H385" s="358">
        <f t="shared" ca="1" si="84"/>
        <v>0</v>
      </c>
      <c r="I385" s="358">
        <f t="shared" ca="1" si="85"/>
        <v>0</v>
      </c>
      <c r="J385" s="358">
        <f t="shared" ca="1" si="86"/>
        <v>0</v>
      </c>
      <c r="K385" s="359">
        <f t="shared" ca="1" si="87"/>
        <v>0</v>
      </c>
      <c r="L385" s="339"/>
      <c r="M385" s="339"/>
      <c r="N385" s="366"/>
      <c r="O385" s="341"/>
      <c r="P385" s="394"/>
      <c r="Q385" s="341"/>
    </row>
    <row r="386" spans="1:17" s="362" customFormat="1">
      <c r="A386" s="333"/>
      <c r="B386" s="491"/>
      <c r="C386" s="505" t="s">
        <v>1623</v>
      </c>
      <c r="D386" s="355" t="str">
        <f ca="1">IF(ISERROR(OFFSET('HARGA SATUAN'!$D$6,MATCH(RAB!C386,'HARGA SATUAN'!$C$7:$C$1492,0),0)),"",OFFSET('HARGA SATUAN'!$D$6,MATCH(RAB!C386,'HARGA SATUAN'!$C$7:$C$1492,0),0))</f>
        <v/>
      </c>
      <c r="E386" s="356" t="str">
        <f ca="1">IF(B386="+","Unit",IF(ISERROR(OFFSET('HARGA SATUAN'!$E$6,MATCH(RAB!C386,'HARGA SATUAN'!$C$7:$C$1492,0),0)),"",OFFSET('HARGA SATUAN'!$E$6,MATCH(RAB!C386,'HARGA SATUAN'!$C$7:$C$1492,0),0)))</f>
        <v/>
      </c>
      <c r="F386" s="494"/>
      <c r="G386" s="357">
        <f ca="1">IF(ISERROR(OFFSET('HARGA SATUAN'!$I$6,MATCH(RAB!C386,'HARGA SATUAN'!$C$7:$C$1492,0),0)),0,OFFSET('HARGA SATUAN'!$I$6,MATCH(RAB!C386,'HARGA SATUAN'!$C$7:$C$1492,0),0))</f>
        <v>0</v>
      </c>
      <c r="H386" s="358">
        <f t="shared" ca="1" si="84"/>
        <v>0</v>
      </c>
      <c r="I386" s="358">
        <f t="shared" ca="1" si="85"/>
        <v>0</v>
      </c>
      <c r="J386" s="358">
        <f t="shared" ca="1" si="86"/>
        <v>0</v>
      </c>
      <c r="K386" s="359">
        <f t="shared" ca="1" si="87"/>
        <v>0</v>
      </c>
      <c r="L386" s="339"/>
      <c r="M386" s="339"/>
      <c r="N386" s="366"/>
      <c r="O386" s="341"/>
      <c r="P386" s="394"/>
      <c r="Q386" s="341"/>
    </row>
    <row r="387" spans="1:17" s="362" customFormat="1">
      <c r="A387" s="333"/>
      <c r="B387" s="491">
        <v>1</v>
      </c>
      <c r="C387" s="109" t="s">
        <v>65</v>
      </c>
      <c r="D387" s="355" t="str">
        <f ca="1">IF(ISERROR(OFFSET('HARGA SATUAN'!$D$6,MATCH(RAB!C387,'HARGA SATUAN'!$C$7:$C$1492,0),0)),"",OFFSET('HARGA SATUAN'!$D$6,MATCH(RAB!C387,'HARGA SATUAN'!$C$7:$C$1492,0),0))</f>
        <v>MDU-KD</v>
      </c>
      <c r="E387" s="356" t="str">
        <f ca="1">IF(B387="+","Unit",IF(ISERROR(OFFSET('HARGA SATUAN'!$E$6,MATCH(RAB!C387,'HARGA SATUAN'!$C$7:$C$1492,0),0)),"",OFFSET('HARGA SATUAN'!$E$6,MATCH(RAB!C387,'HARGA SATUAN'!$C$7:$C$1492,0),0)))</f>
        <v>Mtr</v>
      </c>
      <c r="F387" s="494">
        <v>2950</v>
      </c>
      <c r="G387" s="357">
        <f ca="1">IF(ISERROR(OFFSET('HARGA SATUAN'!$I$6,MATCH(RAB!C387,'HARGA SATUAN'!$C$7:$C$1492,0),0)),0,OFFSET('HARGA SATUAN'!$I$6,MATCH(RAB!C387,'HARGA SATUAN'!$C$7:$C$1492,0),0))</f>
        <v>14200</v>
      </c>
      <c r="H387" s="358">
        <f t="shared" ca="1" si="84"/>
        <v>41890000</v>
      </c>
      <c r="I387" s="358">
        <f t="shared" ca="1" si="85"/>
        <v>0</v>
      </c>
      <c r="J387" s="358">
        <f t="shared" ca="1" si="86"/>
        <v>0</v>
      </c>
      <c r="K387" s="359">
        <f t="shared" ca="1" si="87"/>
        <v>41890000</v>
      </c>
      <c r="L387" s="339"/>
      <c r="M387" s="339"/>
      <c r="N387" s="366"/>
      <c r="O387" s="341"/>
      <c r="P387" s="394"/>
      <c r="Q387" s="341"/>
    </row>
    <row r="388" spans="1:17" s="362" customFormat="1">
      <c r="A388" s="333"/>
      <c r="B388" s="491">
        <v>2</v>
      </c>
      <c r="C388" s="109" t="s">
        <v>301</v>
      </c>
      <c r="D388" s="355" t="str">
        <f ca="1">IF(ISERROR(OFFSET('HARGA SATUAN'!$D$6,MATCH(RAB!C388,'HARGA SATUAN'!$C$7:$C$1492,0),0)),"",OFFSET('HARGA SATUAN'!$D$6,MATCH(RAB!C388,'HARGA SATUAN'!$C$7:$C$1492,0),0))</f>
        <v>JASA</v>
      </c>
      <c r="E388" s="356" t="str">
        <f ca="1">IF(B388="+","Unit",IF(ISERROR(OFFSET('HARGA SATUAN'!$E$6,MATCH(RAB!C388,'HARGA SATUAN'!$C$7:$C$1492,0),0)),"",OFFSET('HARGA SATUAN'!$E$6,MATCH(RAB!C388,'HARGA SATUAN'!$C$7:$C$1492,0),0)))</f>
        <v>Per 50 m</v>
      </c>
      <c r="F388" s="504">
        <f>F387/200</f>
        <v>14.75</v>
      </c>
      <c r="G388" s="357">
        <f ca="1">IF(ISERROR(OFFSET('HARGA SATUAN'!$I$6,MATCH(RAB!C388,'HARGA SATUAN'!$C$7:$C$1492,0),0)),0,OFFSET('HARGA SATUAN'!$I$6,MATCH(RAB!C388,'HARGA SATUAN'!$C$7:$C$1492,0),0))</f>
        <v>300100</v>
      </c>
      <c r="H388" s="358">
        <f t="shared" ca="1" si="84"/>
        <v>0</v>
      </c>
      <c r="I388" s="358">
        <f t="shared" ca="1" si="85"/>
        <v>0</v>
      </c>
      <c r="J388" s="358">
        <f t="shared" ca="1" si="86"/>
        <v>4426475</v>
      </c>
      <c r="K388" s="359">
        <f t="shared" ca="1" si="87"/>
        <v>4426475</v>
      </c>
      <c r="L388" s="339"/>
      <c r="M388" s="339"/>
      <c r="N388" s="366"/>
      <c r="O388" s="341"/>
      <c r="P388" s="394"/>
      <c r="Q388" s="341"/>
    </row>
    <row r="389" spans="1:17" s="362" customFormat="1">
      <c r="A389" s="333"/>
      <c r="B389" s="491"/>
      <c r="C389" s="492"/>
      <c r="D389" s="355" t="str">
        <f ca="1">IF(ISERROR(OFFSET('HARGA SATUAN'!$D$6,MATCH(RAB!C389,'HARGA SATUAN'!$C$7:$C$1492,0),0)),"",OFFSET('HARGA SATUAN'!$D$6,MATCH(RAB!C389,'HARGA SATUAN'!$C$7:$C$1492,0),0))</f>
        <v/>
      </c>
      <c r="E389" s="356" t="str">
        <f ca="1">IF(B389="+","Unit",IF(ISERROR(OFFSET('HARGA SATUAN'!$E$6,MATCH(RAB!C389,'HARGA SATUAN'!$C$7:$C$1492,0),0)),"",OFFSET('HARGA SATUAN'!$E$6,MATCH(RAB!C389,'HARGA SATUAN'!$C$7:$C$1492,0),0)))</f>
        <v/>
      </c>
      <c r="F389" s="494"/>
      <c r="G389" s="357">
        <f ca="1">IF(ISERROR(OFFSET('HARGA SATUAN'!$I$6,MATCH(RAB!C389,'HARGA SATUAN'!$C$7:$C$1492,0),0)),0,OFFSET('HARGA SATUAN'!$I$6,MATCH(RAB!C389,'HARGA SATUAN'!$C$7:$C$1492,0),0))</f>
        <v>0</v>
      </c>
      <c r="H389" s="358">
        <f t="shared" ca="1" si="84"/>
        <v>0</v>
      </c>
      <c r="I389" s="358">
        <f t="shared" ca="1" si="85"/>
        <v>0</v>
      </c>
      <c r="J389" s="358">
        <f t="shared" ca="1" si="86"/>
        <v>0</v>
      </c>
      <c r="K389" s="359">
        <f t="shared" ca="1" si="87"/>
        <v>0</v>
      </c>
      <c r="L389" s="339"/>
      <c r="M389" s="339"/>
      <c r="N389" s="366"/>
      <c r="O389" s="341"/>
      <c r="P389" s="394"/>
      <c r="Q389" s="341"/>
    </row>
    <row r="390" spans="1:17" s="362" customFormat="1">
      <c r="A390" s="333"/>
      <c r="B390" s="491"/>
      <c r="C390" s="533" t="s">
        <v>1666</v>
      </c>
      <c r="D390" s="355" t="str">
        <f ca="1">IF(ISERROR(OFFSET('HARGA SATUAN'!$D$6,MATCH(RAB!C390,'HARGA SATUAN'!$C$7:$C$1492,0),0)),"",OFFSET('HARGA SATUAN'!$D$6,MATCH(RAB!C390,'HARGA SATUAN'!$C$7:$C$1492,0),0))</f>
        <v/>
      </c>
      <c r="E390" s="356" t="str">
        <f ca="1">IF(B390="+","Unit",IF(ISERROR(OFFSET('HARGA SATUAN'!$E$6,MATCH(RAB!C390,'HARGA SATUAN'!$C$7:$C$1492,0),0)),"",OFFSET('HARGA SATUAN'!$E$6,MATCH(RAB!C390,'HARGA SATUAN'!$C$7:$C$1492,0),0)))</f>
        <v/>
      </c>
      <c r="F390" s="494"/>
      <c r="G390" s="357">
        <f ca="1">IF(ISERROR(OFFSET('HARGA SATUAN'!$I$6,MATCH(RAB!C390,'HARGA SATUAN'!$C$7:$C$1492,0),0)),0,OFFSET('HARGA SATUAN'!$I$6,MATCH(RAB!C390,'HARGA SATUAN'!$C$7:$C$1492,0),0))</f>
        <v>0</v>
      </c>
      <c r="H390" s="358">
        <f t="shared" ca="1" si="84"/>
        <v>0</v>
      </c>
      <c r="I390" s="358">
        <f t="shared" ca="1" si="85"/>
        <v>0</v>
      </c>
      <c r="J390" s="358">
        <f t="shared" ca="1" si="86"/>
        <v>0</v>
      </c>
      <c r="K390" s="359">
        <f t="shared" ca="1" si="87"/>
        <v>0</v>
      </c>
      <c r="L390" s="339"/>
      <c r="M390" s="339"/>
      <c r="N390" s="366"/>
      <c r="O390" s="341"/>
      <c r="P390" s="394"/>
      <c r="Q390" s="341"/>
    </row>
    <row r="391" spans="1:17" s="362" customFormat="1">
      <c r="A391" s="333"/>
      <c r="B391" s="491"/>
      <c r="C391" s="492"/>
      <c r="D391" s="355" t="str">
        <f ca="1">IF(ISERROR(OFFSET('HARGA SATUAN'!$D$6,MATCH(RAB!C391,'HARGA SATUAN'!$C$7:$C$1492,0),0)),"",OFFSET('HARGA SATUAN'!$D$6,MATCH(RAB!C391,'HARGA SATUAN'!$C$7:$C$1492,0),0))</f>
        <v/>
      </c>
      <c r="E391" s="356" t="str">
        <f ca="1">IF(B391="+","Unit",IF(ISERROR(OFFSET('HARGA SATUAN'!$E$6,MATCH(RAB!C391,'HARGA SATUAN'!$C$7:$C$1492,0),0)),"",OFFSET('HARGA SATUAN'!$E$6,MATCH(RAB!C391,'HARGA SATUAN'!$C$7:$C$1492,0),0)))</f>
        <v/>
      </c>
      <c r="F391" s="494"/>
      <c r="G391" s="357">
        <f ca="1">IF(ISERROR(OFFSET('HARGA SATUAN'!$I$6,MATCH(RAB!C391,'HARGA SATUAN'!$C$7:$C$1492,0),0)),0,OFFSET('HARGA SATUAN'!$I$6,MATCH(RAB!C391,'HARGA SATUAN'!$C$7:$C$1492,0),0))</f>
        <v>0</v>
      </c>
      <c r="H391" s="358">
        <f t="shared" ca="1" si="84"/>
        <v>0</v>
      </c>
      <c r="I391" s="358">
        <f t="shared" ca="1" si="85"/>
        <v>0</v>
      </c>
      <c r="J391" s="358">
        <f t="shared" ca="1" si="86"/>
        <v>0</v>
      </c>
      <c r="K391" s="359">
        <f t="shared" ca="1" si="87"/>
        <v>0</v>
      </c>
      <c r="L391" s="339"/>
      <c r="M391" s="339"/>
      <c r="N391" s="366"/>
      <c r="O391" s="341"/>
      <c r="P391" s="394"/>
      <c r="Q391" s="341"/>
    </row>
    <row r="392" spans="1:17" s="362" customFormat="1">
      <c r="A392" s="333"/>
      <c r="B392" s="540"/>
      <c r="C392" s="505" t="s">
        <v>1667</v>
      </c>
      <c r="D392" s="355" t="str">
        <f ca="1">IF(ISERROR(OFFSET('HARGA SATUAN'!$D$6,MATCH(RAB!C392,'HARGA SATUAN'!$C$7:$C$1492,0),0)),"",OFFSET('HARGA SATUAN'!$D$6,MATCH(RAB!C392,'HARGA SATUAN'!$C$7:$C$1492,0),0))</f>
        <v/>
      </c>
      <c r="E392" s="356" t="str">
        <f ca="1">IF(B392="+","Unit",IF(ISERROR(OFFSET('HARGA SATUAN'!$E$6,MATCH(RAB!C392,'HARGA SATUAN'!$C$7:$C$1492,0),0)),"",OFFSET('HARGA SATUAN'!$E$6,MATCH(RAB!C392,'HARGA SATUAN'!$C$7:$C$1492,0),0)))</f>
        <v/>
      </c>
      <c r="F392" s="494"/>
      <c r="G392" s="357">
        <f ca="1">IF(ISERROR(OFFSET('HARGA SATUAN'!$I$6,MATCH(RAB!C392,'HARGA SATUAN'!$C$7:$C$1492,0),0)),0,OFFSET('HARGA SATUAN'!$I$6,MATCH(RAB!C392,'HARGA SATUAN'!$C$7:$C$1492,0),0))</f>
        <v>0</v>
      </c>
      <c r="H392" s="358">
        <f t="shared" ca="1" si="84"/>
        <v>0</v>
      </c>
      <c r="I392" s="358">
        <f t="shared" ca="1" si="85"/>
        <v>0</v>
      </c>
      <c r="J392" s="358">
        <f t="shared" ca="1" si="86"/>
        <v>0</v>
      </c>
      <c r="K392" s="359">
        <f t="shared" ca="1" si="87"/>
        <v>0</v>
      </c>
      <c r="L392" s="339"/>
      <c r="M392" s="339"/>
      <c r="N392" s="366"/>
      <c r="O392" s="341"/>
      <c r="P392" s="394"/>
      <c r="Q392" s="341"/>
    </row>
    <row r="393" spans="1:17" s="362" customFormat="1">
      <c r="A393" s="333"/>
      <c r="B393" s="491"/>
      <c r="C393" s="492"/>
      <c r="D393" s="355" t="str">
        <f ca="1">IF(ISERROR(OFFSET('HARGA SATUAN'!$D$6,MATCH(RAB!C393,'HARGA SATUAN'!$C$7:$C$1492,0),0)),"",OFFSET('HARGA SATUAN'!$D$6,MATCH(RAB!C393,'HARGA SATUAN'!$C$7:$C$1492,0),0))</f>
        <v/>
      </c>
      <c r="E393" s="356" t="str">
        <f ca="1">IF(B393="+","Unit",IF(ISERROR(OFFSET('HARGA SATUAN'!$E$6,MATCH(RAB!C393,'HARGA SATUAN'!$C$7:$C$1492,0),0)),"",OFFSET('HARGA SATUAN'!$E$6,MATCH(RAB!C393,'HARGA SATUAN'!$C$7:$C$1492,0),0)))</f>
        <v/>
      </c>
      <c r="F393" s="494"/>
      <c r="G393" s="357">
        <f ca="1">IF(ISERROR(OFFSET('HARGA SATUAN'!$I$6,MATCH(RAB!C393,'HARGA SATUAN'!$C$7:$C$1492,0),0)),0,OFFSET('HARGA SATUAN'!$I$6,MATCH(RAB!C393,'HARGA SATUAN'!$C$7:$C$1492,0),0))</f>
        <v>0</v>
      </c>
      <c r="H393" s="358">
        <f t="shared" ca="1" si="84"/>
        <v>0</v>
      </c>
      <c r="I393" s="358">
        <f t="shared" ca="1" si="85"/>
        <v>0</v>
      </c>
      <c r="J393" s="358">
        <f t="shared" ca="1" si="86"/>
        <v>0</v>
      </c>
      <c r="K393" s="359">
        <f t="shared" ca="1" si="87"/>
        <v>0</v>
      </c>
      <c r="L393" s="339"/>
      <c r="M393" s="339"/>
      <c r="N393" s="366"/>
      <c r="O393" s="341"/>
      <c r="P393" s="394"/>
      <c r="Q393" s="341"/>
    </row>
    <row r="394" spans="1:17" s="362" customFormat="1">
      <c r="A394" s="333"/>
      <c r="B394" s="532" t="s">
        <v>1035</v>
      </c>
      <c r="C394" s="533" t="s">
        <v>1649</v>
      </c>
      <c r="D394" s="355" t="str">
        <f ca="1">IF(ISERROR(OFFSET('HARGA SATUAN'!$D$6,MATCH(RAB!C394,'HARGA SATUAN'!$C$7:$C$1492,0),0)),"",OFFSET('HARGA SATUAN'!$D$6,MATCH(RAB!C394,'HARGA SATUAN'!$C$7:$C$1492,0),0))</f>
        <v/>
      </c>
      <c r="E394" s="356" t="str">
        <f ca="1">IF(B394="+","Unit",IF(ISERROR(OFFSET('HARGA SATUAN'!$E$6,MATCH(RAB!C394,'HARGA SATUAN'!$C$7:$C$1492,0),0)),"",OFFSET('HARGA SATUAN'!$E$6,MATCH(RAB!C394,'HARGA SATUAN'!$C$7:$C$1492,0),0)))</f>
        <v>Unit</v>
      </c>
      <c r="F394" s="494">
        <v>2</v>
      </c>
      <c r="G394" s="357">
        <f ca="1">IF(ISERROR(OFFSET('HARGA SATUAN'!$I$6,MATCH(RAB!C394,'HARGA SATUAN'!$C$7:$C$1492,0),0)),0,OFFSET('HARGA SATUAN'!$I$6,MATCH(RAB!C394,'HARGA SATUAN'!$C$7:$C$1492,0),0))</f>
        <v>0</v>
      </c>
      <c r="H394" s="358">
        <f t="shared" ca="1" si="84"/>
        <v>0</v>
      </c>
      <c r="I394" s="358">
        <f t="shared" ca="1" si="85"/>
        <v>0</v>
      </c>
      <c r="J394" s="358">
        <f t="shared" ca="1" si="86"/>
        <v>0</v>
      </c>
      <c r="K394" s="359">
        <f t="shared" ca="1" si="87"/>
        <v>0</v>
      </c>
      <c r="L394" s="339"/>
      <c r="M394" s="339"/>
      <c r="N394" s="366"/>
      <c r="O394" s="341"/>
      <c r="P394" s="394"/>
      <c r="Q394" s="341"/>
    </row>
    <row r="395" spans="1:17" s="362" customFormat="1">
      <c r="A395" s="333"/>
      <c r="B395" s="532">
        <v>1</v>
      </c>
      <c r="C395" s="533" t="s">
        <v>595</v>
      </c>
      <c r="D395" s="355" t="str">
        <f ca="1">IF(ISERROR(OFFSET('HARGA SATUAN'!$D$6,MATCH(RAB!C395,'HARGA SATUAN'!$C$7:$C$1492,0),0)),"",OFFSET('HARGA SATUAN'!$D$6,MATCH(RAB!C395,'HARGA SATUAN'!$C$7:$C$1492,0),0))</f>
        <v>HDW</v>
      </c>
      <c r="E395" s="356" t="str">
        <f ca="1">IF(B395="+","Unit",IF(ISERROR(OFFSET('HARGA SATUAN'!$E$6,MATCH(RAB!C395,'HARGA SATUAN'!$C$7:$C$1492,0),0)),"",OFFSET('HARGA SATUAN'!$E$6,MATCH(RAB!C395,'HARGA SATUAN'!$C$7:$C$1492,0),0)))</f>
        <v>Bh</v>
      </c>
      <c r="F395" s="494">
        <f>F394*1</f>
        <v>2</v>
      </c>
      <c r="G395" s="357">
        <f ca="1">IF(ISERROR(OFFSET('HARGA SATUAN'!$I$6,MATCH(RAB!C395,'HARGA SATUAN'!$C$7:$C$1492,0),0)),0,OFFSET('HARGA SATUAN'!$I$6,MATCH(RAB!C395,'HARGA SATUAN'!$C$7:$C$1492,0),0))</f>
        <v>78500</v>
      </c>
      <c r="H395" s="358">
        <f t="shared" ca="1" si="84"/>
        <v>0</v>
      </c>
      <c r="I395" s="358">
        <f t="shared" ca="1" si="85"/>
        <v>157000</v>
      </c>
      <c r="J395" s="358">
        <f t="shared" ca="1" si="86"/>
        <v>0</v>
      </c>
      <c r="K395" s="359">
        <f t="shared" ca="1" si="87"/>
        <v>157000</v>
      </c>
      <c r="L395" s="339"/>
      <c r="M395" s="339"/>
      <c r="N395" s="366"/>
      <c r="O395" s="341"/>
      <c r="P395" s="394"/>
      <c r="Q395" s="341"/>
    </row>
    <row r="396" spans="1:17" s="362" customFormat="1">
      <c r="A396" s="333"/>
      <c r="B396" s="532">
        <v>2</v>
      </c>
      <c r="C396" s="533" t="s">
        <v>229</v>
      </c>
      <c r="D396" s="355" t="str">
        <f ca="1">IF(ISERROR(OFFSET('HARGA SATUAN'!$D$6,MATCH(RAB!C396,'HARGA SATUAN'!$C$7:$C$1492,0),0)),"",OFFSET('HARGA SATUAN'!$D$6,MATCH(RAB!C396,'HARGA SATUAN'!$C$7:$C$1492,0),0))</f>
        <v>HDW</v>
      </c>
      <c r="E396" s="356" t="str">
        <f ca="1">IF(B396="+","Unit",IF(ISERROR(OFFSET('HARGA SATUAN'!$E$6,MATCH(RAB!C396,'HARGA SATUAN'!$C$7:$C$1492,0),0)),"",OFFSET('HARGA SATUAN'!$E$6,MATCH(RAB!C396,'HARGA SATUAN'!$C$7:$C$1492,0),0)))</f>
        <v>Bh</v>
      </c>
      <c r="F396" s="494">
        <f>F394*1</f>
        <v>2</v>
      </c>
      <c r="G396" s="357">
        <f ca="1">IF(ISERROR(OFFSET('HARGA SATUAN'!$I$6,MATCH(RAB!C396,'HARGA SATUAN'!$C$7:$C$1492,0),0)),0,OFFSET('HARGA SATUAN'!$I$6,MATCH(RAB!C396,'HARGA SATUAN'!$C$7:$C$1492,0),0))</f>
        <v>4212</v>
      </c>
      <c r="H396" s="358">
        <f t="shared" ca="1" si="84"/>
        <v>0</v>
      </c>
      <c r="I396" s="358">
        <f t="shared" ca="1" si="85"/>
        <v>8424</v>
      </c>
      <c r="J396" s="358">
        <f t="shared" ca="1" si="86"/>
        <v>0</v>
      </c>
      <c r="K396" s="359">
        <f t="shared" ca="1" si="87"/>
        <v>8424</v>
      </c>
      <c r="L396" s="339"/>
      <c r="M396" s="339"/>
      <c r="N396" s="366"/>
      <c r="O396" s="341"/>
      <c r="P396" s="394"/>
      <c r="Q396" s="341"/>
    </row>
    <row r="397" spans="1:17" s="362" customFormat="1">
      <c r="A397" s="333"/>
      <c r="B397" s="532">
        <v>3</v>
      </c>
      <c r="C397" s="533" t="s">
        <v>266</v>
      </c>
      <c r="D397" s="355" t="str">
        <f ca="1">IF(ISERROR(OFFSET('HARGA SATUAN'!$D$6,MATCH(RAB!C397,'HARGA SATUAN'!$C$7:$C$1492,0),0)),"",OFFSET('HARGA SATUAN'!$D$6,MATCH(RAB!C397,'HARGA SATUAN'!$C$7:$C$1492,0),0))</f>
        <v>HDW</v>
      </c>
      <c r="E397" s="356" t="str">
        <f ca="1">IF(B397="+","Unit",IF(ISERROR(OFFSET('HARGA SATUAN'!$E$6,MATCH(RAB!C397,'HARGA SATUAN'!$C$7:$C$1492,0),0)),"",OFFSET('HARGA SATUAN'!$E$6,MATCH(RAB!C397,'HARGA SATUAN'!$C$7:$C$1492,0),0)))</f>
        <v>Mtr</v>
      </c>
      <c r="F397" s="494">
        <f>F394*1</f>
        <v>2</v>
      </c>
      <c r="G397" s="357">
        <f ca="1">IF(ISERROR(OFFSET('HARGA SATUAN'!$I$6,MATCH(RAB!C397,'HARGA SATUAN'!$C$7:$C$1492,0),0)),0,OFFSET('HARGA SATUAN'!$I$6,MATCH(RAB!C397,'HARGA SATUAN'!$C$7:$C$1492,0),0))</f>
        <v>23310</v>
      </c>
      <c r="H397" s="358">
        <f t="shared" ca="1" si="84"/>
        <v>0</v>
      </c>
      <c r="I397" s="358">
        <f t="shared" ca="1" si="85"/>
        <v>46620</v>
      </c>
      <c r="J397" s="358">
        <f t="shared" ca="1" si="86"/>
        <v>0</v>
      </c>
      <c r="K397" s="359">
        <f t="shared" ca="1" si="87"/>
        <v>46620</v>
      </c>
      <c r="L397" s="339"/>
      <c r="M397" s="339"/>
      <c r="N397" s="366"/>
      <c r="O397" s="341"/>
      <c r="P397" s="394"/>
      <c r="Q397" s="341"/>
    </row>
    <row r="398" spans="1:17" s="362" customFormat="1">
      <c r="A398" s="333"/>
      <c r="B398" s="532">
        <v>4</v>
      </c>
      <c r="C398" s="533" t="s">
        <v>35</v>
      </c>
      <c r="D398" s="355" t="str">
        <f ca="1">IF(ISERROR(OFFSET('HARGA SATUAN'!$D$6,MATCH(RAB!C398,'HARGA SATUAN'!$C$7:$C$1492,0),0)),"",OFFSET('HARGA SATUAN'!$D$6,MATCH(RAB!C398,'HARGA SATUAN'!$C$7:$C$1492,0),0))</f>
        <v>HDW</v>
      </c>
      <c r="E398" s="356" t="str">
        <f ca="1">IF(B398="+","Unit",IF(ISERROR(OFFSET('HARGA SATUAN'!$E$6,MATCH(RAB!C398,'HARGA SATUAN'!$C$7:$C$1492,0),0)),"",OFFSET('HARGA SATUAN'!$E$6,MATCH(RAB!C398,'HARGA SATUAN'!$C$7:$C$1492,0),0)))</f>
        <v>Bh</v>
      </c>
      <c r="F398" s="494">
        <f>F394*1</f>
        <v>2</v>
      </c>
      <c r="G398" s="357">
        <f ca="1">IF(ISERROR(OFFSET('HARGA SATUAN'!$I$6,MATCH(RAB!C398,'HARGA SATUAN'!$C$7:$C$1492,0),0)),0,OFFSET('HARGA SATUAN'!$I$6,MATCH(RAB!C398,'HARGA SATUAN'!$C$7:$C$1492,0),0))</f>
        <v>2300</v>
      </c>
      <c r="H398" s="358">
        <f t="shared" ca="1" si="84"/>
        <v>0</v>
      </c>
      <c r="I398" s="358">
        <f t="shared" ca="1" si="85"/>
        <v>4600</v>
      </c>
      <c r="J398" s="358">
        <f t="shared" ca="1" si="86"/>
        <v>0</v>
      </c>
      <c r="K398" s="359">
        <f t="shared" ca="1" si="87"/>
        <v>4600</v>
      </c>
      <c r="L398" s="339"/>
      <c r="M398" s="339"/>
      <c r="N398" s="366"/>
      <c r="O398" s="341"/>
      <c r="P398" s="394"/>
      <c r="Q398" s="341"/>
    </row>
    <row r="399" spans="1:17" s="362" customFormat="1">
      <c r="A399" s="333"/>
      <c r="B399" s="532">
        <v>5</v>
      </c>
      <c r="C399" s="533" t="s">
        <v>630</v>
      </c>
      <c r="D399" s="355" t="str">
        <f ca="1">IF(ISERROR(OFFSET('HARGA SATUAN'!$D$6,MATCH(RAB!C399,'HARGA SATUAN'!$C$7:$C$1492,0),0)),"",OFFSET('HARGA SATUAN'!$D$6,MATCH(RAB!C399,'HARGA SATUAN'!$C$7:$C$1492,0),0))</f>
        <v>JASA</v>
      </c>
      <c r="E399" s="356" t="str">
        <f ca="1">IF(B399="+","Unit",IF(ISERROR(OFFSET('HARGA SATUAN'!$E$6,MATCH(RAB!C399,'HARGA SATUAN'!$C$7:$C$1492,0),0)),"",OFFSET('HARGA SATUAN'!$E$6,MATCH(RAB!C399,'HARGA SATUAN'!$C$7:$C$1492,0),0)))</f>
        <v>Unit</v>
      </c>
      <c r="F399" s="494">
        <f>F394*1</f>
        <v>2</v>
      </c>
      <c r="G399" s="357">
        <f ca="1">IF(ISERROR(OFFSET('HARGA SATUAN'!$I$6,MATCH(RAB!C399,'HARGA SATUAN'!$C$7:$C$1492,0),0)),0,OFFSET('HARGA SATUAN'!$I$6,MATCH(RAB!C399,'HARGA SATUAN'!$C$7:$C$1492,0),0))</f>
        <v>35700</v>
      </c>
      <c r="H399" s="358">
        <f t="shared" ca="1" si="84"/>
        <v>0</v>
      </c>
      <c r="I399" s="358">
        <f t="shared" ca="1" si="85"/>
        <v>0</v>
      </c>
      <c r="J399" s="358">
        <f t="shared" ca="1" si="86"/>
        <v>71400</v>
      </c>
      <c r="K399" s="359">
        <f t="shared" ca="1" si="87"/>
        <v>71400</v>
      </c>
      <c r="L399" s="339"/>
      <c r="M399" s="339"/>
      <c r="N399" s="366"/>
      <c r="O399" s="341"/>
      <c r="P399" s="394"/>
      <c r="Q399" s="341"/>
    </row>
    <row r="400" spans="1:17" s="362" customFormat="1">
      <c r="A400" s="333"/>
      <c r="B400" s="491"/>
      <c r="C400" s="492"/>
      <c r="D400" s="355" t="str">
        <f ca="1">IF(ISERROR(OFFSET('HARGA SATUAN'!$D$6,MATCH(RAB!C400,'HARGA SATUAN'!$C$7:$C$1492,0),0)),"",OFFSET('HARGA SATUAN'!$D$6,MATCH(RAB!C400,'HARGA SATUAN'!$C$7:$C$1492,0),0))</f>
        <v/>
      </c>
      <c r="E400" s="356" t="str">
        <f ca="1">IF(B400="+","Unit",IF(ISERROR(OFFSET('HARGA SATUAN'!$E$6,MATCH(RAB!C400,'HARGA SATUAN'!$C$7:$C$1492,0),0)),"",OFFSET('HARGA SATUAN'!$E$6,MATCH(RAB!C400,'HARGA SATUAN'!$C$7:$C$1492,0),0)))</f>
        <v/>
      </c>
      <c r="F400" s="494"/>
      <c r="G400" s="357">
        <f ca="1">IF(ISERROR(OFFSET('HARGA SATUAN'!$I$6,MATCH(RAB!C400,'HARGA SATUAN'!$C$7:$C$1492,0),0)),0,OFFSET('HARGA SATUAN'!$I$6,MATCH(RAB!C400,'HARGA SATUAN'!$C$7:$C$1492,0),0))</f>
        <v>0</v>
      </c>
      <c r="H400" s="358">
        <f t="shared" ca="1" si="84"/>
        <v>0</v>
      </c>
      <c r="I400" s="358">
        <f t="shared" ca="1" si="85"/>
        <v>0</v>
      </c>
      <c r="J400" s="358">
        <f t="shared" ca="1" si="86"/>
        <v>0</v>
      </c>
      <c r="K400" s="359">
        <f t="shared" ca="1" si="87"/>
        <v>0</v>
      </c>
      <c r="L400" s="339"/>
      <c r="M400" s="339"/>
      <c r="N400" s="366"/>
      <c r="O400" s="341"/>
      <c r="P400" s="394"/>
      <c r="Q400" s="341"/>
    </row>
    <row r="401" spans="1:17" s="362" customFormat="1">
      <c r="A401" s="333"/>
      <c r="B401" s="540"/>
      <c r="C401" s="505" t="s">
        <v>1668</v>
      </c>
      <c r="D401" s="355" t="str">
        <f ca="1">IF(ISERROR(OFFSET('HARGA SATUAN'!$D$6,MATCH(RAB!C401,'HARGA SATUAN'!$C$7:$C$1492,0),0)),"",OFFSET('HARGA SATUAN'!$D$6,MATCH(RAB!C401,'HARGA SATUAN'!$C$7:$C$1492,0),0))</f>
        <v/>
      </c>
      <c r="E401" s="356" t="str">
        <f ca="1">IF(B401="+","Unit",IF(ISERROR(OFFSET('HARGA SATUAN'!$E$6,MATCH(RAB!C401,'HARGA SATUAN'!$C$7:$C$1492,0),0)),"",OFFSET('HARGA SATUAN'!$E$6,MATCH(RAB!C401,'HARGA SATUAN'!$C$7:$C$1492,0),0)))</f>
        <v/>
      </c>
      <c r="F401" s="494"/>
      <c r="G401" s="357">
        <f ca="1">IF(ISERROR(OFFSET('HARGA SATUAN'!$I$6,MATCH(RAB!C401,'HARGA SATUAN'!$C$7:$C$1492,0),0)),0,OFFSET('HARGA SATUAN'!$I$6,MATCH(RAB!C401,'HARGA SATUAN'!$C$7:$C$1492,0),0))</f>
        <v>0</v>
      </c>
      <c r="H401" s="358">
        <f t="shared" ca="1" si="84"/>
        <v>0</v>
      </c>
      <c r="I401" s="358">
        <f t="shared" ca="1" si="85"/>
        <v>0</v>
      </c>
      <c r="J401" s="358">
        <f t="shared" ca="1" si="86"/>
        <v>0</v>
      </c>
      <c r="K401" s="359">
        <f t="shared" ca="1" si="87"/>
        <v>0</v>
      </c>
      <c r="L401" s="339"/>
      <c r="M401" s="339"/>
      <c r="N401" s="366"/>
      <c r="O401" s="341"/>
      <c r="P401" s="394"/>
      <c r="Q401" s="341"/>
    </row>
    <row r="402" spans="1:17" s="362" customFormat="1">
      <c r="A402" s="333"/>
      <c r="B402" s="491">
        <v>1</v>
      </c>
      <c r="C402" s="109" t="s">
        <v>1459</v>
      </c>
      <c r="D402" s="355" t="str">
        <f ca="1">IF(ISERROR(OFFSET('HARGA SATUAN'!$D$6,MATCH(RAB!C402,'HARGA SATUAN'!$C$7:$C$1492,0),0)),"",OFFSET('HARGA SATUAN'!$D$6,MATCH(RAB!C402,'HARGA SATUAN'!$C$7:$C$1492,0),0))</f>
        <v>MDU-KD</v>
      </c>
      <c r="E402" s="356" t="str">
        <f ca="1">IF(B402="+","Unit",IF(ISERROR(OFFSET('HARGA SATUAN'!$E$6,MATCH(RAB!C402,'HARGA SATUAN'!$C$7:$C$1492,0),0)),"",OFFSET('HARGA SATUAN'!$E$6,MATCH(RAB!C402,'HARGA SATUAN'!$C$7:$C$1492,0),0)))</f>
        <v>Mtr</v>
      </c>
      <c r="F402" s="494">
        <v>50</v>
      </c>
      <c r="G402" s="357">
        <f ca="1">IF(ISERROR(OFFSET('HARGA SATUAN'!$I$6,MATCH(RAB!C402,'HARGA SATUAN'!$C$7:$C$1492,0),0)),0,OFFSET('HARGA SATUAN'!$I$6,MATCH(RAB!C402,'HARGA SATUAN'!$C$7:$C$1492,0),0))</f>
        <v>54500</v>
      </c>
      <c r="H402" s="358">
        <f t="shared" ca="1" si="84"/>
        <v>2725000</v>
      </c>
      <c r="I402" s="358">
        <f t="shared" ca="1" si="85"/>
        <v>0</v>
      </c>
      <c r="J402" s="358">
        <f t="shared" ca="1" si="86"/>
        <v>0</v>
      </c>
      <c r="K402" s="359">
        <f t="shared" ca="1" si="87"/>
        <v>2725000</v>
      </c>
      <c r="L402" s="339"/>
      <c r="M402" s="339"/>
      <c r="N402" s="366"/>
      <c r="O402" s="341"/>
      <c r="P402" s="394"/>
      <c r="Q402" s="341"/>
    </row>
    <row r="403" spans="1:17" s="362" customFormat="1">
      <c r="A403" s="333"/>
      <c r="B403" s="491">
        <v>2</v>
      </c>
      <c r="C403" s="109" t="s">
        <v>346</v>
      </c>
      <c r="D403" s="355" t="str">
        <f ca="1">IF(ISERROR(OFFSET('HARGA SATUAN'!$D$6,MATCH(RAB!C403,'HARGA SATUAN'!$C$7:$C$1492,0),0)),"",OFFSET('HARGA SATUAN'!$D$6,MATCH(RAB!C403,'HARGA SATUAN'!$C$7:$C$1492,0),0))</f>
        <v>JASA</v>
      </c>
      <c r="E403" s="356" t="str">
        <f ca="1">IF(B403="+","Unit",IF(ISERROR(OFFSET('HARGA SATUAN'!$E$6,MATCH(RAB!C403,'HARGA SATUAN'!$C$7:$C$1492,0),0)),"",OFFSET('HARGA SATUAN'!$E$6,MATCH(RAB!C403,'HARGA SATUAN'!$C$7:$C$1492,0),0)))</f>
        <v>Per 50 m</v>
      </c>
      <c r="F403" s="494">
        <f>F402/50</f>
        <v>1</v>
      </c>
      <c r="G403" s="357">
        <f ca="1">IF(ISERROR(OFFSET('HARGA SATUAN'!$I$6,MATCH(RAB!C403,'HARGA SATUAN'!$C$7:$C$1492,0),0)),0,OFFSET('HARGA SATUAN'!$I$6,MATCH(RAB!C403,'HARGA SATUAN'!$C$7:$C$1492,0),0))</f>
        <v>223500</v>
      </c>
      <c r="H403" s="358">
        <f t="shared" ca="1" si="84"/>
        <v>0</v>
      </c>
      <c r="I403" s="358">
        <f t="shared" ca="1" si="85"/>
        <v>0</v>
      </c>
      <c r="J403" s="358">
        <f t="shared" ca="1" si="86"/>
        <v>223500</v>
      </c>
      <c r="K403" s="359">
        <f t="shared" ca="1" si="87"/>
        <v>223500</v>
      </c>
      <c r="L403" s="339"/>
      <c r="M403" s="339"/>
      <c r="N403" s="366"/>
      <c r="O403" s="341"/>
      <c r="P403" s="394"/>
      <c r="Q403" s="341"/>
    </row>
    <row r="404" spans="1:17" s="362" customFormat="1">
      <c r="A404" s="333"/>
      <c r="B404" s="491"/>
      <c r="C404" s="492"/>
      <c r="D404" s="355" t="str">
        <f ca="1">IF(ISERROR(OFFSET('HARGA SATUAN'!$D$6,MATCH(RAB!C404,'HARGA SATUAN'!$C$7:$C$1492,0),0)),"",OFFSET('HARGA SATUAN'!$D$6,MATCH(RAB!C404,'HARGA SATUAN'!$C$7:$C$1492,0),0))</f>
        <v/>
      </c>
      <c r="E404" s="356" t="str">
        <f ca="1">IF(B404="+","Unit",IF(ISERROR(OFFSET('HARGA SATUAN'!$E$6,MATCH(RAB!C404,'HARGA SATUAN'!$C$7:$C$1492,0),0)),"",OFFSET('HARGA SATUAN'!$E$6,MATCH(RAB!C404,'HARGA SATUAN'!$C$7:$C$1492,0),0)))</f>
        <v/>
      </c>
      <c r="F404" s="494"/>
      <c r="G404" s="357">
        <f ca="1">IF(ISERROR(OFFSET('HARGA SATUAN'!$I$6,MATCH(RAB!C404,'HARGA SATUAN'!$C$7:$C$1492,0),0)),0,OFFSET('HARGA SATUAN'!$I$6,MATCH(RAB!C404,'HARGA SATUAN'!$C$7:$C$1492,0),0))</f>
        <v>0</v>
      </c>
      <c r="H404" s="358">
        <f t="shared" ca="1" si="84"/>
        <v>0</v>
      </c>
      <c r="I404" s="358">
        <f t="shared" ca="1" si="85"/>
        <v>0</v>
      </c>
      <c r="J404" s="358">
        <f t="shared" ca="1" si="86"/>
        <v>0</v>
      </c>
      <c r="K404" s="359">
        <f t="shared" ca="1" si="87"/>
        <v>0</v>
      </c>
      <c r="L404" s="339"/>
      <c r="M404" s="339"/>
      <c r="N404" s="366"/>
      <c r="O404" s="341"/>
      <c r="P404" s="394"/>
      <c r="Q404" s="341"/>
    </row>
    <row r="405" spans="1:17">
      <c r="B405" s="363" t="s">
        <v>1614</v>
      </c>
      <c r="C405" s="364" t="s">
        <v>1616</v>
      </c>
      <c r="D405" s="355" t="str">
        <f ca="1">IF(ISERROR(OFFSET('HARGA SATUAN'!$D$6,MATCH(RAB!C405,'HARGA SATUAN'!$C$7:$C$1492,0),0)),"",OFFSET('HARGA SATUAN'!$D$6,MATCH(RAB!C405,'HARGA SATUAN'!$C$7:$C$1492,0),0))</f>
        <v/>
      </c>
      <c r="E405" s="356" t="str">
        <f ca="1">IF(B405="+","Unit",IF(ISERROR(OFFSET('HARGA SATUAN'!$E$6,MATCH(RAB!C405,'HARGA SATUAN'!$C$7:$C$1492,0),0)),"",OFFSET('HARGA SATUAN'!$E$6,MATCH(RAB!C405,'HARGA SATUAN'!$C$7:$C$1492,0),0)))</f>
        <v/>
      </c>
      <c r="F405" s="494"/>
      <c r="G405" s="357">
        <f ca="1">IF(ISERROR(OFFSET('HARGA SATUAN'!$I$6,MATCH(RAB!C405,'HARGA SATUAN'!$C$7:$C$1492,0),0)),0,OFFSET('HARGA SATUAN'!$I$6,MATCH(RAB!C405,'HARGA SATUAN'!$C$7:$C$1492,0),0))</f>
        <v>0</v>
      </c>
      <c r="H405" s="358">
        <f t="shared" ca="1" si="84"/>
        <v>0</v>
      </c>
      <c r="I405" s="358">
        <f t="shared" ca="1" si="85"/>
        <v>0</v>
      </c>
      <c r="J405" s="358">
        <f t="shared" ca="1" si="86"/>
        <v>0</v>
      </c>
      <c r="K405" s="359">
        <f t="shared" ca="1" si="87"/>
        <v>0</v>
      </c>
    </row>
    <row r="406" spans="1:17">
      <c r="B406" s="487"/>
      <c r="C406" s="490"/>
      <c r="D406" s="355" t="str">
        <f ca="1">IF(ISERROR(OFFSET('HARGA SATUAN'!$D$6,MATCH(RAB!C406,'HARGA SATUAN'!$C$7:$C$1492,0),0)),"",OFFSET('HARGA SATUAN'!$D$6,MATCH(RAB!C406,'HARGA SATUAN'!$C$7:$C$1492,0),0))</f>
        <v/>
      </c>
      <c r="E406" s="356" t="str">
        <f ca="1">IF(B406="+","Unit",IF(ISERROR(OFFSET('HARGA SATUAN'!$E$6,MATCH(RAB!C406,'HARGA SATUAN'!$C$7:$C$1492,0),0)),"",OFFSET('HARGA SATUAN'!$E$6,MATCH(RAB!C406,'HARGA SATUAN'!$C$7:$C$1492,0),0)))</f>
        <v/>
      </c>
      <c r="F406" s="494"/>
      <c r="G406" s="357">
        <f ca="1">IF(ISERROR(OFFSET('HARGA SATUAN'!$I$6,MATCH(RAB!C406,'HARGA SATUAN'!$C$7:$C$1492,0),0)),0,OFFSET('HARGA SATUAN'!$I$6,MATCH(RAB!C406,'HARGA SATUAN'!$C$7:$C$1492,0),0))</f>
        <v>0</v>
      </c>
      <c r="H406" s="358">
        <f t="shared" ca="1" si="84"/>
        <v>0</v>
      </c>
      <c r="I406" s="358">
        <f t="shared" ca="1" si="85"/>
        <v>0</v>
      </c>
      <c r="J406" s="358">
        <f t="shared" ca="1" si="86"/>
        <v>0</v>
      </c>
      <c r="K406" s="359">
        <f t="shared" ca="1" si="87"/>
        <v>0</v>
      </c>
    </row>
    <row r="407" spans="1:17">
      <c r="B407" s="532" t="s">
        <v>1035</v>
      </c>
      <c r="C407" s="533" t="s">
        <v>1669</v>
      </c>
      <c r="D407" s="355" t="str">
        <f ca="1">IF(ISERROR(OFFSET('HARGA SATUAN'!$D$6,MATCH(RAB!C407,'HARGA SATUAN'!$C$7:$C$1492,0),0)),"",OFFSET('HARGA SATUAN'!$D$6,MATCH(RAB!C407,'HARGA SATUAN'!$C$7:$C$1492,0),0))</f>
        <v/>
      </c>
      <c r="E407" s="356" t="str">
        <f ca="1">IF(B407="+","Unit",IF(ISERROR(OFFSET('HARGA SATUAN'!$E$6,MATCH(RAB!C407,'HARGA SATUAN'!$C$7:$C$1492,0),0)),"",OFFSET('HARGA SATUAN'!$E$6,MATCH(RAB!C407,'HARGA SATUAN'!$C$7:$C$1492,0),0)))</f>
        <v>Unit</v>
      </c>
      <c r="F407" s="494">
        <v>1</v>
      </c>
      <c r="G407" s="357">
        <f ca="1">IF(ISERROR(OFFSET('HARGA SATUAN'!$I$6,MATCH(RAB!C407,'HARGA SATUAN'!$C$7:$C$1492,0),0)),0,OFFSET('HARGA SATUAN'!$I$6,MATCH(RAB!C407,'HARGA SATUAN'!$C$7:$C$1492,0),0))</f>
        <v>0</v>
      </c>
      <c r="H407" s="358">
        <f t="shared" ref="H407:H413" ca="1" si="88">IF(OR(D407="MDU",D407="MDU-KD"),(IF($O$3="RAB NON MDU","PLN KD",G407*F407)),0)</f>
        <v>0</v>
      </c>
      <c r="I407" s="358">
        <f t="shared" ref="I407:I413" ca="1" si="89">IF(D407="HDW",G407*F407,0)</f>
        <v>0</v>
      </c>
      <c r="J407" s="358">
        <f t="shared" ref="J407:J413" ca="1" si="90">IF(D407="JASA",G407*F407,0)</f>
        <v>0</v>
      </c>
      <c r="K407" s="359">
        <f t="shared" ref="K407:K413" ca="1" si="91">SUM(H407:J407)</f>
        <v>0</v>
      </c>
    </row>
    <row r="408" spans="1:17">
      <c r="B408" s="532">
        <v>1</v>
      </c>
      <c r="C408" s="109" t="s">
        <v>1147</v>
      </c>
      <c r="D408" s="355" t="s">
        <v>44</v>
      </c>
      <c r="E408" s="356" t="str">
        <f ca="1">IF(B408="+","Unit",IF(ISERROR(OFFSET('HARGA SATUAN'!$E$6,MATCH(RAB!C408,'HARGA SATUAN'!$C$7:$C$1492,0),0)),"",OFFSET('HARGA SATUAN'!$E$6,MATCH(RAB!C408,'HARGA SATUAN'!$C$7:$C$1492,0),0)))</f>
        <v>Bh</v>
      </c>
      <c r="F408" s="494">
        <f>F407*1</f>
        <v>1</v>
      </c>
      <c r="G408" s="357">
        <f ca="1">IF(ISERROR(OFFSET('HARGA SATUAN'!$I$6,MATCH(RAB!C408,'HARGA SATUAN'!$C$7:$C$1492,0),0)),0,OFFSET('HARGA SATUAN'!$I$6,MATCH(RAB!C408,'HARGA SATUAN'!$C$7:$C$1492,0),0))</f>
        <v>56838600</v>
      </c>
      <c r="H408" s="358">
        <f t="shared" ca="1" si="88"/>
        <v>56838600</v>
      </c>
      <c r="I408" s="358">
        <f t="shared" si="89"/>
        <v>0</v>
      </c>
      <c r="J408" s="358">
        <f t="shared" si="90"/>
        <v>0</v>
      </c>
      <c r="K408" s="359">
        <f t="shared" ca="1" si="91"/>
        <v>56838600</v>
      </c>
    </row>
    <row r="409" spans="1:17">
      <c r="B409" s="496">
        <v>2</v>
      </c>
      <c r="C409" s="499" t="s">
        <v>1618</v>
      </c>
      <c r="D409" s="355" t="str">
        <f ca="1">IF(ISERROR(OFFSET('HARGA SATUAN'!$D$6,MATCH(RAB!C409,'HARGA SATUAN'!$C$7:$C$1492,0),0)),"",OFFSET('HARGA SATUAN'!$D$6,MATCH(RAB!C409,'HARGA SATUAN'!$C$7:$C$1492,0),0))</f>
        <v/>
      </c>
      <c r="E409" s="356" t="str">
        <f ca="1">IF(B409="+","Unit",IF(ISERROR(OFFSET('HARGA SATUAN'!$E$6,MATCH(RAB!C409,'HARGA SATUAN'!$C$7:$C$1492,0),0)),"",OFFSET('HARGA SATUAN'!$E$6,MATCH(RAB!C409,'HARGA SATUAN'!$C$7:$C$1492,0),0)))</f>
        <v/>
      </c>
      <c r="F409" s="500"/>
      <c r="G409" s="357">
        <f ca="1">IF(ISERROR(OFFSET('HARGA SATUAN'!$I$6,MATCH(RAB!C409,'HARGA SATUAN'!$C$7:$C$1492,0),0)),0,OFFSET('HARGA SATUAN'!$I$6,MATCH(RAB!C409,'HARGA SATUAN'!$C$7:$C$1492,0),0))</f>
        <v>0</v>
      </c>
      <c r="H409" s="358">
        <f t="shared" ca="1" si="88"/>
        <v>0</v>
      </c>
      <c r="I409" s="358">
        <f t="shared" ca="1" si="89"/>
        <v>0</v>
      </c>
      <c r="J409" s="358">
        <f t="shared" ca="1" si="90"/>
        <v>0</v>
      </c>
      <c r="K409" s="359">
        <f t="shared" ca="1" si="91"/>
        <v>0</v>
      </c>
    </row>
    <row r="410" spans="1:17">
      <c r="B410" s="532"/>
      <c r="C410" s="499" t="s">
        <v>65</v>
      </c>
      <c r="D410" s="355" t="str">
        <f ca="1">IF(ISERROR(OFFSET('HARGA SATUAN'!$D$6,MATCH(RAB!C410,'HARGA SATUAN'!$C$7:$C$1492,0),0)),"",OFFSET('HARGA SATUAN'!$D$6,MATCH(RAB!C410,'HARGA SATUAN'!$C$7:$C$1492,0),0))</f>
        <v>MDU-KD</v>
      </c>
      <c r="E410" s="356" t="str">
        <f ca="1">IF(B410="+","Unit",IF(ISERROR(OFFSET('HARGA SATUAN'!$E$6,MATCH(RAB!C410,'HARGA SATUAN'!$C$7:$C$1492,0),0)),"",OFFSET('HARGA SATUAN'!$E$6,MATCH(RAB!C410,'HARGA SATUAN'!$C$7:$C$1492,0),0)))</f>
        <v>Mtr</v>
      </c>
      <c r="F410" s="494">
        <f>F407*(3*3)</f>
        <v>9</v>
      </c>
      <c r="G410" s="357">
        <f ca="1">IF(ISERROR(OFFSET('HARGA SATUAN'!$I$6,MATCH(RAB!C410,'HARGA SATUAN'!$C$7:$C$1492,0),0)),0,OFFSET('HARGA SATUAN'!$I$6,MATCH(RAB!C410,'HARGA SATUAN'!$C$7:$C$1492,0),0))</f>
        <v>14200</v>
      </c>
      <c r="H410" s="358">
        <f t="shared" ca="1" si="88"/>
        <v>127800</v>
      </c>
      <c r="I410" s="358">
        <f t="shared" ca="1" si="89"/>
        <v>0</v>
      </c>
      <c r="J410" s="358">
        <f t="shared" ca="1" si="90"/>
        <v>0</v>
      </c>
      <c r="K410" s="359">
        <f t="shared" ca="1" si="91"/>
        <v>127800</v>
      </c>
    </row>
    <row r="411" spans="1:17">
      <c r="B411" s="532"/>
      <c r="C411" s="109" t="s">
        <v>1459</v>
      </c>
      <c r="D411" s="355" t="str">
        <f ca="1">IF(ISERROR(OFFSET('HARGA SATUAN'!$D$6,MATCH(RAB!C411,'HARGA SATUAN'!$C$7:$C$1492,0),0)),"",OFFSET('HARGA SATUAN'!$D$6,MATCH(RAB!C411,'HARGA SATUAN'!$C$7:$C$1492,0),0))</f>
        <v>MDU-KD</v>
      </c>
      <c r="E411" s="356" t="str">
        <f ca="1">IF(B411="+","Unit",IF(ISERROR(OFFSET('HARGA SATUAN'!$E$6,MATCH(RAB!C411,'HARGA SATUAN'!$C$7:$C$1492,0),0)),"",OFFSET('HARGA SATUAN'!$E$6,MATCH(RAB!C411,'HARGA SATUAN'!$C$7:$C$1492,0),0)))</f>
        <v>Mtr</v>
      </c>
      <c r="F411" s="494">
        <f>F407*3</f>
        <v>3</v>
      </c>
      <c r="G411" s="357">
        <f ca="1">IF(ISERROR(OFFSET('HARGA SATUAN'!$I$6,MATCH(RAB!C411,'HARGA SATUAN'!$C$7:$C$1492,0),0)),0,OFFSET('HARGA SATUAN'!$I$6,MATCH(RAB!C411,'HARGA SATUAN'!$C$7:$C$1492,0),0))</f>
        <v>54500</v>
      </c>
      <c r="H411" s="358">
        <f t="shared" ca="1" si="88"/>
        <v>163500</v>
      </c>
      <c r="I411" s="358">
        <f t="shared" ca="1" si="89"/>
        <v>0</v>
      </c>
      <c r="J411" s="358">
        <f t="shared" ca="1" si="90"/>
        <v>0</v>
      </c>
      <c r="K411" s="359">
        <f t="shared" ca="1" si="91"/>
        <v>163500</v>
      </c>
    </row>
    <row r="412" spans="1:17">
      <c r="B412" s="532">
        <v>3</v>
      </c>
      <c r="C412" s="109" t="s">
        <v>559</v>
      </c>
      <c r="D412" s="355" t="str">
        <f ca="1">IF(ISERROR(OFFSET('HARGA SATUAN'!$D$6,MATCH(RAB!C412,'HARGA SATUAN'!$C$7:$C$1492,0),0)),"",OFFSET('HARGA SATUAN'!$D$6,MATCH(RAB!C412,'HARGA SATUAN'!$C$7:$C$1492,0),0))</f>
        <v>MDU-KD</v>
      </c>
      <c r="E412" s="356" t="str">
        <f ca="1">IF(B412="+","Unit",IF(ISERROR(OFFSET('HARGA SATUAN'!$E$6,MATCH(RAB!C412,'HARGA SATUAN'!$C$7:$C$1492,0),0)),"",OFFSET('HARGA SATUAN'!$E$6,MATCH(RAB!C412,'HARGA SATUAN'!$C$7:$C$1492,0),0)))</f>
        <v>Bh</v>
      </c>
      <c r="F412" s="494">
        <f>F407*3</f>
        <v>3</v>
      </c>
      <c r="G412" s="357">
        <f ca="1">IF(ISERROR(OFFSET('HARGA SATUAN'!$I$6,MATCH(RAB!C412,'HARGA SATUAN'!$C$7:$C$1492,0),0)),0,OFFSET('HARGA SATUAN'!$I$6,MATCH(RAB!C412,'HARGA SATUAN'!$C$7:$C$1492,0),0))</f>
        <v>725900</v>
      </c>
      <c r="H412" s="358">
        <f t="shared" ca="1" si="88"/>
        <v>2177700</v>
      </c>
      <c r="I412" s="358">
        <f t="shared" ca="1" si="89"/>
        <v>0</v>
      </c>
      <c r="J412" s="358">
        <f t="shared" ca="1" si="90"/>
        <v>0</v>
      </c>
      <c r="K412" s="359">
        <f t="shared" ca="1" si="91"/>
        <v>2177700</v>
      </c>
    </row>
    <row r="413" spans="1:17">
      <c r="B413" s="532">
        <v>4</v>
      </c>
      <c r="C413" s="533" t="s">
        <v>535</v>
      </c>
      <c r="D413" s="355" t="str">
        <f ca="1">IF(ISERROR(OFFSET('HARGA SATUAN'!$D$6,MATCH(RAB!C413,'HARGA SATUAN'!$C$7:$C$1492,0),0)),"",OFFSET('HARGA SATUAN'!$D$6,MATCH(RAB!C413,'HARGA SATUAN'!$C$7:$C$1492,0),0))</f>
        <v>MDU-KD</v>
      </c>
      <c r="E413" s="356" t="str">
        <f ca="1">IF(B413="+","Unit",IF(ISERROR(OFFSET('HARGA SATUAN'!$E$6,MATCH(RAB!C413,'HARGA SATUAN'!$C$7:$C$1492,0),0)),"",OFFSET('HARGA SATUAN'!$E$6,MATCH(RAB!C413,'HARGA SATUAN'!$C$7:$C$1492,0),0)))</f>
        <v>Bh</v>
      </c>
      <c r="F413" s="494">
        <f>F407*3</f>
        <v>3</v>
      </c>
      <c r="G413" s="357">
        <f ca="1">IF(ISERROR(OFFSET('HARGA SATUAN'!$I$6,MATCH(RAB!C413,'HARGA SATUAN'!$C$7:$C$1492,0),0)),0,OFFSET('HARGA SATUAN'!$I$6,MATCH(RAB!C413,'HARGA SATUAN'!$C$7:$C$1492,0),0))</f>
        <v>848250</v>
      </c>
      <c r="H413" s="358">
        <f t="shared" ca="1" si="88"/>
        <v>2544750</v>
      </c>
      <c r="I413" s="358">
        <f t="shared" ca="1" si="89"/>
        <v>0</v>
      </c>
      <c r="J413" s="358">
        <f t="shared" ca="1" si="90"/>
        <v>0</v>
      </c>
      <c r="K413" s="359">
        <f t="shared" ca="1" si="91"/>
        <v>2544750</v>
      </c>
    </row>
    <row r="414" spans="1:17">
      <c r="B414" s="532">
        <v>5</v>
      </c>
      <c r="C414" s="533" t="s">
        <v>55</v>
      </c>
      <c r="D414" s="355" t="str">
        <f ca="1">IF(ISERROR(OFFSET('HARGA SATUAN'!$D$6,MATCH(RAB!C414,'HARGA SATUAN'!$C$7:$C$1492,0),0)),"",OFFSET('HARGA SATUAN'!$D$6,MATCH(RAB!C414,'HARGA SATUAN'!$C$7:$C$1492,0),0))</f>
        <v>HDW</v>
      </c>
      <c r="E414" s="356" t="str">
        <f ca="1">IF(B414="+","Unit",IF(ISERROR(OFFSET('HARGA SATUAN'!$E$6,MATCH(RAB!C414,'HARGA SATUAN'!$C$7:$C$1492,0),0)),"",OFFSET('HARGA SATUAN'!$E$6,MATCH(RAB!C414,'HARGA SATUAN'!$C$7:$C$1492,0),0)))</f>
        <v>Bh</v>
      </c>
      <c r="F414" s="494">
        <f>F407*3</f>
        <v>3</v>
      </c>
      <c r="G414" s="357">
        <f ca="1">IF(ISERROR(OFFSET('HARGA SATUAN'!$I$6,MATCH(RAB!C414,'HARGA SATUAN'!$C$7:$C$1492,0),0)),0,OFFSET('HARGA SATUAN'!$I$6,MATCH(RAB!C414,'HARGA SATUAN'!$C$7:$C$1492,0),0))</f>
        <v>18000</v>
      </c>
      <c r="H414" s="358">
        <f t="shared" ref="H414:H426" ca="1" si="92">IF(OR(D414="MDU",D414="MDU-KD"),(IF($O$3="RAB NON MDU","PLN KD",G414*F414)),0)</f>
        <v>0</v>
      </c>
      <c r="I414" s="358">
        <f t="shared" ref="I414:I426" ca="1" si="93">IF(D414="HDW",G414*F414,0)</f>
        <v>54000</v>
      </c>
      <c r="J414" s="358">
        <f t="shared" ref="J414:J426" ca="1" si="94">IF(D414="JASA",G414*F414,0)</f>
        <v>0</v>
      </c>
      <c r="K414" s="359">
        <f t="shared" ref="K414:K426" ca="1" si="95">SUM(H414:J414)</f>
        <v>54000</v>
      </c>
    </row>
    <row r="415" spans="1:17">
      <c r="B415" s="532">
        <v>6</v>
      </c>
      <c r="C415" s="109" t="s">
        <v>1569</v>
      </c>
      <c r="D415" s="355" t="str">
        <f ca="1">IF(ISERROR(OFFSET('HARGA SATUAN'!$D$6,MATCH(RAB!C415,'HARGA SATUAN'!$C$7:$C$1492,0),0)),"",OFFSET('HARGA SATUAN'!$D$6,MATCH(RAB!C415,'HARGA SATUAN'!$C$7:$C$1492,0),0))</f>
        <v>HDW</v>
      </c>
      <c r="E415" s="356" t="str">
        <f ca="1">IF(B415="+","Unit",IF(ISERROR(OFFSET('HARGA SATUAN'!$E$6,MATCH(RAB!C415,'HARGA SATUAN'!$C$7:$C$1492,0),0)),"",OFFSET('HARGA SATUAN'!$E$6,MATCH(RAB!C415,'HARGA SATUAN'!$C$7:$C$1492,0),0)))</f>
        <v>Bh</v>
      </c>
      <c r="F415" s="494">
        <f>F407*13</f>
        <v>13</v>
      </c>
      <c r="G415" s="357">
        <f ca="1">IF(ISERROR(OFFSET('HARGA SATUAN'!$I$6,MATCH(RAB!C415,'HARGA SATUAN'!$C$7:$C$1492,0),0)),0,OFFSET('HARGA SATUAN'!$I$6,MATCH(RAB!C415,'HARGA SATUAN'!$C$7:$C$1492,0),0))</f>
        <v>49000</v>
      </c>
      <c r="H415" s="358">
        <f t="shared" ca="1" si="92"/>
        <v>0</v>
      </c>
      <c r="I415" s="358">
        <f t="shared" ca="1" si="93"/>
        <v>637000</v>
      </c>
      <c r="J415" s="358">
        <f t="shared" ca="1" si="94"/>
        <v>0</v>
      </c>
      <c r="K415" s="359">
        <f t="shared" ca="1" si="95"/>
        <v>637000</v>
      </c>
    </row>
    <row r="416" spans="1:17">
      <c r="B416" s="532">
        <v>7</v>
      </c>
      <c r="C416" s="533" t="s">
        <v>163</v>
      </c>
      <c r="D416" s="355" t="str">
        <f ca="1">IF(ISERROR(OFFSET('HARGA SATUAN'!$D$6,MATCH(RAB!C416,'HARGA SATUAN'!$C$7:$C$1492,0),0)),"",OFFSET('HARGA SATUAN'!$D$6,MATCH(RAB!C416,'HARGA SATUAN'!$C$7:$C$1492,0),0))</f>
        <v>HDW</v>
      </c>
      <c r="E416" s="356" t="str">
        <f ca="1">IF(B416="+","Unit",IF(ISERROR(OFFSET('HARGA SATUAN'!$E$6,MATCH(RAB!C416,'HARGA SATUAN'!$C$7:$C$1492,0),0)),"",OFFSET('HARGA SATUAN'!$E$6,MATCH(RAB!C416,'HARGA SATUAN'!$C$7:$C$1492,0),0)))</f>
        <v>Bh</v>
      </c>
      <c r="F416" s="494">
        <f>F407*22</f>
        <v>22</v>
      </c>
      <c r="G416" s="357">
        <f ca="1">IF(ISERROR(OFFSET('HARGA SATUAN'!$I$6,MATCH(RAB!C416,'HARGA SATUAN'!$C$7:$C$1492,0),0)),0,OFFSET('HARGA SATUAN'!$I$6,MATCH(RAB!C416,'HARGA SATUAN'!$C$7:$C$1492,0),0))</f>
        <v>7938</v>
      </c>
      <c r="H416" s="358">
        <f t="shared" ca="1" si="92"/>
        <v>0</v>
      </c>
      <c r="I416" s="358">
        <f t="shared" ca="1" si="93"/>
        <v>174636</v>
      </c>
      <c r="J416" s="358">
        <f t="shared" ca="1" si="94"/>
        <v>0</v>
      </c>
      <c r="K416" s="359">
        <f t="shared" ca="1" si="95"/>
        <v>174636</v>
      </c>
    </row>
    <row r="417" spans="2:11">
      <c r="B417" s="532">
        <v>8</v>
      </c>
      <c r="C417" s="533" t="s">
        <v>176</v>
      </c>
      <c r="D417" s="355" t="str">
        <f ca="1">IF(ISERROR(OFFSET('HARGA SATUAN'!$D$6,MATCH(RAB!C417,'HARGA SATUAN'!$C$7:$C$1492,0),0)),"",OFFSET('HARGA SATUAN'!$D$6,MATCH(RAB!C417,'HARGA SATUAN'!$C$7:$C$1492,0),0))</f>
        <v>HDW</v>
      </c>
      <c r="E417" s="356" t="str">
        <f ca="1">IF(B417="+","Unit",IF(ISERROR(OFFSET('HARGA SATUAN'!$E$6,MATCH(RAB!C417,'HARGA SATUAN'!$C$7:$C$1492,0),0)),"",OFFSET('HARGA SATUAN'!$E$6,MATCH(RAB!C417,'HARGA SATUAN'!$C$7:$C$1492,0),0)))</f>
        <v>Bh</v>
      </c>
      <c r="F417" s="494">
        <f>F407*1</f>
        <v>1</v>
      </c>
      <c r="G417" s="357">
        <f ca="1">IF(ISERROR(OFFSET('HARGA SATUAN'!$I$6,MATCH(RAB!C417,'HARGA SATUAN'!$C$7:$C$1492,0),0)),0,OFFSET('HARGA SATUAN'!$I$6,MATCH(RAB!C417,'HARGA SATUAN'!$C$7:$C$1492,0),0))</f>
        <v>404600</v>
      </c>
      <c r="H417" s="358">
        <f t="shared" ca="1" si="92"/>
        <v>0</v>
      </c>
      <c r="I417" s="358">
        <f t="shared" ca="1" si="93"/>
        <v>404600</v>
      </c>
      <c r="J417" s="358">
        <f t="shared" ca="1" si="94"/>
        <v>0</v>
      </c>
      <c r="K417" s="359">
        <f t="shared" ca="1" si="95"/>
        <v>404600</v>
      </c>
    </row>
    <row r="418" spans="2:11">
      <c r="B418" s="532">
        <v>9</v>
      </c>
      <c r="C418" s="533" t="s">
        <v>184</v>
      </c>
      <c r="D418" s="355" t="str">
        <f ca="1">IF(ISERROR(OFFSET('HARGA SATUAN'!$D$6,MATCH(RAB!C418,'HARGA SATUAN'!$C$7:$C$1492,0),0)),"",OFFSET('HARGA SATUAN'!$D$6,MATCH(RAB!C418,'HARGA SATUAN'!$C$7:$C$1492,0),0))</f>
        <v>HDW</v>
      </c>
      <c r="E418" s="356" t="str">
        <f ca="1">IF(B418="+","Unit",IF(ISERROR(OFFSET('HARGA SATUAN'!$E$6,MATCH(RAB!C418,'HARGA SATUAN'!$C$7:$C$1492,0),0)),"",OFFSET('HARGA SATUAN'!$E$6,MATCH(RAB!C418,'HARGA SATUAN'!$C$7:$C$1492,0),0)))</f>
        <v>Bh</v>
      </c>
      <c r="F418" s="494">
        <f>F407*3</f>
        <v>3</v>
      </c>
      <c r="G418" s="357">
        <f ca="1">IF(ISERROR(OFFSET('HARGA SATUAN'!$I$6,MATCH(RAB!C418,'HARGA SATUAN'!$C$7:$C$1492,0),0)),0,OFFSET('HARGA SATUAN'!$I$6,MATCH(RAB!C418,'HARGA SATUAN'!$C$7:$C$1492,0),0))</f>
        <v>15900</v>
      </c>
      <c r="H418" s="358">
        <f t="shared" ca="1" si="92"/>
        <v>0</v>
      </c>
      <c r="I418" s="358">
        <f t="shared" ca="1" si="93"/>
        <v>47700</v>
      </c>
      <c r="J418" s="358">
        <f t="shared" ca="1" si="94"/>
        <v>0</v>
      </c>
      <c r="K418" s="359">
        <f t="shared" ca="1" si="95"/>
        <v>47700</v>
      </c>
    </row>
    <row r="419" spans="2:11">
      <c r="B419" s="532">
        <v>10</v>
      </c>
      <c r="C419" s="533" t="s">
        <v>592</v>
      </c>
      <c r="D419" s="355" t="str">
        <f ca="1">IF(ISERROR(OFFSET('HARGA SATUAN'!$D$6,MATCH(RAB!C419,'HARGA SATUAN'!$C$7:$C$1492,0),0)),"",OFFSET('HARGA SATUAN'!$D$6,MATCH(RAB!C419,'HARGA SATUAN'!$C$7:$C$1492,0),0))</f>
        <v>HDW</v>
      </c>
      <c r="E419" s="356" t="str">
        <f ca="1">IF(B419="+","Unit",IF(ISERROR(OFFSET('HARGA SATUAN'!$E$6,MATCH(RAB!C419,'HARGA SATUAN'!$C$7:$C$1492,0),0)),"",OFFSET('HARGA SATUAN'!$E$6,MATCH(RAB!C419,'HARGA SATUAN'!$C$7:$C$1492,0),0)))</f>
        <v>Bh</v>
      </c>
      <c r="F419" s="494">
        <f>F407*5</f>
        <v>5</v>
      </c>
      <c r="G419" s="357">
        <f ca="1">IF(ISERROR(OFFSET('HARGA SATUAN'!$I$6,MATCH(RAB!C419,'HARGA SATUAN'!$C$7:$C$1492,0),0)),0,OFFSET('HARGA SATUAN'!$I$6,MATCH(RAB!C419,'HARGA SATUAN'!$C$7:$C$1492,0),0))</f>
        <v>283100</v>
      </c>
      <c r="H419" s="358">
        <f t="shared" ca="1" si="92"/>
        <v>0</v>
      </c>
      <c r="I419" s="358">
        <f t="shared" ca="1" si="93"/>
        <v>1415500</v>
      </c>
      <c r="J419" s="358">
        <f t="shared" ca="1" si="94"/>
        <v>0</v>
      </c>
      <c r="K419" s="359">
        <f t="shared" ca="1" si="95"/>
        <v>1415500</v>
      </c>
    </row>
    <row r="420" spans="2:11">
      <c r="B420" s="532">
        <v>11</v>
      </c>
      <c r="C420" s="533" t="s">
        <v>593</v>
      </c>
      <c r="D420" s="355" t="str">
        <f ca="1">IF(ISERROR(OFFSET('HARGA SATUAN'!$D$6,MATCH(RAB!C420,'HARGA SATUAN'!$C$7:$C$1492,0),0)),"",OFFSET('HARGA SATUAN'!$D$6,MATCH(RAB!C420,'HARGA SATUAN'!$C$7:$C$1492,0),0))</f>
        <v>HDW</v>
      </c>
      <c r="E420" s="356" t="str">
        <f ca="1">IF(B420="+","Unit",IF(ISERROR(OFFSET('HARGA SATUAN'!$E$6,MATCH(RAB!C420,'HARGA SATUAN'!$C$7:$C$1492,0),0)),"",OFFSET('HARGA SATUAN'!$E$6,MATCH(RAB!C420,'HARGA SATUAN'!$C$7:$C$1492,0),0)))</f>
        <v>Bh</v>
      </c>
      <c r="F420" s="494">
        <f>F407*4</f>
        <v>4</v>
      </c>
      <c r="G420" s="357">
        <f ca="1">IF(ISERROR(OFFSET('HARGA SATUAN'!$I$6,MATCH(RAB!C420,'HARGA SATUAN'!$C$7:$C$1492,0),0)),0,OFFSET('HARGA SATUAN'!$I$6,MATCH(RAB!C420,'HARGA SATUAN'!$C$7:$C$1492,0),0))</f>
        <v>380500</v>
      </c>
      <c r="H420" s="358">
        <f t="shared" ca="1" si="92"/>
        <v>0</v>
      </c>
      <c r="I420" s="358">
        <f t="shared" ca="1" si="93"/>
        <v>1522000</v>
      </c>
      <c r="J420" s="358">
        <f t="shared" ca="1" si="94"/>
        <v>0</v>
      </c>
      <c r="K420" s="359">
        <f t="shared" ca="1" si="95"/>
        <v>1522000</v>
      </c>
    </row>
    <row r="421" spans="2:11">
      <c r="B421" s="532">
        <v>12</v>
      </c>
      <c r="C421" s="533" t="s">
        <v>208</v>
      </c>
      <c r="D421" s="355" t="str">
        <f ca="1">IF(ISERROR(OFFSET('HARGA SATUAN'!$D$6,MATCH(RAB!C421,'HARGA SATUAN'!$C$7:$C$1492,0),0)),"",OFFSET('HARGA SATUAN'!$D$6,MATCH(RAB!C421,'HARGA SATUAN'!$C$7:$C$1492,0),0))</f>
        <v>HDW</v>
      </c>
      <c r="E421" s="356" t="str">
        <f ca="1">IF(B421="+","Unit",IF(ISERROR(OFFSET('HARGA SATUAN'!$E$6,MATCH(RAB!C421,'HARGA SATUAN'!$C$7:$C$1492,0),0)),"",OFFSET('HARGA SATUAN'!$E$6,MATCH(RAB!C421,'HARGA SATUAN'!$C$7:$C$1492,0),0)))</f>
        <v>Bh</v>
      </c>
      <c r="F421" s="494">
        <f>F407*3</f>
        <v>3</v>
      </c>
      <c r="G421" s="357">
        <f ca="1">IF(ISERROR(OFFSET('HARGA SATUAN'!$I$6,MATCH(RAB!C421,'HARGA SATUAN'!$C$7:$C$1492,0),0)),0,OFFSET('HARGA SATUAN'!$I$6,MATCH(RAB!C421,'HARGA SATUAN'!$C$7:$C$1492,0),0))</f>
        <v>173400</v>
      </c>
      <c r="H421" s="358">
        <f t="shared" ca="1" si="92"/>
        <v>0</v>
      </c>
      <c r="I421" s="358">
        <f t="shared" ca="1" si="93"/>
        <v>520200</v>
      </c>
      <c r="J421" s="358">
        <f t="shared" ca="1" si="94"/>
        <v>0</v>
      </c>
      <c r="K421" s="359">
        <f t="shared" ca="1" si="95"/>
        <v>520200</v>
      </c>
    </row>
    <row r="422" spans="2:11">
      <c r="B422" s="532">
        <v>13</v>
      </c>
      <c r="C422" s="533" t="s">
        <v>247</v>
      </c>
      <c r="D422" s="355" t="str">
        <f ca="1">IF(ISERROR(OFFSET('HARGA SATUAN'!$D$6,MATCH(RAB!C422,'HARGA SATUAN'!$C$7:$C$1492,0),0)),"",OFFSET('HARGA SATUAN'!$D$6,MATCH(RAB!C422,'HARGA SATUAN'!$C$7:$C$1492,0),0))</f>
        <v>HDW</v>
      </c>
      <c r="E422" s="356" t="str">
        <f ca="1">IF(B422="+","Unit",IF(ISERROR(OFFSET('HARGA SATUAN'!$E$6,MATCH(RAB!C422,'HARGA SATUAN'!$C$7:$C$1492,0),0)),"",OFFSET('HARGA SATUAN'!$E$6,MATCH(RAB!C422,'HARGA SATUAN'!$C$7:$C$1492,0),0)))</f>
        <v>Bh</v>
      </c>
      <c r="F422" s="494">
        <f>F407*1</f>
        <v>1</v>
      </c>
      <c r="G422" s="357">
        <f ca="1">IF(ISERROR(OFFSET('HARGA SATUAN'!$I$6,MATCH(RAB!C422,'HARGA SATUAN'!$C$7:$C$1492,0),0)),0,OFFSET('HARGA SATUAN'!$I$6,MATCH(RAB!C422,'HARGA SATUAN'!$C$7:$C$1492,0),0))</f>
        <v>57690</v>
      </c>
      <c r="H422" s="358">
        <f t="shared" ca="1" si="92"/>
        <v>0</v>
      </c>
      <c r="I422" s="358">
        <f t="shared" ca="1" si="93"/>
        <v>57690</v>
      </c>
      <c r="J422" s="358">
        <f t="shared" ca="1" si="94"/>
        <v>0</v>
      </c>
      <c r="K422" s="359">
        <f t="shared" ca="1" si="95"/>
        <v>57690</v>
      </c>
    </row>
    <row r="423" spans="2:11">
      <c r="B423" s="532">
        <v>14</v>
      </c>
      <c r="C423" s="533" t="s">
        <v>234</v>
      </c>
      <c r="D423" s="355" t="str">
        <f ca="1">IF(ISERROR(OFFSET('HARGA SATUAN'!$D$6,MATCH(RAB!C423,'HARGA SATUAN'!$C$7:$C$1492,0),0)),"",OFFSET('HARGA SATUAN'!$D$6,MATCH(RAB!C423,'HARGA SATUAN'!$C$7:$C$1492,0),0))</f>
        <v>HDW</v>
      </c>
      <c r="E423" s="356" t="str">
        <f ca="1">IF(B423="+","Unit",IF(ISERROR(OFFSET('HARGA SATUAN'!$E$6,MATCH(RAB!C423,'HARGA SATUAN'!$C$7:$C$1492,0),0)),"",OFFSET('HARGA SATUAN'!$E$6,MATCH(RAB!C423,'HARGA SATUAN'!$C$7:$C$1492,0),0)))</f>
        <v>Bh</v>
      </c>
      <c r="F423" s="494">
        <f>F407*2</f>
        <v>2</v>
      </c>
      <c r="G423" s="357">
        <f ca="1">IF(ISERROR(OFFSET('HARGA SATUAN'!$I$6,MATCH(RAB!C423,'HARGA SATUAN'!$C$7:$C$1492,0),0)),0,OFFSET('HARGA SATUAN'!$I$6,MATCH(RAB!C423,'HARGA SATUAN'!$C$7:$C$1492,0),0))</f>
        <v>67500</v>
      </c>
      <c r="H423" s="358">
        <f t="shared" ca="1" si="92"/>
        <v>0</v>
      </c>
      <c r="I423" s="358">
        <f t="shared" ca="1" si="93"/>
        <v>135000</v>
      </c>
      <c r="J423" s="358">
        <f t="shared" ca="1" si="94"/>
        <v>0</v>
      </c>
      <c r="K423" s="359">
        <f t="shared" ca="1" si="95"/>
        <v>135000</v>
      </c>
    </row>
    <row r="424" spans="2:11">
      <c r="B424" s="532">
        <v>15</v>
      </c>
      <c r="C424" s="533" t="s">
        <v>267</v>
      </c>
      <c r="D424" s="355" t="str">
        <f ca="1">IF(ISERROR(OFFSET('HARGA SATUAN'!$D$6,MATCH(RAB!C424,'HARGA SATUAN'!$C$7:$C$1492,0),0)),"",OFFSET('HARGA SATUAN'!$D$6,MATCH(RAB!C424,'HARGA SATUAN'!$C$7:$C$1492,0),0))</f>
        <v>HDW</v>
      </c>
      <c r="E424" s="356" t="str">
        <f ca="1">IF(B424="+","Unit",IF(ISERROR(OFFSET('HARGA SATUAN'!$E$6,MATCH(RAB!C424,'HARGA SATUAN'!$C$7:$C$1492,0),0)),"",OFFSET('HARGA SATUAN'!$E$6,MATCH(RAB!C424,'HARGA SATUAN'!$C$7:$C$1492,0),0)))</f>
        <v>Bh</v>
      </c>
      <c r="F424" s="494">
        <f>F407*2</f>
        <v>2</v>
      </c>
      <c r="G424" s="357">
        <f ca="1">IF(ISERROR(OFFSET('HARGA SATUAN'!$I$6,MATCH(RAB!C424,'HARGA SATUAN'!$C$7:$C$1492,0),0)),0,OFFSET('HARGA SATUAN'!$I$6,MATCH(RAB!C424,'HARGA SATUAN'!$C$7:$C$1492,0),0))</f>
        <v>129000</v>
      </c>
      <c r="H424" s="358">
        <f t="shared" ca="1" si="92"/>
        <v>0</v>
      </c>
      <c r="I424" s="358">
        <f t="shared" ca="1" si="93"/>
        <v>258000</v>
      </c>
      <c r="J424" s="358">
        <f t="shared" ca="1" si="94"/>
        <v>0</v>
      </c>
      <c r="K424" s="359">
        <f t="shared" ca="1" si="95"/>
        <v>258000</v>
      </c>
    </row>
    <row r="425" spans="2:11">
      <c r="B425" s="532">
        <v>16</v>
      </c>
      <c r="C425" s="533" t="s">
        <v>607</v>
      </c>
      <c r="D425" s="355" t="str">
        <f ca="1">IF(ISERROR(OFFSET('HARGA SATUAN'!$D$6,MATCH(RAB!C425,'HARGA SATUAN'!$C$7:$C$1492,0),0)),"",OFFSET('HARGA SATUAN'!$D$6,MATCH(RAB!C425,'HARGA SATUAN'!$C$7:$C$1492,0),0))</f>
        <v>HDW</v>
      </c>
      <c r="E425" s="356" t="str">
        <f ca="1">IF(B425="+","Unit",IF(ISERROR(OFFSET('HARGA SATUAN'!$E$6,MATCH(RAB!C425,'HARGA SATUAN'!$C$7:$C$1492,0),0)),"",OFFSET('HARGA SATUAN'!$E$6,MATCH(RAB!C425,'HARGA SATUAN'!$C$7:$C$1492,0),0)))</f>
        <v>Bh</v>
      </c>
      <c r="F425" s="494">
        <f>F407*4</f>
        <v>4</v>
      </c>
      <c r="G425" s="357">
        <f ca="1">IF(ISERROR(OFFSET('HARGA SATUAN'!$I$6,MATCH(RAB!C425,'HARGA SATUAN'!$C$7:$C$1492,0),0)),0,OFFSET('HARGA SATUAN'!$I$6,MATCH(RAB!C425,'HARGA SATUAN'!$C$7:$C$1492,0),0))</f>
        <v>250000</v>
      </c>
      <c r="H425" s="358">
        <f t="shared" ca="1" si="92"/>
        <v>0</v>
      </c>
      <c r="I425" s="358">
        <f t="shared" ca="1" si="93"/>
        <v>1000000</v>
      </c>
      <c r="J425" s="358">
        <f t="shared" ca="1" si="94"/>
        <v>0</v>
      </c>
      <c r="K425" s="359">
        <f t="shared" ca="1" si="95"/>
        <v>1000000</v>
      </c>
    </row>
    <row r="426" spans="2:11">
      <c r="B426" s="532">
        <v>17</v>
      </c>
      <c r="C426" s="533" t="s">
        <v>784</v>
      </c>
      <c r="D426" s="355" t="str">
        <f ca="1">IF(ISERROR(OFFSET('HARGA SATUAN'!$D$6,MATCH(RAB!C426,'HARGA SATUAN'!$C$7:$C$1492,0),0)),"",OFFSET('HARGA SATUAN'!$D$6,MATCH(RAB!C426,'HARGA SATUAN'!$C$7:$C$1492,0),0))</f>
        <v>JASA</v>
      </c>
      <c r="E426" s="356" t="str">
        <f ca="1">IF(B426="+","Unit",IF(ISERROR(OFFSET('HARGA SATUAN'!$E$6,MATCH(RAB!C426,'HARGA SATUAN'!$C$7:$C$1492,0),0)),"",OFFSET('HARGA SATUAN'!$E$6,MATCH(RAB!C426,'HARGA SATUAN'!$C$7:$C$1492,0),0)))</f>
        <v>Unit</v>
      </c>
      <c r="F426" s="494">
        <f>F407*1</f>
        <v>1</v>
      </c>
      <c r="G426" s="357">
        <f ca="1">IF(ISERROR(OFFSET('HARGA SATUAN'!$I$6,MATCH(RAB!C426,'HARGA SATUAN'!$C$7:$C$1492,0),0)),0,OFFSET('HARGA SATUAN'!$I$6,MATCH(RAB!C426,'HARGA SATUAN'!$C$7:$C$1492,0),0))</f>
        <v>2953300</v>
      </c>
      <c r="H426" s="358">
        <f t="shared" ca="1" si="92"/>
        <v>0</v>
      </c>
      <c r="I426" s="358">
        <f t="shared" ca="1" si="93"/>
        <v>0</v>
      </c>
      <c r="J426" s="358">
        <f t="shared" ca="1" si="94"/>
        <v>2953300</v>
      </c>
      <c r="K426" s="359">
        <f t="shared" ca="1" si="95"/>
        <v>2953300</v>
      </c>
    </row>
    <row r="427" spans="2:11">
      <c r="B427" s="501"/>
      <c r="C427" s="109"/>
      <c r="D427" s="355" t="str">
        <f ca="1">IF(ISERROR(OFFSET('HARGA SATUAN'!$D$6,MATCH(RAB!C427,'HARGA SATUAN'!$C$7:$C$1492,0),0)),"",OFFSET('HARGA SATUAN'!$D$6,MATCH(RAB!C427,'HARGA SATUAN'!$C$7:$C$1492,0),0))</f>
        <v/>
      </c>
      <c r="E427" s="356" t="str">
        <f ca="1">IF(B427="+","Unit",IF(ISERROR(OFFSET('HARGA SATUAN'!$E$6,MATCH(RAB!C427,'HARGA SATUAN'!$C$7:$C$1492,0),0)),"",OFFSET('HARGA SATUAN'!$E$6,MATCH(RAB!C427,'HARGA SATUAN'!$C$7:$C$1492,0),0)))</f>
        <v/>
      </c>
      <c r="F427" s="494"/>
      <c r="G427" s="357">
        <f ca="1">IF(ISERROR(OFFSET('HARGA SATUAN'!$I$6,MATCH(RAB!C427,'HARGA SATUAN'!$C$7:$C$1492,0),0)),0,OFFSET('HARGA SATUAN'!$I$6,MATCH(RAB!C427,'HARGA SATUAN'!$C$7:$C$1492,0),0))</f>
        <v>0</v>
      </c>
      <c r="H427" s="358">
        <f ca="1">IF(OR(D427="MDU",D427="MDU-KD"),(IF($O$3="RAB NON MDU","PLN KD",G427*F427)),0)</f>
        <v>0</v>
      </c>
      <c r="I427" s="358">
        <f ca="1">IF(D427="HDW",G427*F427,0)</f>
        <v>0</v>
      </c>
      <c r="J427" s="358">
        <f ca="1">IF(D427="JASA",G427*F427,0)</f>
        <v>0</v>
      </c>
      <c r="K427" s="359">
        <f ca="1">SUM(H427:J427)</f>
        <v>0</v>
      </c>
    </row>
    <row r="428" spans="2:11">
      <c r="B428" s="496" t="s">
        <v>1035</v>
      </c>
      <c r="C428" s="497" t="s">
        <v>1619</v>
      </c>
      <c r="D428" s="355" t="str">
        <f ca="1">IF(ISERROR(OFFSET('HARGA SATUAN'!$D$6,MATCH(RAB!C428,'HARGA SATUAN'!$C$7:$C$1492,0),0)),"",OFFSET('HARGA SATUAN'!$D$6,MATCH(RAB!C428,'HARGA SATUAN'!$C$7:$C$1492,0),0))</f>
        <v/>
      </c>
      <c r="E428" s="356" t="str">
        <f ca="1">IF(B428="+","Unit",IF(ISERROR(OFFSET('HARGA SATUAN'!$E$6,MATCH(RAB!C428,'HARGA SATUAN'!$C$7:$C$1492,0),0)),"",OFFSET('HARGA SATUAN'!$E$6,MATCH(RAB!C428,'HARGA SATUAN'!$C$7:$C$1492,0),0)))</f>
        <v>Unit</v>
      </c>
      <c r="F428" s="494">
        <v>2</v>
      </c>
      <c r="G428" s="357">
        <f ca="1">IF(ISERROR(OFFSET('HARGA SATUAN'!$I$6,MATCH(RAB!C428,'HARGA SATUAN'!$C$7:$C$1492,0),0)),0,OFFSET('HARGA SATUAN'!$I$6,MATCH(RAB!C428,'HARGA SATUAN'!$C$7:$C$1492,0),0))</f>
        <v>0</v>
      </c>
      <c r="H428" s="358">
        <f t="shared" ref="H428:H438" ca="1" si="96">IF(OR(D428="MDU",D428="MDU-KD"),(IF($O$3="RAB NON MDU","PLN KD",G428*F428)),0)</f>
        <v>0</v>
      </c>
      <c r="I428" s="358">
        <f t="shared" ref="I428:I438" ca="1" si="97">IF(D428="HDW",G428*F428,0)</f>
        <v>0</v>
      </c>
      <c r="J428" s="358">
        <f t="shared" ref="J428:J438" ca="1" si="98">IF(D428="JASA",G428*F428,0)</f>
        <v>0</v>
      </c>
      <c r="K428" s="359">
        <f t="shared" ref="K428:K438" ca="1" si="99">SUM(H428:J428)</f>
        <v>0</v>
      </c>
    </row>
    <row r="429" spans="2:11">
      <c r="B429" s="496">
        <v>1</v>
      </c>
      <c r="C429" s="498" t="s">
        <v>29</v>
      </c>
      <c r="D429" s="355" t="str">
        <f ca="1">IF(ISERROR(OFFSET('HARGA SATUAN'!$D$6,MATCH(RAB!C429,'HARGA SATUAN'!$C$7:$C$1492,0),0)),"",OFFSET('HARGA SATUAN'!$D$6,MATCH(RAB!C429,'HARGA SATUAN'!$C$7:$C$1492,0),0))</f>
        <v>HDW</v>
      </c>
      <c r="E429" s="356" t="str">
        <f ca="1">IF(B429="+","Unit",IF(ISERROR(OFFSET('HARGA SATUAN'!$E$6,MATCH(RAB!C429,'HARGA SATUAN'!$C$7:$C$1492,0),0)),"",OFFSET('HARGA SATUAN'!$E$6,MATCH(RAB!C429,'HARGA SATUAN'!$C$7:$C$1492,0),0)))</f>
        <v>Bh</v>
      </c>
      <c r="F429" s="494">
        <f>F428*1</f>
        <v>2</v>
      </c>
      <c r="G429" s="357">
        <f ca="1">IF(ISERROR(OFFSET('HARGA SATUAN'!$I$6,MATCH(RAB!C429,'HARGA SATUAN'!$C$7:$C$1492,0),0)),0,OFFSET('HARGA SATUAN'!$I$6,MATCH(RAB!C429,'HARGA SATUAN'!$C$7:$C$1492,0),0))</f>
        <v>185200</v>
      </c>
      <c r="H429" s="358">
        <f t="shared" ca="1" si="96"/>
        <v>0</v>
      </c>
      <c r="I429" s="358">
        <f t="shared" ca="1" si="97"/>
        <v>370400</v>
      </c>
      <c r="J429" s="358">
        <f t="shared" ca="1" si="98"/>
        <v>0</v>
      </c>
      <c r="K429" s="359">
        <f t="shared" ca="1" si="99"/>
        <v>370400</v>
      </c>
    </row>
    <row r="430" spans="2:11">
      <c r="B430" s="491">
        <v>2</v>
      </c>
      <c r="C430" s="492" t="s">
        <v>30</v>
      </c>
      <c r="D430" s="355" t="str">
        <f ca="1">IF(ISERROR(OFFSET('HARGA SATUAN'!$D$6,MATCH(RAB!C430,'HARGA SATUAN'!$C$7:$C$1492,0),0)),"",OFFSET('HARGA SATUAN'!$D$6,MATCH(RAB!C430,'HARGA SATUAN'!$C$7:$C$1492,0),0))</f>
        <v>HDW</v>
      </c>
      <c r="E430" s="356" t="str">
        <f ca="1">IF(B430="+","Unit",IF(ISERROR(OFFSET('HARGA SATUAN'!$E$6,MATCH(RAB!C430,'HARGA SATUAN'!$C$7:$C$1492,0),0)),"",OFFSET('HARGA SATUAN'!$E$6,MATCH(RAB!C430,'HARGA SATUAN'!$C$7:$C$1492,0),0)))</f>
        <v>Bh</v>
      </c>
      <c r="F430" s="494">
        <f>F428*1</f>
        <v>2</v>
      </c>
      <c r="G430" s="357">
        <f ca="1">IF(ISERROR(OFFSET('HARGA SATUAN'!$I$6,MATCH(RAB!C430,'HARGA SATUAN'!$C$7:$C$1492,0),0)),0,OFFSET('HARGA SATUAN'!$I$6,MATCH(RAB!C430,'HARGA SATUAN'!$C$7:$C$1492,0),0))</f>
        <v>47459</v>
      </c>
      <c r="H430" s="358">
        <f t="shared" ca="1" si="96"/>
        <v>0</v>
      </c>
      <c r="I430" s="358">
        <f t="shared" ca="1" si="97"/>
        <v>94918</v>
      </c>
      <c r="J430" s="358">
        <f t="shared" ca="1" si="98"/>
        <v>0</v>
      </c>
      <c r="K430" s="359">
        <f t="shared" ca="1" si="99"/>
        <v>94918</v>
      </c>
    </row>
    <row r="431" spans="2:11">
      <c r="B431" s="491">
        <v>3</v>
      </c>
      <c r="C431" s="492" t="s">
        <v>31</v>
      </c>
      <c r="D431" s="355" t="str">
        <f ca="1">IF(ISERROR(OFFSET('HARGA SATUAN'!$D$6,MATCH(RAB!C431,'HARGA SATUAN'!$C$7:$C$1492,0),0)),"",OFFSET('HARGA SATUAN'!$D$6,MATCH(RAB!C431,'HARGA SATUAN'!$C$7:$C$1492,0),0))</f>
        <v>HDW</v>
      </c>
      <c r="E431" s="356" t="str">
        <f ca="1">IF(B431="+","Unit",IF(ISERROR(OFFSET('HARGA SATUAN'!$E$6,MATCH(RAB!C431,'HARGA SATUAN'!$C$7:$C$1492,0),0)),"",OFFSET('HARGA SATUAN'!$E$6,MATCH(RAB!C431,'HARGA SATUAN'!$C$7:$C$1492,0),0)))</f>
        <v>Bh</v>
      </c>
      <c r="F431" s="494">
        <f>F428*1</f>
        <v>2</v>
      </c>
      <c r="G431" s="357">
        <f ca="1">IF(ISERROR(OFFSET('HARGA SATUAN'!$I$6,MATCH(RAB!C431,'HARGA SATUAN'!$C$7:$C$1492,0),0)),0,OFFSET('HARGA SATUAN'!$I$6,MATCH(RAB!C431,'HARGA SATUAN'!$C$7:$C$1492,0),0))</f>
        <v>4880</v>
      </c>
      <c r="H431" s="358">
        <f t="shared" ca="1" si="96"/>
        <v>0</v>
      </c>
      <c r="I431" s="358">
        <f t="shared" ca="1" si="97"/>
        <v>9760</v>
      </c>
      <c r="J431" s="358">
        <f t="shared" ca="1" si="98"/>
        <v>0</v>
      </c>
      <c r="K431" s="359">
        <f t="shared" ca="1" si="99"/>
        <v>9760</v>
      </c>
    </row>
    <row r="432" spans="2:11">
      <c r="B432" s="491">
        <v>4</v>
      </c>
      <c r="C432" s="492" t="s">
        <v>32</v>
      </c>
      <c r="D432" s="355" t="str">
        <f ca="1">IF(ISERROR(OFFSET('HARGA SATUAN'!$D$6,MATCH(RAB!C432,'HARGA SATUAN'!$C$7:$C$1492,0),0)),"",OFFSET('HARGA SATUAN'!$D$6,MATCH(RAB!C432,'HARGA SATUAN'!$C$7:$C$1492,0),0))</f>
        <v>HDW</v>
      </c>
      <c r="E432" s="356" t="str">
        <f ca="1">IF(B432="+","Unit",IF(ISERROR(OFFSET('HARGA SATUAN'!$E$6,MATCH(RAB!C432,'HARGA SATUAN'!$C$7:$C$1492,0),0)),"",OFFSET('HARGA SATUAN'!$E$6,MATCH(RAB!C432,'HARGA SATUAN'!$C$7:$C$1492,0),0)))</f>
        <v>Mtr</v>
      </c>
      <c r="F432" s="494">
        <f>F428*10</f>
        <v>20</v>
      </c>
      <c r="G432" s="357">
        <f ca="1">IF(ISERROR(OFFSET('HARGA SATUAN'!$I$6,MATCH(RAB!C432,'HARGA SATUAN'!$C$7:$C$1492,0),0)),0,OFFSET('HARGA SATUAN'!$I$6,MATCH(RAB!C432,'HARGA SATUAN'!$C$7:$C$1492,0),0))</f>
        <v>30000</v>
      </c>
      <c r="H432" s="358">
        <f t="shared" ca="1" si="96"/>
        <v>0</v>
      </c>
      <c r="I432" s="358">
        <f t="shared" ca="1" si="97"/>
        <v>600000</v>
      </c>
      <c r="J432" s="358">
        <f t="shared" ca="1" si="98"/>
        <v>0</v>
      </c>
      <c r="K432" s="359">
        <f t="shared" ca="1" si="99"/>
        <v>600000</v>
      </c>
    </row>
    <row r="433" spans="2:11">
      <c r="B433" s="491">
        <v>5</v>
      </c>
      <c r="C433" s="492" t="s">
        <v>33</v>
      </c>
      <c r="D433" s="355" t="str">
        <f ca="1">IF(ISERROR(OFFSET('HARGA SATUAN'!$D$6,MATCH(RAB!C433,'HARGA SATUAN'!$C$7:$C$1492,0),0)),"",OFFSET('HARGA SATUAN'!$D$6,MATCH(RAB!C433,'HARGA SATUAN'!$C$7:$C$1492,0),0))</f>
        <v>HDW</v>
      </c>
      <c r="E433" s="356" t="str">
        <f ca="1">IF(B433="+","Unit",IF(ISERROR(OFFSET('HARGA SATUAN'!$E$6,MATCH(RAB!C433,'HARGA SATUAN'!$C$7:$C$1492,0),0)),"",OFFSET('HARGA SATUAN'!$E$6,MATCH(RAB!C433,'HARGA SATUAN'!$C$7:$C$1492,0),0)))</f>
        <v>Bh</v>
      </c>
      <c r="F433" s="494">
        <f>F428*2</f>
        <v>4</v>
      </c>
      <c r="G433" s="357">
        <f ca="1">IF(ISERROR(OFFSET('HARGA SATUAN'!$I$6,MATCH(RAB!C433,'HARGA SATUAN'!$C$7:$C$1492,0),0)),0,OFFSET('HARGA SATUAN'!$I$6,MATCH(RAB!C433,'HARGA SATUAN'!$C$7:$C$1492,0),0))</f>
        <v>9500</v>
      </c>
      <c r="H433" s="358">
        <f t="shared" ca="1" si="96"/>
        <v>0</v>
      </c>
      <c r="I433" s="358">
        <f t="shared" ca="1" si="97"/>
        <v>38000</v>
      </c>
      <c r="J433" s="358">
        <f t="shared" ca="1" si="98"/>
        <v>0</v>
      </c>
      <c r="K433" s="359">
        <f t="shared" ca="1" si="99"/>
        <v>38000</v>
      </c>
    </row>
    <row r="434" spans="2:11">
      <c r="B434" s="491">
        <v>6</v>
      </c>
      <c r="C434" s="492" t="s">
        <v>34</v>
      </c>
      <c r="D434" s="355" t="str">
        <f ca="1">IF(ISERROR(OFFSET('HARGA SATUAN'!$D$6,MATCH(RAB!C434,'HARGA SATUAN'!$C$7:$C$1492,0),0)),"",OFFSET('HARGA SATUAN'!$D$6,MATCH(RAB!C434,'HARGA SATUAN'!$C$7:$C$1492,0),0))</f>
        <v>HDW</v>
      </c>
      <c r="E434" s="356" t="str">
        <f ca="1">IF(B434="+","Unit",IF(ISERROR(OFFSET('HARGA SATUAN'!$E$6,MATCH(RAB!C434,'HARGA SATUAN'!$C$7:$C$1492,0),0)),"",OFFSET('HARGA SATUAN'!$E$6,MATCH(RAB!C434,'HARGA SATUAN'!$C$7:$C$1492,0),0)))</f>
        <v>Bh</v>
      </c>
      <c r="F434" s="494">
        <f>F428*5.5</f>
        <v>11</v>
      </c>
      <c r="G434" s="357">
        <f ca="1">IF(ISERROR(OFFSET('HARGA SATUAN'!$I$6,MATCH(RAB!C434,'HARGA SATUAN'!$C$7:$C$1492,0),0)),0,OFFSET('HARGA SATUAN'!$I$6,MATCH(RAB!C434,'HARGA SATUAN'!$C$7:$C$1492,0),0))</f>
        <v>6100</v>
      </c>
      <c r="H434" s="358">
        <f t="shared" ca="1" si="96"/>
        <v>0</v>
      </c>
      <c r="I434" s="358">
        <f t="shared" ca="1" si="97"/>
        <v>67100</v>
      </c>
      <c r="J434" s="358">
        <f t="shared" ca="1" si="98"/>
        <v>0</v>
      </c>
      <c r="K434" s="359">
        <f t="shared" ca="1" si="99"/>
        <v>67100</v>
      </c>
    </row>
    <row r="435" spans="2:11">
      <c r="B435" s="491">
        <v>7</v>
      </c>
      <c r="C435" s="492" t="s">
        <v>35</v>
      </c>
      <c r="D435" s="355" t="str">
        <f ca="1">IF(ISERROR(OFFSET('HARGA SATUAN'!$D$6,MATCH(RAB!C435,'HARGA SATUAN'!$C$7:$C$1492,0),0)),"",OFFSET('HARGA SATUAN'!$D$6,MATCH(RAB!C435,'HARGA SATUAN'!$C$7:$C$1492,0),0))</f>
        <v>HDW</v>
      </c>
      <c r="E435" s="356" t="str">
        <f ca="1">IF(B435="+","Unit",IF(ISERROR(OFFSET('HARGA SATUAN'!$E$6,MATCH(RAB!C435,'HARGA SATUAN'!$C$7:$C$1492,0),0)),"",OFFSET('HARGA SATUAN'!$E$6,MATCH(RAB!C435,'HARGA SATUAN'!$C$7:$C$1492,0),0)))</f>
        <v>Bh</v>
      </c>
      <c r="F435" s="494">
        <f>F428*6</f>
        <v>12</v>
      </c>
      <c r="G435" s="357">
        <f ca="1">IF(ISERROR(OFFSET('HARGA SATUAN'!$I$6,MATCH(RAB!C435,'HARGA SATUAN'!$C$7:$C$1492,0),0)),0,OFFSET('HARGA SATUAN'!$I$6,MATCH(RAB!C435,'HARGA SATUAN'!$C$7:$C$1492,0),0))</f>
        <v>2300</v>
      </c>
      <c r="H435" s="358">
        <f t="shared" ca="1" si="96"/>
        <v>0</v>
      </c>
      <c r="I435" s="358">
        <f t="shared" ca="1" si="97"/>
        <v>27600</v>
      </c>
      <c r="J435" s="358">
        <f t="shared" ca="1" si="98"/>
        <v>0</v>
      </c>
      <c r="K435" s="359">
        <f t="shared" ca="1" si="99"/>
        <v>27600</v>
      </c>
    </row>
    <row r="436" spans="2:11">
      <c r="B436" s="491">
        <v>8</v>
      </c>
      <c r="C436" s="492" t="s">
        <v>1620</v>
      </c>
      <c r="D436" s="355" t="str">
        <f ca="1">IF(ISERROR(OFFSET('HARGA SATUAN'!$D$6,MATCH(RAB!C436,'HARGA SATUAN'!$C$7:$C$1492,0),0)),"",OFFSET('HARGA SATUAN'!$D$6,MATCH(RAB!C436,'HARGA SATUAN'!$C$7:$C$1492,0),0))</f>
        <v>HDW</v>
      </c>
      <c r="E436" s="356" t="str">
        <f ca="1">IF(B436="+","Unit",IF(ISERROR(OFFSET('HARGA SATUAN'!$E$6,MATCH(RAB!C436,'HARGA SATUAN'!$C$7:$C$1492,0),0)),"",OFFSET('HARGA SATUAN'!$E$6,MATCH(RAB!C436,'HARGA SATUAN'!$C$7:$C$1492,0),0)))</f>
        <v>Mtr</v>
      </c>
      <c r="F436" s="494">
        <f>F428*4.8</f>
        <v>9.6</v>
      </c>
      <c r="G436" s="357">
        <f ca="1">IF(ISERROR(OFFSET('HARGA SATUAN'!$I$6,MATCH(RAB!C436,'HARGA SATUAN'!$C$7:$C$1492,0),0)),0,OFFSET('HARGA SATUAN'!$I$6,MATCH(RAB!C436,'HARGA SATUAN'!$C$7:$C$1492,0),0))</f>
        <v>23310</v>
      </c>
      <c r="H436" s="358">
        <f t="shared" ca="1" si="96"/>
        <v>0</v>
      </c>
      <c r="I436" s="358">
        <f t="shared" ca="1" si="97"/>
        <v>223776</v>
      </c>
      <c r="J436" s="358">
        <f t="shared" ca="1" si="98"/>
        <v>0</v>
      </c>
      <c r="K436" s="359">
        <f t="shared" ca="1" si="99"/>
        <v>223776</v>
      </c>
    </row>
    <row r="437" spans="2:11">
      <c r="B437" s="491">
        <v>9</v>
      </c>
      <c r="C437" s="492" t="s">
        <v>736</v>
      </c>
      <c r="D437" s="355" t="str">
        <f ca="1">IF(ISERROR(OFFSET('HARGA SATUAN'!$D$6,MATCH(RAB!C437,'HARGA SATUAN'!$C$7:$C$1492,0),0)),"",OFFSET('HARGA SATUAN'!$D$6,MATCH(RAB!C437,'HARGA SATUAN'!$C$7:$C$1492,0),0))</f>
        <v>JASA</v>
      </c>
      <c r="E437" s="356" t="str">
        <f ca="1">IF(B437="+","Unit",IF(ISERROR(OFFSET('HARGA SATUAN'!$E$6,MATCH(RAB!C437,'HARGA SATUAN'!$C$7:$C$1492,0),0)),"",OFFSET('HARGA SATUAN'!$E$6,MATCH(RAB!C437,'HARGA SATUAN'!$C$7:$C$1492,0),0)))</f>
        <v>Unit</v>
      </c>
      <c r="F437" s="494">
        <f>F428*1</f>
        <v>2</v>
      </c>
      <c r="G437" s="357">
        <f ca="1">IF(ISERROR(OFFSET('HARGA SATUAN'!$I$6,MATCH(RAB!C437,'HARGA SATUAN'!$C$7:$C$1492,0),0)),0,OFFSET('HARGA SATUAN'!$I$6,MATCH(RAB!C437,'HARGA SATUAN'!$C$7:$C$1492,0),0))</f>
        <v>65400</v>
      </c>
      <c r="H437" s="358">
        <f t="shared" ca="1" si="96"/>
        <v>0</v>
      </c>
      <c r="I437" s="358">
        <f t="shared" ca="1" si="97"/>
        <v>0</v>
      </c>
      <c r="J437" s="358">
        <f t="shared" ca="1" si="98"/>
        <v>130800</v>
      </c>
      <c r="K437" s="359">
        <f t="shared" ca="1" si="99"/>
        <v>130800</v>
      </c>
    </row>
    <row r="438" spans="2:11">
      <c r="B438" s="487"/>
      <c r="C438" s="490"/>
      <c r="D438" s="355" t="str">
        <f ca="1">IF(ISERROR(OFFSET('HARGA SATUAN'!$D$6,MATCH(RAB!C438,'HARGA SATUAN'!$C$7:$C$1492,0),0)),"",OFFSET('HARGA SATUAN'!$D$6,MATCH(RAB!C438,'HARGA SATUAN'!$C$7:$C$1492,0),0))</f>
        <v/>
      </c>
      <c r="E438" s="356" t="str">
        <f ca="1">IF(B438="+","Unit",IF(ISERROR(OFFSET('HARGA SATUAN'!$E$6,MATCH(RAB!C438,'HARGA SATUAN'!$C$7:$C$1492,0),0)),"",OFFSET('HARGA SATUAN'!$E$6,MATCH(RAB!C438,'HARGA SATUAN'!$C$7:$C$1492,0),0)))</f>
        <v/>
      </c>
      <c r="F438" s="495"/>
      <c r="G438" s="357">
        <f ca="1">IF(ISERROR(OFFSET('HARGA SATUAN'!$I$6,MATCH(RAB!C438,'HARGA SATUAN'!$C$7:$C$1492,0),0)),0,OFFSET('HARGA SATUAN'!$I$6,MATCH(RAB!C438,'HARGA SATUAN'!$C$7:$C$1492,0),0))</f>
        <v>0</v>
      </c>
      <c r="H438" s="358">
        <f t="shared" ca="1" si="96"/>
        <v>0</v>
      </c>
      <c r="I438" s="358">
        <f t="shared" ca="1" si="97"/>
        <v>0</v>
      </c>
      <c r="J438" s="358">
        <f t="shared" ca="1" si="98"/>
        <v>0</v>
      </c>
      <c r="K438" s="359">
        <f t="shared" ca="1" si="99"/>
        <v>0</v>
      </c>
    </row>
    <row r="439" spans="2:11">
      <c r="B439" s="488" t="s">
        <v>1615</v>
      </c>
      <c r="C439" s="493" t="s">
        <v>1621</v>
      </c>
      <c r="D439" s="355" t="str">
        <f ca="1">IF(ISERROR(OFFSET('HARGA SATUAN'!$D$6,MATCH(RAB!C439,'HARGA SATUAN'!$C$7:$C$1492,0),0)),"",OFFSET('HARGA SATUAN'!$D$6,MATCH(RAB!C439,'HARGA SATUAN'!$C$7:$C$1492,0),0))</f>
        <v/>
      </c>
      <c r="E439" s="356" t="str">
        <f ca="1">IF(B439="+","Unit",IF(ISERROR(OFFSET('HARGA SATUAN'!$E$6,MATCH(RAB!C439,'HARGA SATUAN'!$C$7:$C$1492,0),0)),"",OFFSET('HARGA SATUAN'!$E$6,MATCH(RAB!C439,'HARGA SATUAN'!$C$7:$C$1492,0),0)))</f>
        <v/>
      </c>
      <c r="F439" s="365"/>
      <c r="G439" s="357">
        <f ca="1">IF(ISERROR(OFFSET('HARGA SATUAN'!$I$6,MATCH(RAB!C439,'HARGA SATUAN'!$C$7:$C$1492,0),0)),0,OFFSET('HARGA SATUAN'!$I$6,MATCH(RAB!C439,'HARGA SATUAN'!$C$7:$C$1492,0),0))</f>
        <v>0</v>
      </c>
      <c r="H439" s="358">
        <f t="shared" ref="H439:H445" ca="1" si="100">IF(OR(D439="MDU",D439="MDU-KD"),(IF($O$3="RAB NON MDU","PLN KD",G439*F439)),0)</f>
        <v>0</v>
      </c>
      <c r="I439" s="358">
        <f t="shared" ref="I439:I445" ca="1" si="101">IF(D439="HDW",G439*F439,0)</f>
        <v>0</v>
      </c>
      <c r="J439" s="358">
        <f t="shared" ref="J439:J445" ca="1" si="102">IF(D439="JASA",G439*F439,0)</f>
        <v>0</v>
      </c>
      <c r="K439" s="359">
        <f t="shared" ref="K439:K445" ca="1" si="103">SUM(H439:J439)</f>
        <v>0</v>
      </c>
    </row>
    <row r="440" spans="2:11">
      <c r="B440" s="488"/>
      <c r="C440" s="489"/>
      <c r="D440" s="355" t="str">
        <f ca="1">IF(ISERROR(OFFSET('HARGA SATUAN'!$D$6,MATCH(RAB!C440,'HARGA SATUAN'!$C$7:$C$1492,0),0)),"",OFFSET('HARGA SATUAN'!$D$6,MATCH(RAB!C440,'HARGA SATUAN'!$C$7:$C$1492,0),0))</f>
        <v/>
      </c>
      <c r="E440" s="356" t="str">
        <f ca="1">IF(B440="+","Unit",IF(ISERROR(OFFSET('HARGA SATUAN'!$E$6,MATCH(RAB!C440,'HARGA SATUAN'!$C$7:$C$1492,0),0)),"",OFFSET('HARGA SATUAN'!$E$6,MATCH(RAB!C440,'HARGA SATUAN'!$C$7:$C$1492,0),0)))</f>
        <v/>
      </c>
      <c r="F440" s="503"/>
      <c r="G440" s="357">
        <f ca="1">IF(ISERROR(OFFSET('HARGA SATUAN'!$I$6,MATCH(RAB!C440,'HARGA SATUAN'!$C$7:$C$1492,0),0)),0,OFFSET('HARGA SATUAN'!$I$6,MATCH(RAB!C440,'HARGA SATUAN'!$C$7:$C$1492,0),0))</f>
        <v>0</v>
      </c>
      <c r="H440" s="358">
        <f t="shared" ca="1" si="100"/>
        <v>0</v>
      </c>
      <c r="I440" s="358">
        <f t="shared" ca="1" si="101"/>
        <v>0</v>
      </c>
      <c r="J440" s="358">
        <f t="shared" ca="1" si="102"/>
        <v>0</v>
      </c>
      <c r="K440" s="359">
        <f t="shared" ca="1" si="103"/>
        <v>0</v>
      </c>
    </row>
    <row r="441" spans="2:11">
      <c r="B441" s="488" t="s">
        <v>1035</v>
      </c>
      <c r="C441" s="489" t="s">
        <v>1670</v>
      </c>
      <c r="D441" s="355" t="str">
        <f ca="1">IF(ISERROR(OFFSET('HARGA SATUAN'!$D$6,MATCH(RAB!C441,'HARGA SATUAN'!$C$7:$C$1492,0),0)),"",OFFSET('HARGA SATUAN'!$D$6,MATCH(RAB!C441,'HARGA SATUAN'!$C$7:$C$1492,0),0))</f>
        <v/>
      </c>
      <c r="E441" s="356" t="str">
        <f ca="1">IF(B441="+","Unit",IF(ISERROR(OFFSET('HARGA SATUAN'!$E$6,MATCH(RAB!C441,'HARGA SATUAN'!$C$7:$C$1492,0),0)),"",OFFSET('HARGA SATUAN'!$E$6,MATCH(RAB!C441,'HARGA SATUAN'!$C$7:$C$1492,0),0)))</f>
        <v>Unit</v>
      </c>
      <c r="F441" s="536">
        <v>1</v>
      </c>
      <c r="G441" s="357">
        <f ca="1">IF(ISERROR(OFFSET('HARGA SATUAN'!$I$6,MATCH(RAB!C441,'HARGA SATUAN'!$C$7:$C$1492,0),0)),0,OFFSET('HARGA SATUAN'!$I$6,MATCH(RAB!C441,'HARGA SATUAN'!$C$7:$C$1492,0),0))</f>
        <v>0</v>
      </c>
      <c r="H441" s="358">
        <f t="shared" ca="1" si="100"/>
        <v>0</v>
      </c>
      <c r="I441" s="358">
        <f t="shared" ca="1" si="101"/>
        <v>0</v>
      </c>
      <c r="J441" s="358">
        <f t="shared" ca="1" si="102"/>
        <v>0</v>
      </c>
      <c r="K441" s="359">
        <f t="shared" ca="1" si="103"/>
        <v>0</v>
      </c>
    </row>
    <row r="442" spans="2:11" ht="30">
      <c r="B442" s="532">
        <v>1</v>
      </c>
      <c r="C442" s="109" t="s">
        <v>1196</v>
      </c>
      <c r="D442" s="355" t="str">
        <f ca="1">IF(ISERROR(OFFSET('HARGA SATUAN'!$D$6,MATCH(RAB!C442,'HARGA SATUAN'!$C$7:$C$1492,0),0)),"",OFFSET('HARGA SATUAN'!$D$6,MATCH(RAB!C442,'HARGA SATUAN'!$C$7:$C$1492,0),0))</f>
        <v>MDU-KD</v>
      </c>
      <c r="E442" s="356" t="str">
        <f ca="1">IF(B442="+","Unit",IF(ISERROR(OFFSET('HARGA SATUAN'!$E$6,MATCH(RAB!C442,'HARGA SATUAN'!$C$7:$C$1492,0),0)),"",OFFSET('HARGA SATUAN'!$E$6,MATCH(RAB!C442,'HARGA SATUAN'!$C$7:$C$1492,0),0)))</f>
        <v>Bh</v>
      </c>
      <c r="F442" s="536">
        <f>F441*1</f>
        <v>1</v>
      </c>
      <c r="G442" s="357">
        <f ca="1">IF(ISERROR(OFFSET('HARGA SATUAN'!$I$6,MATCH(RAB!C442,'HARGA SATUAN'!$C$7:$C$1492,0),0)),0,OFFSET('HARGA SATUAN'!$I$6,MATCH(RAB!C442,'HARGA SATUAN'!$C$7:$C$1492,0),0))</f>
        <v>1504200</v>
      </c>
      <c r="H442" s="358">
        <f t="shared" ca="1" si="100"/>
        <v>1504200</v>
      </c>
      <c r="I442" s="358">
        <f t="shared" ca="1" si="101"/>
        <v>0</v>
      </c>
      <c r="J442" s="358">
        <f t="shared" ca="1" si="102"/>
        <v>0</v>
      </c>
      <c r="K442" s="359">
        <f t="shared" ca="1" si="103"/>
        <v>1504200</v>
      </c>
    </row>
    <row r="443" spans="2:11">
      <c r="B443" s="532">
        <v>2</v>
      </c>
      <c r="C443" s="541" t="s">
        <v>516</v>
      </c>
      <c r="D443" s="355" t="str">
        <f ca="1">IF(ISERROR(OFFSET('HARGA SATUAN'!$D$6,MATCH(RAB!C443,'HARGA SATUAN'!$C$7:$C$1492,0),0)),"",OFFSET('HARGA SATUAN'!$D$6,MATCH(RAB!C443,'HARGA SATUAN'!$C$7:$C$1492,0),0))</f>
        <v>MDU-KD</v>
      </c>
      <c r="E443" s="356" t="str">
        <f ca="1">IF(B443="+","Unit",IF(ISERROR(OFFSET('HARGA SATUAN'!$E$6,MATCH(RAB!C443,'HARGA SATUAN'!$C$7:$C$1492,0),0)),"",OFFSET('HARGA SATUAN'!$E$6,MATCH(RAB!C443,'HARGA SATUAN'!$C$7:$C$1492,0),0)))</f>
        <v>Unit</v>
      </c>
      <c r="F443" s="536">
        <f>F441*1</f>
        <v>1</v>
      </c>
      <c r="G443" s="357">
        <f ca="1">IF(ISERROR(OFFSET('HARGA SATUAN'!$I$6,MATCH(RAB!C443,'HARGA SATUAN'!$C$7:$C$1492,0),0)),0,OFFSET('HARGA SATUAN'!$I$6,MATCH(RAB!C443,'HARGA SATUAN'!$C$7:$C$1492,0),0))</f>
        <v>13644300</v>
      </c>
      <c r="H443" s="358">
        <f t="shared" ca="1" si="100"/>
        <v>13644300</v>
      </c>
      <c r="I443" s="358">
        <f t="shared" ca="1" si="101"/>
        <v>0</v>
      </c>
      <c r="J443" s="358">
        <f t="shared" ca="1" si="102"/>
        <v>0</v>
      </c>
      <c r="K443" s="359">
        <f t="shared" ca="1" si="103"/>
        <v>13644300</v>
      </c>
    </row>
    <row r="444" spans="2:11">
      <c r="B444" s="532">
        <v>3</v>
      </c>
      <c r="C444" s="541" t="s">
        <v>1142</v>
      </c>
      <c r="D444" s="355" t="str">
        <f ca="1">IF(ISERROR(OFFSET('HARGA SATUAN'!$D$6,MATCH(RAB!C444,'HARGA SATUAN'!$C$7:$C$1492,0),0)),"",OFFSET('HARGA SATUAN'!$D$6,MATCH(RAB!C444,'HARGA SATUAN'!$C$7:$C$1492,0),0))</f>
        <v>HDW</v>
      </c>
      <c r="E444" s="356" t="str">
        <f ca="1">IF(B444="+","Unit",IF(ISERROR(OFFSET('HARGA SATUAN'!$E$6,MATCH(RAB!C444,'HARGA SATUAN'!$C$7:$C$1492,0),0)),"",OFFSET('HARGA SATUAN'!$E$6,MATCH(RAB!C444,'HARGA SATUAN'!$C$7:$C$1492,0),0)))</f>
        <v>Unit</v>
      </c>
      <c r="F444" s="536">
        <f>F441*1</f>
        <v>1</v>
      </c>
      <c r="G444" s="357">
        <f ca="1">IF(ISERROR(OFFSET('HARGA SATUAN'!$I$6,MATCH(RAB!C444,'HARGA SATUAN'!$C$7:$C$1492,0),0)),0,OFFSET('HARGA SATUAN'!$I$6,MATCH(RAB!C444,'HARGA SATUAN'!$C$7:$C$1492,0),0))</f>
        <v>1113900</v>
      </c>
      <c r="H444" s="358">
        <f t="shared" ca="1" si="100"/>
        <v>0</v>
      </c>
      <c r="I444" s="358">
        <f t="shared" ca="1" si="101"/>
        <v>1113900</v>
      </c>
      <c r="J444" s="358">
        <f t="shared" ca="1" si="102"/>
        <v>0</v>
      </c>
      <c r="K444" s="359">
        <f t="shared" ca="1" si="103"/>
        <v>1113900</v>
      </c>
    </row>
    <row r="445" spans="2:11">
      <c r="B445" s="532">
        <v>4</v>
      </c>
      <c r="C445" s="541" t="s">
        <v>574</v>
      </c>
      <c r="D445" s="355" t="str">
        <f ca="1">IF(ISERROR(OFFSET('HARGA SATUAN'!$D$6,MATCH(RAB!C445,'HARGA SATUAN'!$C$7:$C$1492,0),0)),"",OFFSET('HARGA SATUAN'!$D$6,MATCH(RAB!C445,'HARGA SATUAN'!$C$7:$C$1492,0),0))</f>
        <v>MDU-KD</v>
      </c>
      <c r="E445" s="356" t="str">
        <f ca="1">IF(B445="+","Unit",IF(ISERROR(OFFSET('HARGA SATUAN'!$E$6,MATCH(RAB!C445,'HARGA SATUAN'!$C$7:$C$1492,0),0)),"",OFFSET('HARGA SATUAN'!$E$6,MATCH(RAB!C445,'HARGA SATUAN'!$C$7:$C$1492,0),0)))</f>
        <v>Mtr</v>
      </c>
      <c r="F445" s="536">
        <f>F441*35</f>
        <v>35</v>
      </c>
      <c r="G445" s="357">
        <f ca="1">IF(ISERROR(OFFSET('HARGA SATUAN'!$I$6,MATCH(RAB!C445,'HARGA SATUAN'!$C$7:$C$1492,0),0)),0,OFFSET('HARGA SATUAN'!$I$6,MATCH(RAB!C445,'HARGA SATUAN'!$C$7:$C$1492,0),0))</f>
        <v>421400</v>
      </c>
      <c r="H445" s="358">
        <f t="shared" ca="1" si="100"/>
        <v>14749000</v>
      </c>
      <c r="I445" s="358">
        <f t="shared" ca="1" si="101"/>
        <v>0</v>
      </c>
      <c r="J445" s="358">
        <f t="shared" ca="1" si="102"/>
        <v>0</v>
      </c>
      <c r="K445" s="359">
        <f t="shared" ca="1" si="103"/>
        <v>14749000</v>
      </c>
    </row>
    <row r="446" spans="2:11">
      <c r="B446" s="532">
        <v>5</v>
      </c>
      <c r="C446" s="541" t="s">
        <v>799</v>
      </c>
      <c r="D446" s="355" t="str">
        <f ca="1">IF(ISERROR(OFFSET('HARGA SATUAN'!$D$6,MATCH(RAB!C446,'HARGA SATUAN'!$C$7:$C$1492,0),0)),"",OFFSET('HARGA SATUAN'!$D$6,MATCH(RAB!C446,'HARGA SATUAN'!$C$7:$C$1492,0),0))</f>
        <v>JASA</v>
      </c>
      <c r="E446" s="356" t="str">
        <f ca="1">IF(B446="+","Unit",IF(ISERROR(OFFSET('HARGA SATUAN'!$E$6,MATCH(RAB!C446,'HARGA SATUAN'!$C$7:$C$1492,0),0)),"",OFFSET('HARGA SATUAN'!$E$6,MATCH(RAB!C446,'HARGA SATUAN'!$C$7:$C$1492,0),0)))</f>
        <v>Unit</v>
      </c>
      <c r="F446" s="536">
        <f>F441*1</f>
        <v>1</v>
      </c>
      <c r="G446" s="357">
        <f ca="1">IF(ISERROR(OFFSET('HARGA SATUAN'!$I$6,MATCH(RAB!C446,'HARGA SATUAN'!$C$7:$C$1492,0),0)),0,OFFSET('HARGA SATUAN'!$I$6,MATCH(RAB!C446,'HARGA SATUAN'!$C$7:$C$1492,0),0))</f>
        <v>106400</v>
      </c>
      <c r="H446" s="358">
        <f t="shared" ref="H446:H459" ca="1" si="104">IF(OR(D446="MDU",D446="MDU-KD"),(IF($O$3="RAB NON MDU","PLN KD",G446*F446)),0)</f>
        <v>0</v>
      </c>
      <c r="I446" s="358">
        <f t="shared" ref="I446:I459" ca="1" si="105">IF(D446="HDW",G446*F446,0)</f>
        <v>0</v>
      </c>
      <c r="J446" s="358">
        <f t="shared" ref="J446:J459" ca="1" si="106">IF(D446="JASA",G446*F446,0)</f>
        <v>106400</v>
      </c>
      <c r="K446" s="359">
        <f t="shared" ref="K446:K459" ca="1" si="107">SUM(H446:J446)</f>
        <v>106400</v>
      </c>
    </row>
    <row r="447" spans="2:11">
      <c r="B447" s="532"/>
      <c r="C447" s="541"/>
      <c r="D447" s="355"/>
      <c r="E447" s="356"/>
      <c r="F447" s="365"/>
      <c r="G447" s="357"/>
      <c r="H447" s="358"/>
      <c r="I447" s="358"/>
      <c r="J447" s="358"/>
      <c r="K447" s="359"/>
    </row>
    <row r="448" spans="2:11">
      <c r="B448" s="511" t="s">
        <v>1035</v>
      </c>
      <c r="C448" s="512" t="s">
        <v>1625</v>
      </c>
      <c r="D448" s="355" t="str">
        <f ca="1">IF(ISERROR(OFFSET('HARGA SATUAN'!$D$6,MATCH(RAB!C448,'HARGA SATUAN'!$C$7:$C$1492,0),0)),"",OFFSET('HARGA SATUAN'!$D$6,MATCH(RAB!C448,'HARGA SATUAN'!$C$7:$C$1492,0),0))</f>
        <v/>
      </c>
      <c r="E448" s="356" t="str">
        <f ca="1">IF(B448="+","Unit",IF(ISERROR(OFFSET('HARGA SATUAN'!$E$6,MATCH(RAB!C448,'HARGA SATUAN'!$C$7:$C$1492,0),0)),"",OFFSET('HARGA SATUAN'!$E$6,MATCH(RAB!C448,'HARGA SATUAN'!$C$7:$C$1492,0),0)))</f>
        <v>Unit</v>
      </c>
      <c r="F448" s="513">
        <v>1</v>
      </c>
      <c r="G448" s="357">
        <f ca="1">IF(ISERROR(OFFSET('HARGA SATUAN'!$I$6,MATCH(RAB!C448,'HARGA SATUAN'!$C$7:$C$1492,0),0)),0,OFFSET('HARGA SATUAN'!$I$6,MATCH(RAB!C448,'HARGA SATUAN'!$C$7:$C$1492,0),0))</f>
        <v>0</v>
      </c>
      <c r="H448" s="358">
        <f t="shared" ca="1" si="104"/>
        <v>0</v>
      </c>
      <c r="I448" s="358">
        <f t="shared" ca="1" si="105"/>
        <v>0</v>
      </c>
      <c r="J448" s="358">
        <f t="shared" ca="1" si="106"/>
        <v>0</v>
      </c>
      <c r="K448" s="359">
        <f t="shared" ca="1" si="107"/>
        <v>0</v>
      </c>
    </row>
    <row r="449" spans="2:11">
      <c r="B449" s="511">
        <v>1</v>
      </c>
      <c r="C449" s="512" t="s">
        <v>115</v>
      </c>
      <c r="D449" s="355" t="str">
        <f ca="1">IF(ISERROR(OFFSET('HARGA SATUAN'!$D$6,MATCH(RAB!C449,'HARGA SATUAN'!$C$7:$C$1492,0),0)),"",OFFSET('HARGA SATUAN'!$D$6,MATCH(RAB!C449,'HARGA SATUAN'!$C$7:$C$1492,0),0))</f>
        <v>HDW</v>
      </c>
      <c r="E449" s="356" t="str">
        <f ca="1">IF(B449="+","Unit",IF(ISERROR(OFFSET('HARGA SATUAN'!$E$6,MATCH(RAB!C449,'HARGA SATUAN'!$C$7:$C$1492,0),0)),"",OFFSET('HARGA SATUAN'!$E$6,MATCH(RAB!C449,'HARGA SATUAN'!$C$7:$C$1492,0),0)))</f>
        <v>Set</v>
      </c>
      <c r="F449" s="513">
        <f>F448*1</f>
        <v>1</v>
      </c>
      <c r="G449" s="357">
        <f ca="1">IF(ISERROR(OFFSET('HARGA SATUAN'!$I$6,MATCH(RAB!C449,'HARGA SATUAN'!$C$7:$C$1492,0),0)),0,OFFSET('HARGA SATUAN'!$I$6,MATCH(RAB!C449,'HARGA SATUAN'!$C$7:$C$1492,0),0))</f>
        <v>11500</v>
      </c>
      <c r="H449" s="358">
        <f t="shared" ca="1" si="104"/>
        <v>0</v>
      </c>
      <c r="I449" s="358">
        <f t="shared" ca="1" si="105"/>
        <v>11500</v>
      </c>
      <c r="J449" s="358">
        <f t="shared" ca="1" si="106"/>
        <v>0</v>
      </c>
      <c r="K449" s="359">
        <f t="shared" ca="1" si="107"/>
        <v>11500</v>
      </c>
    </row>
    <row r="450" spans="2:11">
      <c r="B450" s="511">
        <v>2</v>
      </c>
      <c r="C450" s="512" t="s">
        <v>145</v>
      </c>
      <c r="D450" s="355" t="str">
        <f ca="1">IF(ISERROR(OFFSET('HARGA SATUAN'!$D$6,MATCH(RAB!C450,'HARGA SATUAN'!$C$7:$C$1492,0),0)),"",OFFSET('HARGA SATUAN'!$D$6,MATCH(RAB!C450,'HARGA SATUAN'!$C$7:$C$1492,0),0))</f>
        <v>HDW</v>
      </c>
      <c r="E450" s="356" t="str">
        <f ca="1">IF(B450="+","Unit",IF(ISERROR(OFFSET('HARGA SATUAN'!$E$6,MATCH(RAB!C450,'HARGA SATUAN'!$C$7:$C$1492,0),0)),"",OFFSET('HARGA SATUAN'!$E$6,MATCH(RAB!C450,'HARGA SATUAN'!$C$7:$C$1492,0),0)))</f>
        <v>Set</v>
      </c>
      <c r="F450" s="513">
        <f>F448*1</f>
        <v>1</v>
      </c>
      <c r="G450" s="357">
        <f ca="1">IF(ISERROR(OFFSET('HARGA SATUAN'!$I$6,MATCH(RAB!C450,'HARGA SATUAN'!$C$7:$C$1492,0),0)),0,OFFSET('HARGA SATUAN'!$I$6,MATCH(RAB!C450,'HARGA SATUAN'!$C$7:$C$1492,0),0))</f>
        <v>6200</v>
      </c>
      <c r="H450" s="358">
        <f t="shared" ca="1" si="104"/>
        <v>0</v>
      </c>
      <c r="I450" s="358">
        <f t="shared" ca="1" si="105"/>
        <v>6200</v>
      </c>
      <c r="J450" s="358">
        <f t="shared" ca="1" si="106"/>
        <v>0</v>
      </c>
      <c r="K450" s="359">
        <f t="shared" ca="1" si="107"/>
        <v>6200</v>
      </c>
    </row>
    <row r="451" spans="2:11">
      <c r="B451" s="511">
        <v>3</v>
      </c>
      <c r="C451" s="512" t="s">
        <v>587</v>
      </c>
      <c r="D451" s="355" t="str">
        <f ca="1">IF(ISERROR(OFFSET('HARGA SATUAN'!$D$6,MATCH(RAB!C451,'HARGA SATUAN'!$C$7:$C$1492,0),0)),"",OFFSET('HARGA SATUAN'!$D$6,MATCH(RAB!C451,'HARGA SATUAN'!$C$7:$C$1492,0),0))</f>
        <v>HDW</v>
      </c>
      <c r="E451" s="356" t="str">
        <f ca="1">IF(B451="+","Unit",IF(ISERROR(OFFSET('HARGA SATUAN'!$E$6,MATCH(RAB!C451,'HARGA SATUAN'!$C$7:$C$1492,0),0)),"",OFFSET('HARGA SATUAN'!$E$6,MATCH(RAB!C451,'HARGA SATUAN'!$C$7:$C$1492,0),0)))</f>
        <v>Btg</v>
      </c>
      <c r="F451" s="513">
        <f>F448*1</f>
        <v>1</v>
      </c>
      <c r="G451" s="357">
        <f ca="1">IF(ISERROR(OFFSET('HARGA SATUAN'!$I$6,MATCH(RAB!C451,'HARGA SATUAN'!$C$7:$C$1492,0),0)),0,OFFSET('HARGA SATUAN'!$I$6,MATCH(RAB!C451,'HARGA SATUAN'!$C$7:$C$1492,0),0))</f>
        <v>45796</v>
      </c>
      <c r="H451" s="358">
        <f t="shared" ca="1" si="104"/>
        <v>0</v>
      </c>
      <c r="I451" s="358">
        <f t="shared" ca="1" si="105"/>
        <v>45796</v>
      </c>
      <c r="J451" s="358">
        <f t="shared" ca="1" si="106"/>
        <v>0</v>
      </c>
      <c r="K451" s="359">
        <f t="shared" ca="1" si="107"/>
        <v>45796</v>
      </c>
    </row>
    <row r="452" spans="2:11">
      <c r="B452" s="511">
        <v>4</v>
      </c>
      <c r="C452" s="512" t="s">
        <v>118</v>
      </c>
      <c r="D452" s="355" t="str">
        <f ca="1">IF(ISERROR(OFFSET('HARGA SATUAN'!$D$6,MATCH(RAB!C452,'HARGA SATUAN'!$C$7:$C$1492,0),0)),"",OFFSET('HARGA SATUAN'!$D$6,MATCH(RAB!C452,'HARGA SATUAN'!$C$7:$C$1492,0),0))</f>
        <v>HDW</v>
      </c>
      <c r="E452" s="356" t="str">
        <f ca="1">IF(B452="+","Unit",IF(ISERROR(OFFSET('HARGA SATUAN'!$E$6,MATCH(RAB!C452,'HARGA SATUAN'!$C$7:$C$1492,0),0)),"",OFFSET('HARGA SATUAN'!$E$6,MATCH(RAB!C452,'HARGA SATUAN'!$C$7:$C$1492,0),0)))</f>
        <v>Set</v>
      </c>
      <c r="F452" s="513">
        <f>F448*1</f>
        <v>1</v>
      </c>
      <c r="G452" s="357">
        <f ca="1">IF(ISERROR(OFFSET('HARGA SATUAN'!$I$6,MATCH(RAB!C452,'HARGA SATUAN'!$C$7:$C$1492,0),0)),0,OFFSET('HARGA SATUAN'!$I$6,MATCH(RAB!C452,'HARGA SATUAN'!$C$7:$C$1492,0),0))</f>
        <v>5300</v>
      </c>
      <c r="H452" s="358">
        <f t="shared" ca="1" si="104"/>
        <v>0</v>
      </c>
      <c r="I452" s="358">
        <f t="shared" ca="1" si="105"/>
        <v>5300</v>
      </c>
      <c r="J452" s="358">
        <f t="shared" ca="1" si="106"/>
        <v>0</v>
      </c>
      <c r="K452" s="359">
        <f t="shared" ca="1" si="107"/>
        <v>5300</v>
      </c>
    </row>
    <row r="453" spans="2:11">
      <c r="B453" s="511">
        <v>5</v>
      </c>
      <c r="C453" s="512" t="s">
        <v>117</v>
      </c>
      <c r="D453" s="355" t="str">
        <f ca="1">IF(ISERROR(OFFSET('HARGA SATUAN'!$D$6,MATCH(RAB!C453,'HARGA SATUAN'!$C$7:$C$1492,0),0)),"",OFFSET('HARGA SATUAN'!$D$6,MATCH(RAB!C453,'HARGA SATUAN'!$C$7:$C$1492,0),0))</f>
        <v>HDW</v>
      </c>
      <c r="E453" s="356" t="str">
        <f ca="1">IF(B453="+","Unit",IF(ISERROR(OFFSET('HARGA SATUAN'!$E$6,MATCH(RAB!C453,'HARGA SATUAN'!$C$7:$C$1492,0),0)),"",OFFSET('HARGA SATUAN'!$E$6,MATCH(RAB!C453,'HARGA SATUAN'!$C$7:$C$1492,0),0)))</f>
        <v>Bh</v>
      </c>
      <c r="F453" s="513">
        <f>F448*1</f>
        <v>1</v>
      </c>
      <c r="G453" s="357">
        <f ca="1">IF(ISERROR(OFFSET('HARGA SATUAN'!$I$6,MATCH(RAB!C453,'HARGA SATUAN'!$C$7:$C$1492,0),0)),0,OFFSET('HARGA SATUAN'!$I$6,MATCH(RAB!C453,'HARGA SATUAN'!$C$7:$C$1492,0),0))</f>
        <v>58600</v>
      </c>
      <c r="H453" s="358">
        <f t="shared" ca="1" si="104"/>
        <v>0</v>
      </c>
      <c r="I453" s="358">
        <f t="shared" ca="1" si="105"/>
        <v>58600</v>
      </c>
      <c r="J453" s="358">
        <f t="shared" ca="1" si="106"/>
        <v>0</v>
      </c>
      <c r="K453" s="359">
        <f t="shared" ca="1" si="107"/>
        <v>58600</v>
      </c>
    </row>
    <row r="454" spans="2:11">
      <c r="B454" s="511">
        <v>6</v>
      </c>
      <c r="C454" s="109" t="s">
        <v>1155</v>
      </c>
      <c r="D454" s="355" t="str">
        <f ca="1">IF(ISERROR(OFFSET('HARGA SATUAN'!$D$6,MATCH(RAB!C454,'HARGA SATUAN'!$C$7:$C$1492,0),0)),"",OFFSET('HARGA SATUAN'!$D$6,MATCH(RAB!C454,'HARGA SATUAN'!$C$7:$C$1492,0),0))</f>
        <v>HDW</v>
      </c>
      <c r="E454" s="356" t="str">
        <f ca="1">IF(B454="+","Unit",IF(ISERROR(OFFSET('HARGA SATUAN'!$E$6,MATCH(RAB!C454,'HARGA SATUAN'!$C$7:$C$1492,0),0)),"",OFFSET('HARGA SATUAN'!$E$6,MATCH(RAB!C454,'HARGA SATUAN'!$C$7:$C$1492,0),0)))</f>
        <v>Set</v>
      </c>
      <c r="F454" s="513">
        <f>F448*2</f>
        <v>2</v>
      </c>
      <c r="G454" s="357">
        <f ca="1">IF(ISERROR(OFFSET('HARGA SATUAN'!$I$6,MATCH(RAB!C454,'HARGA SATUAN'!$C$7:$C$1492,0),0)),0,OFFSET('HARGA SATUAN'!$I$6,MATCH(RAB!C454,'HARGA SATUAN'!$C$7:$C$1492,0),0))</f>
        <v>2900</v>
      </c>
      <c r="H454" s="358">
        <f t="shared" ca="1" si="104"/>
        <v>0</v>
      </c>
      <c r="I454" s="358">
        <f t="shared" ca="1" si="105"/>
        <v>5800</v>
      </c>
      <c r="J454" s="358">
        <f t="shared" ca="1" si="106"/>
        <v>0</v>
      </c>
      <c r="K454" s="359">
        <f t="shared" ca="1" si="107"/>
        <v>5800</v>
      </c>
    </row>
    <row r="455" spans="2:11">
      <c r="B455" s="511">
        <v>7</v>
      </c>
      <c r="C455" s="512" t="s">
        <v>119</v>
      </c>
      <c r="D455" s="355" t="str">
        <f ca="1">IF(ISERROR(OFFSET('HARGA SATUAN'!$D$6,MATCH(RAB!C455,'HARGA SATUAN'!$C$7:$C$1492,0),0)),"",OFFSET('HARGA SATUAN'!$D$6,MATCH(RAB!C455,'HARGA SATUAN'!$C$7:$C$1492,0),0))</f>
        <v>HDW</v>
      </c>
      <c r="E455" s="356" t="str">
        <f ca="1">IF(B455="+","Unit",IF(ISERROR(OFFSET('HARGA SATUAN'!$E$6,MATCH(RAB!C455,'HARGA SATUAN'!$C$7:$C$1492,0),0)),"",OFFSET('HARGA SATUAN'!$E$6,MATCH(RAB!C455,'HARGA SATUAN'!$C$7:$C$1492,0),0)))</f>
        <v>Set</v>
      </c>
      <c r="F455" s="513">
        <f>F448*4</f>
        <v>4</v>
      </c>
      <c r="G455" s="357">
        <f ca="1">IF(ISERROR(OFFSET('HARGA SATUAN'!$I$6,MATCH(RAB!C455,'HARGA SATUAN'!$C$7:$C$1492,0),0)),0,OFFSET('HARGA SATUAN'!$I$6,MATCH(RAB!C455,'HARGA SATUAN'!$C$7:$C$1492,0),0))</f>
        <v>8900</v>
      </c>
      <c r="H455" s="358">
        <f t="shared" ca="1" si="104"/>
        <v>0</v>
      </c>
      <c r="I455" s="358">
        <f t="shared" ca="1" si="105"/>
        <v>35600</v>
      </c>
      <c r="J455" s="358">
        <f t="shared" ca="1" si="106"/>
        <v>0</v>
      </c>
      <c r="K455" s="359">
        <f t="shared" ca="1" si="107"/>
        <v>35600</v>
      </c>
    </row>
    <row r="456" spans="2:11">
      <c r="B456" s="371"/>
      <c r="C456" s="502"/>
      <c r="D456" s="355" t="str">
        <f ca="1">IF(ISERROR(OFFSET('HARGA SATUAN'!$D$6,MATCH(RAB!C456,'HARGA SATUAN'!$C$7:$C$1492,0),0)),"",OFFSET('HARGA SATUAN'!$D$6,MATCH(RAB!C456,'HARGA SATUAN'!$C$7:$C$1492,0),0))</f>
        <v/>
      </c>
      <c r="E456" s="356" t="str">
        <f ca="1">IF(B456="+","Unit",IF(ISERROR(OFFSET('HARGA SATUAN'!$E$6,MATCH(RAB!C456,'HARGA SATUAN'!$C$7:$C$1492,0),0)),"",OFFSET('HARGA SATUAN'!$E$6,MATCH(RAB!C456,'HARGA SATUAN'!$C$7:$C$1492,0),0)))</f>
        <v/>
      </c>
      <c r="F456" s="365"/>
      <c r="G456" s="357">
        <f ca="1">IF(ISERROR(OFFSET('HARGA SATUAN'!$I$6,MATCH(RAB!C456,'HARGA SATUAN'!$C$7:$C$1492,0),0)),0,OFFSET('HARGA SATUAN'!$I$6,MATCH(RAB!C456,'HARGA SATUAN'!$C$7:$C$1492,0),0))</f>
        <v>0</v>
      </c>
      <c r="H456" s="358">
        <f t="shared" ca="1" si="104"/>
        <v>0</v>
      </c>
      <c r="I456" s="358">
        <f t="shared" ca="1" si="105"/>
        <v>0</v>
      </c>
      <c r="J456" s="358">
        <f t="shared" ca="1" si="106"/>
        <v>0</v>
      </c>
      <c r="K456" s="359">
        <f t="shared" ca="1" si="107"/>
        <v>0</v>
      </c>
    </row>
    <row r="457" spans="2:11">
      <c r="B457" s="363" t="s">
        <v>22</v>
      </c>
      <c r="C457" s="364" t="s">
        <v>1617</v>
      </c>
      <c r="D457" s="355" t="str">
        <f ca="1">IF(ISERROR(OFFSET('HARGA SATUAN'!$D$6,MATCH(RAB!C457,'HARGA SATUAN'!$C$7:$C$1492,0),0)),"",OFFSET('HARGA SATUAN'!$D$6,MATCH(RAB!C457,'HARGA SATUAN'!$C$7:$C$1492,0),0))</f>
        <v/>
      </c>
      <c r="E457" s="356" t="str">
        <f ca="1">IF(B457="+","Unit",IF(ISERROR(OFFSET('HARGA SATUAN'!$E$6,MATCH(RAB!C457,'HARGA SATUAN'!$C$7:$C$1492,0),0)),"",OFFSET('HARGA SATUAN'!$E$6,MATCH(RAB!C457,'HARGA SATUAN'!$C$7:$C$1492,0),0)))</f>
        <v/>
      </c>
      <c r="F457" s="365"/>
      <c r="G457" s="357">
        <f ca="1">IF(ISERROR(OFFSET('HARGA SATUAN'!$I$6,MATCH(RAB!C457,'HARGA SATUAN'!$C$7:$C$1492,0),0)),0,OFFSET('HARGA SATUAN'!$I$6,MATCH(RAB!C457,'HARGA SATUAN'!$C$7:$C$1492,0),0))</f>
        <v>0</v>
      </c>
      <c r="H457" s="358">
        <f t="shared" ca="1" si="104"/>
        <v>0</v>
      </c>
      <c r="I457" s="358">
        <f t="shared" ca="1" si="105"/>
        <v>0</v>
      </c>
      <c r="J457" s="358">
        <f t="shared" ca="1" si="106"/>
        <v>0</v>
      </c>
      <c r="K457" s="359">
        <f t="shared" ca="1" si="107"/>
        <v>0</v>
      </c>
    </row>
    <row r="458" spans="2:11">
      <c r="B458" s="371"/>
      <c r="C458" s="370"/>
      <c r="D458" s="355" t="str">
        <f ca="1">IF(ISERROR(OFFSET('HARGA SATUAN'!$D$6,MATCH(RAB!C458,'HARGA SATUAN'!$C$7:$C$1492,0),0)),"",OFFSET('HARGA SATUAN'!$D$6,MATCH(RAB!C458,'HARGA SATUAN'!$C$7:$C$1492,0),0))</f>
        <v/>
      </c>
      <c r="E458" s="356" t="str">
        <f ca="1">IF(B458="+","Unit",IF(ISERROR(OFFSET('HARGA SATUAN'!$E$6,MATCH(RAB!C458,'HARGA SATUAN'!$C$7:$C$1492,0),0)),"",OFFSET('HARGA SATUAN'!$E$6,MATCH(RAB!C458,'HARGA SATUAN'!$C$7:$C$1492,0),0)))</f>
        <v/>
      </c>
      <c r="F458" s="365"/>
      <c r="G458" s="357">
        <f ca="1">IF(ISERROR(OFFSET('HARGA SATUAN'!$I$6,MATCH(RAB!C458,'HARGA SATUAN'!$C$7:$C$1492,0),0)),0,OFFSET('HARGA SATUAN'!$I$6,MATCH(RAB!C458,'HARGA SATUAN'!$C$7:$C$1492,0),0))</f>
        <v>0</v>
      </c>
      <c r="H458" s="358">
        <f t="shared" ca="1" si="104"/>
        <v>0</v>
      </c>
      <c r="I458" s="358">
        <f t="shared" ca="1" si="105"/>
        <v>0</v>
      </c>
      <c r="J458" s="358">
        <f t="shared" ca="1" si="106"/>
        <v>0</v>
      </c>
      <c r="K458" s="359">
        <f t="shared" ca="1" si="107"/>
        <v>0</v>
      </c>
    </row>
    <row r="459" spans="2:11">
      <c r="B459" s="372"/>
      <c r="C459" s="373" t="s">
        <v>475</v>
      </c>
      <c r="D459" s="355" t="str">
        <f ca="1">IF(ISERROR(OFFSET('HARGA SATUAN'!$D$6,MATCH(RAB!C459,'HARGA SATUAN'!$C$7:$C$1492,0),0)),"",OFFSET('HARGA SATUAN'!$D$6,MATCH(RAB!C459,'HARGA SATUAN'!$C$7:$C$1492,0),0))</f>
        <v/>
      </c>
      <c r="E459" s="356" t="str">
        <f ca="1">IF(B459="+","Unit",IF(ISERROR(OFFSET('HARGA SATUAN'!$E$6,MATCH(RAB!C459,'HARGA SATUAN'!$C$7:$C$1492,0),0)),"",OFFSET('HARGA SATUAN'!$E$6,MATCH(RAB!C459,'HARGA SATUAN'!$C$7:$C$1492,0),0)))</f>
        <v/>
      </c>
      <c r="F459" s="365"/>
      <c r="G459" s="357">
        <f ca="1">IF(ISERROR(OFFSET('HARGA SATUAN'!$I$6,MATCH(RAB!C459,'HARGA SATUAN'!$C$7:$C$1492,0),0)),0,OFFSET('HARGA SATUAN'!$I$6,MATCH(RAB!C459,'HARGA SATUAN'!$C$7:$C$1492,0),0))</f>
        <v>0</v>
      </c>
      <c r="H459" s="358">
        <f t="shared" ca="1" si="104"/>
        <v>0</v>
      </c>
      <c r="I459" s="358">
        <f t="shared" ca="1" si="105"/>
        <v>0</v>
      </c>
      <c r="J459" s="358">
        <f t="shared" ca="1" si="106"/>
        <v>0</v>
      </c>
      <c r="K459" s="359">
        <f t="shared" ca="1" si="107"/>
        <v>0</v>
      </c>
    </row>
    <row r="460" spans="2:11">
      <c r="B460" s="375">
        <v>1</v>
      </c>
      <c r="C460" s="376" t="s">
        <v>1091</v>
      </c>
      <c r="D460" s="377" t="str">
        <f ca="1">IF(ISERROR(OFFSET('HARGA SATUAN'!$D$6,MATCH(RAB!C460,'HARGA SATUAN'!$C$7:$C$1492,0),0)),"",OFFSET('HARGA SATUAN'!$D$6,MATCH(RAB!C460,'HARGA SATUAN'!$C$7:$C$1492,0),0))</f>
        <v>JASA</v>
      </c>
      <c r="E460" s="378" t="str">
        <f ca="1">IF(ISERROR(OFFSET('HARGA SATUAN'!$E$6,MATCH(RAB!C460,'HARGA SATUAN'!$C$7:$C$1492,0),0)),"",OFFSET('HARGA SATUAN'!$E$6,MATCH(RAB!C460,'HARGA SATUAN'!$C$7:$C$1492,0),0))</f>
        <v>Lot</v>
      </c>
      <c r="F460" s="379">
        <v>1</v>
      </c>
      <c r="G460" s="380">
        <f ca="1">IF(ISERROR(OFFSET('HARGA SATUAN'!$I$6,MATCH(RAB!C460,'HARGA SATUAN'!$C$7:$C$1492,0),0)),0,OFFSET('HARGA SATUAN'!$I$6,MATCH(RAB!C460,'HARGA SATUAN'!$C$7:$C$1492,0),0))</f>
        <v>2.5000000000000001E-2</v>
      </c>
      <c r="H460" s="381">
        <f ca="1">SUM(H14:H459)*G460</f>
        <v>4963922.5</v>
      </c>
      <c r="I460" s="381">
        <f ca="1">SUM(I14:I459)*G460</f>
        <v>5372970.7599999998</v>
      </c>
      <c r="J460" s="381">
        <f ca="1">SUM(J14:J459)*G460</f>
        <v>566378.07241326815</v>
      </c>
      <c r="K460" s="382">
        <f ca="1">SUM(H460:J460)</f>
        <v>10903271.332413267</v>
      </c>
    </row>
    <row r="461" spans="2:11">
      <c r="B461" s="383"/>
      <c r="C461" s="384"/>
      <c r="D461" s="355" t="str">
        <f ca="1">IF(ISERROR(OFFSET('HARGA SATUAN'!$D$6,MATCH(RAB!C461,'HARGA SATUAN'!$C$7:$C$1492,0),0)),"",OFFSET('HARGA SATUAN'!$D$6,MATCH(RAB!C461,'HARGA SATUAN'!$C$7:$C$1492,0),0))</f>
        <v/>
      </c>
      <c r="E461" s="356" t="str">
        <f ca="1">IF(ISERROR(OFFSET('HARGA SATUAN'!$E$6,MATCH(RAB!C461,'HARGA SATUAN'!$C$7:$C$1492,0),0)),"",OFFSET('HARGA SATUAN'!$E$6,MATCH(RAB!C461,'HARGA SATUAN'!$C$7:$C$1492,0),0))</f>
        <v/>
      </c>
      <c r="F461" s="374"/>
      <c r="G461" s="357" t="str">
        <f ca="1">IF(ISERROR(OFFSET('HARGA SATUAN'!$I$6,MATCH(RAB!C461,'HARGA SATUAN'!$C$7:$C$1492,0),0)),"",OFFSET('HARGA SATUAN'!$I$6,MATCH(RAB!C461,'HARGA SATUAN'!$C$7:$C$1492,0),0))</f>
        <v/>
      </c>
      <c r="H461" s="358">
        <f ca="1">IF(OR(D461="MDU",D461="MDU-KD"),IF(G461="PLN",0,G461*F461),0)</f>
        <v>0</v>
      </c>
      <c r="I461" s="358">
        <f ca="1">IF(D461="HDW",IF(G461="PLN",0,G461*F461),0)</f>
        <v>0</v>
      </c>
      <c r="J461" s="358">
        <f ca="1">IF(D461="JASA",IF(G461="PLN",0,G461*F461),0)</f>
        <v>0</v>
      </c>
      <c r="K461" s="359">
        <f ca="1">SUM(H461:J461)</f>
        <v>0</v>
      </c>
    </row>
    <row r="462" spans="2:11" ht="15.75" thickBot="1">
      <c r="B462" s="385"/>
      <c r="C462" s="386"/>
      <c r="D462" s="387"/>
      <c r="E462" s="388"/>
      <c r="F462" s="388"/>
      <c r="G462" s="388"/>
      <c r="H462" s="389"/>
      <c r="I462" s="389"/>
      <c r="J462" s="389"/>
      <c r="K462" s="390"/>
    </row>
    <row r="463" spans="2:11">
      <c r="B463" s="391"/>
      <c r="C463" s="642" t="s">
        <v>1008</v>
      </c>
      <c r="D463" s="642"/>
      <c r="E463" s="642"/>
      <c r="F463" s="642"/>
      <c r="G463" s="392" t="s">
        <v>9</v>
      </c>
      <c r="H463" s="393">
        <f ca="1">SUM(H14:H461)</f>
        <v>203520822.5</v>
      </c>
      <c r="I463" s="393">
        <f ca="1">SUM(I14:I461)</f>
        <v>220291801.15999997</v>
      </c>
      <c r="J463" s="393">
        <f ca="1">SUM(J14:J461)</f>
        <v>23221500.968943994</v>
      </c>
      <c r="K463" s="393">
        <f ca="1">SUM(K14:K461)</f>
        <v>447034124.62894398</v>
      </c>
    </row>
    <row r="464" spans="2:11">
      <c r="B464" s="395"/>
      <c r="C464" s="658" t="s">
        <v>1457</v>
      </c>
      <c r="D464" s="658"/>
      <c r="E464" s="658"/>
      <c r="F464" s="658"/>
      <c r="G464" s="396" t="s">
        <v>9</v>
      </c>
      <c r="H464" s="397">
        <f ca="1">H463*0.11</f>
        <v>22387290.475000001</v>
      </c>
      <c r="I464" s="397">
        <f ca="1">I463*0.11</f>
        <v>24232098.127599996</v>
      </c>
      <c r="J464" s="397">
        <f ca="1">J463*0.11</f>
        <v>2554365.1065838393</v>
      </c>
      <c r="K464" s="397">
        <f ca="1">K463*0.11</f>
        <v>49173753.709183834</v>
      </c>
    </row>
    <row r="465" spans="2:13" ht="15.75" thickBot="1">
      <c r="B465" s="395"/>
      <c r="C465" s="656" t="s">
        <v>463</v>
      </c>
      <c r="D465" s="656"/>
      <c r="E465" s="656"/>
      <c r="F465" s="656"/>
      <c r="G465" s="398" t="s">
        <v>9</v>
      </c>
      <c r="H465" s="399">
        <f ca="1">SUM(H463:H464)</f>
        <v>225908112.97499999</v>
      </c>
      <c r="I465" s="399">
        <f ca="1">SUM(I463:I464)</f>
        <v>244523899.28759995</v>
      </c>
      <c r="J465" s="398">
        <f ca="1">SUM(J463:J464)</f>
        <v>25775866.075527832</v>
      </c>
      <c r="K465" s="398">
        <f ca="1">SUM(K463:K464)</f>
        <v>496207878.33812779</v>
      </c>
      <c r="M465" s="478"/>
    </row>
    <row r="466" spans="2:13">
      <c r="B466" s="659" t="str">
        <f ca="1">"Terbilang : "&amp;PROPER(IF(K465=0,"nol",IF(K465&lt;0,"minus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IF(--MID(TEXT(ABS(K465),"000000000000000"),1,3)=0,"",MID(TEXT(ABS(K465),"000000000000000"),1,1)&amp;" ratus "&amp;MID(TEXT(ABS(K465),"000000000000000"),2,1)&amp;" puluh "&amp;MID(TEXT(ABS(K465),"000000000000000"),3,1)&amp;" trilyun ")&amp; IF(--MID(TEXT(ABS(K465),"000000000000000"),4,3)=0,"",MID(TEXT(ABS(K465),"000000000000000"),4,1)&amp;" ratus "&amp;MID(TEXT(ABS(K465),"000000000000000"),5,1)&amp;" puluh "&amp;MID(TEXT(ABS(K465),"000000000000000"),6,1)&amp;" milyar ")&amp; IF(--MID(TEXT(ABS(K465),"000000000000000"),7,3)=0,"",MID(TEXT(ABS(K465),"000000000000000"),7,1)&amp;" ratus "&amp;MID(TEXT(ABS(K465),"000000000000000"),8,1)&amp;" puluh "&amp;MID(TEXT(ABS(K465),"000000000000000"),9,1)&amp;" juta ")&amp; IF(--MID(TEXT(ABS(K465),"000000000000000"),10,3)=0,"",IF(--MID(TEXT(ABS(K465),"000000000000000"),10,3)=1,"*",MID(TEXT(ABS(K465),"000000000000000"),10,1)&amp;" ratus "&amp;MID(TEXT(ABS(K465),"000000000000000"),11,1)&amp;" puluh ")&amp;MID(TEXT(ABS(K465),"000000000000000"),12,1)&amp;" ribu ")&amp; IF(--MID(TEXT(ABS(K465),"000000000000000"),13,3)=0,"",MID(TEXT(ABS(K465),"000000000000000"),13,1)&amp;" ratus "&amp;MID(TEXT(ABS(K465),"000000000000000"),14,1)&amp;" puluh "&amp;MID(TEXT(ABS(K465),"000000000000000"),15,1)),1,"satu"),2,"dua"),3,"tiga"),4,"empat"),5,"lima"),6,"enam"),7,"tujuh"),8,"delapan"),9,"sembilan"),"0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Sembilan Puluh Enam Juta Dua Ratus Tujuh Ribu Delapan Ratus Tujuh Puluh Delapan Rupiah</v>
      </c>
      <c r="C466" s="660"/>
      <c r="D466" s="660"/>
      <c r="E466" s="660"/>
      <c r="F466" s="660"/>
      <c r="G466" s="660"/>
      <c r="H466" s="660"/>
      <c r="I466" s="660"/>
      <c r="J466" s="660"/>
      <c r="K466" s="661"/>
    </row>
    <row r="467" spans="2:13">
      <c r="B467" s="662"/>
      <c r="C467" s="663"/>
      <c r="D467" s="663"/>
      <c r="E467" s="663"/>
      <c r="F467" s="663"/>
      <c r="G467" s="663"/>
      <c r="H467" s="663"/>
      <c r="I467" s="663"/>
      <c r="J467" s="663"/>
      <c r="K467" s="664"/>
    </row>
    <row r="468" spans="2:13" ht="15.75" thickBot="1">
      <c r="B468" s="400" t="str">
        <f>"Harga yang dipakai adalah "&amp;'HARGA SATUAN'!I5&amp;""</f>
        <v>Harga yang dipakai adalah RAB HSS 2023</v>
      </c>
      <c r="C468" s="401"/>
      <c r="D468" s="402"/>
      <c r="E468" s="402"/>
      <c r="F468" s="402"/>
      <c r="G468" s="403"/>
      <c r="H468" s="403"/>
      <c r="I468" s="403"/>
      <c r="J468" s="403"/>
      <c r="K468" s="404"/>
    </row>
    <row r="469" spans="2:13">
      <c r="C469" s="405"/>
      <c r="E469" s="407"/>
      <c r="F469" s="407"/>
      <c r="G469" s="407"/>
    </row>
    <row r="470" spans="2:13">
      <c r="C470" s="334"/>
      <c r="E470" s="407"/>
      <c r="F470" s="407"/>
      <c r="G470" s="407"/>
      <c r="H470" s="665"/>
      <c r="I470" s="665"/>
      <c r="J470" s="666"/>
      <c r="K470" s="666"/>
    </row>
    <row r="471" spans="2:13">
      <c r="C471" s="334"/>
      <c r="E471" s="407"/>
      <c r="F471" s="407"/>
      <c r="G471" s="407"/>
      <c r="H471" s="408"/>
      <c r="I471" s="655" t="s">
        <v>1610</v>
      </c>
      <c r="J471" s="655"/>
      <c r="K471" s="655"/>
    </row>
    <row r="472" spans="2:13">
      <c r="C472" s="334"/>
      <c r="E472" s="407"/>
      <c r="F472" s="407"/>
      <c r="G472" s="407"/>
      <c r="H472" s="408"/>
      <c r="I472" s="655" t="s">
        <v>1546</v>
      </c>
      <c r="J472" s="655"/>
      <c r="K472" s="655"/>
    </row>
    <row r="473" spans="2:13">
      <c r="C473" s="334"/>
      <c r="E473" s="407"/>
      <c r="F473" s="407"/>
      <c r="G473" s="407"/>
      <c r="H473" s="409"/>
      <c r="I473" s="410"/>
      <c r="J473" s="410"/>
      <c r="K473" s="410"/>
    </row>
    <row r="474" spans="2:13">
      <c r="C474" s="334"/>
      <c r="E474" s="407"/>
      <c r="F474" s="407"/>
      <c r="G474" s="407"/>
      <c r="H474" s="409"/>
      <c r="I474" s="409"/>
      <c r="J474" s="409"/>
      <c r="K474" s="409"/>
    </row>
    <row r="475" spans="2:13">
      <c r="C475" s="334"/>
      <c r="E475" s="407"/>
      <c r="F475" s="407"/>
      <c r="G475" s="407"/>
      <c r="H475" s="409"/>
      <c r="I475" s="409"/>
      <c r="J475" s="409"/>
      <c r="K475" s="409"/>
    </row>
    <row r="476" spans="2:13">
      <c r="C476" s="334"/>
      <c r="E476" s="407"/>
      <c r="F476" s="407"/>
      <c r="G476" s="407"/>
      <c r="H476" s="409"/>
      <c r="I476" s="409"/>
      <c r="J476" s="409"/>
      <c r="K476" s="409"/>
    </row>
    <row r="477" spans="2:13">
      <c r="C477" s="334"/>
      <c r="E477" s="407"/>
      <c r="F477" s="407"/>
      <c r="G477" s="407"/>
      <c r="H477" s="411"/>
      <c r="I477" s="655" t="s">
        <v>1547</v>
      </c>
      <c r="J477" s="655"/>
      <c r="K477" s="655"/>
    </row>
    <row r="478" spans="2:13">
      <c r="C478" s="405"/>
      <c r="E478" s="407"/>
      <c r="F478" s="407"/>
      <c r="G478" s="407"/>
      <c r="H478" s="409"/>
      <c r="I478" s="409"/>
      <c r="J478" s="409"/>
      <c r="K478" s="409"/>
    </row>
    <row r="479" spans="2:13">
      <c r="C479" s="405"/>
      <c r="E479" s="407"/>
      <c r="F479" s="407"/>
      <c r="G479" s="407"/>
      <c r="H479" s="409"/>
      <c r="I479" s="409"/>
      <c r="J479" s="409"/>
      <c r="K479" s="409"/>
    </row>
    <row r="480" spans="2:13">
      <c r="C480" s="405"/>
      <c r="E480" s="407"/>
      <c r="F480" s="407"/>
      <c r="G480" s="407"/>
      <c r="H480" s="409"/>
      <c r="I480" s="409"/>
      <c r="J480" s="409"/>
      <c r="K480" s="409"/>
    </row>
  </sheetData>
  <sheetProtection sort="0" autoFilter="0"/>
  <protectedRanges>
    <protectedRange sqref="B458 B440:B456" name="Range1_1"/>
    <protectedRange sqref="F439:F459 F413 F190:F191 F14:F46 F62 F86 F110:F126 F176:F180 F132 F143 F150:F167 F386:F387 F199:F231 F288 F312:F328 F378:F382 F334 F345 F352:F369 F247 F264 F389:F406" name="Range1_1_2_2"/>
    <protectedRange sqref="C458 C440:C441 C445:C456 C443" name="Range1_1_1"/>
    <protectedRange sqref="B427 B416:C417 B422 B438:C439 B418 B415 B406:C406 B419:C421 B423:C426 B413:C414" name="Range1_6_2"/>
    <protectedRange sqref="C427" name="Range1_1_3_2"/>
    <protectedRange sqref="C422" name="Range1_1_3_3"/>
    <protectedRange sqref="C418" name="Range1_1_3_10"/>
    <protectedRange sqref="C444" name="Range1_1_3_13"/>
    <protectedRange sqref="C19:C21 C204:C206" name="Range1_1_3_14"/>
    <protectedRange sqref="C22:C24 C207:C209" name="Range1_1_3"/>
    <protectedRange sqref="C192:C194 C388" name="Range1_1_3_5"/>
    <protectedRange sqref="C442" name="Range1_1_3_4"/>
    <protectedRange sqref="C191 C387" name="Range1_1_3_7"/>
    <protectedRange sqref="F168:F175 F181:F189 F370:F377 F383:F385" name="Range1_1_2_2_1"/>
    <protectedRange sqref="C48 C64:C65 C88:C89 C233 C266:C267 C290:C291 C249:C250" name="Range1_1_3_1"/>
    <protectedRange sqref="C49 C234" name="Range1_1_3_1_1"/>
    <protectedRange sqref="C195" name="Range1_1_3_6"/>
    <protectedRange sqref="C196" name="Range1_1_3_9"/>
    <protectedRange sqref="C197" name="Range1_1_3_12"/>
    <protectedRange sqref="C198" name="Range1_1_3_15"/>
    <protectedRange sqref="C402 C411" name="Range1_1_3_16"/>
    <protectedRange sqref="C403" name="Range1_1_3_17"/>
    <protectedRange sqref="C415" name="Range1_1_3_18"/>
  </protectedRanges>
  <mergeCells count="22">
    <mergeCell ref="I472:K472"/>
    <mergeCell ref="I477:K477"/>
    <mergeCell ref="C465:F465"/>
    <mergeCell ref="G6:K6"/>
    <mergeCell ref="I471:K471"/>
    <mergeCell ref="C464:F464"/>
    <mergeCell ref="B466:K467"/>
    <mergeCell ref="H470:K470"/>
    <mergeCell ref="H11:K11"/>
    <mergeCell ref="H12:H13"/>
    <mergeCell ref="J12:J13"/>
    <mergeCell ref="K12:K13"/>
    <mergeCell ref="O3:P4"/>
    <mergeCell ref="B4:K4"/>
    <mergeCell ref="C463:F463"/>
    <mergeCell ref="B11:B13"/>
    <mergeCell ref="C11:C13"/>
    <mergeCell ref="D11:D13"/>
    <mergeCell ref="E11:E13"/>
    <mergeCell ref="F11:F13"/>
    <mergeCell ref="G11:G13"/>
    <mergeCell ref="I12:I13"/>
  </mergeCells>
  <phoneticPr fontId="141" type="noConversion"/>
  <conditionalFormatting sqref="C17 C427">
    <cfRule type="cellIs" dxfId="41" priority="597" operator="equal">
      <formula>0</formula>
    </cfRule>
  </conditionalFormatting>
  <conditionalFormatting sqref="C19:C25">
    <cfRule type="cellIs" dxfId="40" priority="71" operator="equal">
      <formula>0</formula>
    </cfRule>
  </conditionalFormatting>
  <conditionalFormatting sqref="C48:C49">
    <cfRule type="cellIs" dxfId="39" priority="55" operator="equal">
      <formula>0</formula>
    </cfRule>
  </conditionalFormatting>
  <conditionalFormatting sqref="C64:C65">
    <cfRule type="cellIs" dxfId="38" priority="51" operator="equal">
      <formula>0</formula>
    </cfRule>
  </conditionalFormatting>
  <conditionalFormatting sqref="C88:C89">
    <cfRule type="cellIs" dxfId="37" priority="49" operator="equal">
      <formula>0</formula>
    </cfRule>
  </conditionalFormatting>
  <conditionalFormatting sqref="C130">
    <cfRule type="cellIs" dxfId="36" priority="47" operator="equal">
      <formula>0</formula>
    </cfRule>
  </conditionalFormatting>
  <conditionalFormatting sqref="C146">
    <cfRule type="cellIs" dxfId="35" priority="44" operator="equal">
      <formula>0</formula>
    </cfRule>
  </conditionalFormatting>
  <conditionalFormatting sqref="C148">
    <cfRule type="cellIs" dxfId="34" priority="45" operator="equal">
      <formula>0</formula>
    </cfRule>
  </conditionalFormatting>
  <conditionalFormatting sqref="C191:C198">
    <cfRule type="cellIs" dxfId="33" priority="14" operator="equal">
      <formula>0</formula>
    </cfRule>
  </conditionalFormatting>
  <conditionalFormatting sqref="C202">
    <cfRule type="cellIs" dxfId="32" priority="40" operator="equal">
      <formula>0</formula>
    </cfRule>
  </conditionalFormatting>
  <conditionalFormatting sqref="C204:C210">
    <cfRule type="cellIs" dxfId="31" priority="37" operator="equal">
      <formula>0</formula>
    </cfRule>
  </conditionalFormatting>
  <conditionalFormatting sqref="C233:C234">
    <cfRule type="cellIs" dxfId="30" priority="36" operator="equal">
      <formula>0</formula>
    </cfRule>
  </conditionalFormatting>
  <conditionalFormatting sqref="C249:C250">
    <cfRule type="cellIs" dxfId="29" priority="10" operator="equal">
      <formula>0</formula>
    </cfRule>
  </conditionalFormatting>
  <conditionalFormatting sqref="C259">
    <cfRule type="cellIs" dxfId="28" priority="13" stopIfTrue="1" operator="equal">
      <formula>0</formula>
    </cfRule>
  </conditionalFormatting>
  <conditionalFormatting sqref="C266:C267">
    <cfRule type="cellIs" dxfId="27" priority="34" operator="equal">
      <formula>0</formula>
    </cfRule>
  </conditionalFormatting>
  <conditionalFormatting sqref="C290:C291">
    <cfRule type="cellIs" dxfId="26" priority="32" operator="equal">
      <formula>0</formula>
    </cfRule>
  </conditionalFormatting>
  <conditionalFormatting sqref="C332">
    <cfRule type="cellIs" dxfId="25" priority="31" operator="equal">
      <formula>0</formula>
    </cfRule>
  </conditionalFormatting>
  <conditionalFormatting sqref="C348">
    <cfRule type="cellIs" dxfId="24" priority="29" operator="equal">
      <formula>0</formula>
    </cfRule>
  </conditionalFormatting>
  <conditionalFormatting sqref="C350">
    <cfRule type="cellIs" dxfId="23" priority="30" operator="equal">
      <formula>0</formula>
    </cfRule>
  </conditionalFormatting>
  <conditionalFormatting sqref="C387:C388">
    <cfRule type="cellIs" dxfId="22" priority="38" operator="equal">
      <formula>0</formula>
    </cfRule>
  </conditionalFormatting>
  <conditionalFormatting sqref="C402:C403">
    <cfRule type="cellIs" dxfId="21" priority="7" operator="equal">
      <formula>0</formula>
    </cfRule>
  </conditionalFormatting>
  <conditionalFormatting sqref="C405">
    <cfRule type="cellIs" dxfId="20" priority="222" operator="equal">
      <formula>0</formula>
    </cfRule>
  </conditionalFormatting>
  <conditionalFormatting sqref="C408">
    <cfRule type="cellIs" dxfId="19" priority="6" operator="equal">
      <formula>0</formula>
    </cfRule>
  </conditionalFormatting>
  <conditionalFormatting sqref="C411:C412">
    <cfRule type="cellIs" dxfId="18" priority="4" operator="equal">
      <formula>0</formula>
    </cfRule>
  </conditionalFormatting>
  <conditionalFormatting sqref="C415">
    <cfRule type="cellIs" dxfId="17" priority="3" operator="equal">
      <formula>0</formula>
    </cfRule>
  </conditionalFormatting>
  <conditionalFormatting sqref="C442">
    <cfRule type="cellIs" dxfId="16" priority="2" operator="equal">
      <formula>0</formula>
    </cfRule>
  </conditionalFormatting>
  <conditionalFormatting sqref="C454">
    <cfRule type="cellIs" dxfId="15" priority="94" operator="equal">
      <formula>0</formula>
    </cfRule>
  </conditionalFormatting>
  <conditionalFormatting sqref="C457">
    <cfRule type="cellIs" dxfId="14" priority="220" operator="equal">
      <formula>0</formula>
    </cfRule>
  </conditionalFormatting>
  <conditionalFormatting sqref="E1:E3 G1:G13 E5:E13 H12:I12 O13 G47:K406 E192:E389 F389 E460:G460 H460:K462 E461:H461 E462:F462">
    <cfRule type="cellIs" dxfId="13" priority="1177" stopIfTrue="1" operator="equal">
      <formula>0</formula>
    </cfRule>
  </conditionalFormatting>
  <conditionalFormatting sqref="E63:E85 E86:F86 E87:E109">
    <cfRule type="cellIs" dxfId="12" priority="56" stopIfTrue="1" operator="equal">
      <formula>0</formula>
    </cfRule>
  </conditionalFormatting>
  <conditionalFormatting sqref="E47:F62">
    <cfRule type="cellIs" dxfId="11" priority="54" stopIfTrue="1" operator="equal">
      <formula>0</formula>
    </cfRule>
  </conditionalFormatting>
  <conditionalFormatting sqref="E110:F191">
    <cfRule type="cellIs" dxfId="10" priority="41" stopIfTrue="1" operator="equal">
      <formula>0</formula>
    </cfRule>
  </conditionalFormatting>
  <conditionalFormatting sqref="E390:F406">
    <cfRule type="cellIs" dxfId="9" priority="9" stopIfTrue="1" operator="equal">
      <formula>0</formula>
    </cfRule>
  </conditionalFormatting>
  <conditionalFormatting sqref="E407:K459">
    <cfRule type="cellIs" dxfId="8" priority="1" stopIfTrue="1" operator="equal">
      <formula>0</formula>
    </cfRule>
  </conditionalFormatting>
  <conditionalFormatting sqref="F63:F67">
    <cfRule type="cellIs" dxfId="7" priority="53" stopIfTrue="1" operator="equal">
      <formula>0</formula>
    </cfRule>
  </conditionalFormatting>
  <conditionalFormatting sqref="F192:F198">
    <cfRule type="cellIs" dxfId="6" priority="115" operator="equal">
      <formula>0</formula>
    </cfRule>
  </conditionalFormatting>
  <conditionalFormatting sqref="F199:F269">
    <cfRule type="cellIs" dxfId="5" priority="12" stopIfTrue="1" operator="equal">
      <formula>0</formula>
    </cfRule>
  </conditionalFormatting>
  <conditionalFormatting sqref="F288">
    <cfRule type="cellIs" dxfId="4" priority="26" stopIfTrue="1" operator="equal">
      <formula>0</formula>
    </cfRule>
  </conditionalFormatting>
  <conditionalFormatting sqref="F312:F387">
    <cfRule type="cellIs" dxfId="3" priority="19" stopIfTrue="1" operator="equal">
      <formula>0</formula>
    </cfRule>
  </conditionalFormatting>
  <conditionalFormatting sqref="F388">
    <cfRule type="cellIs" dxfId="2" priority="28" operator="equal">
      <formula>0</formula>
    </cfRule>
  </conditionalFormatting>
  <conditionalFormatting sqref="G461:G65927 E466:E65927">
    <cfRule type="cellIs" dxfId="1" priority="311" stopIfTrue="1" operator="equal">
      <formula>0</formula>
    </cfRule>
  </conditionalFormatting>
  <conditionalFormatting sqref="S14:V25 E14:K46">
    <cfRule type="cellIs" dxfId="0" priority="7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462 F166 F162:F164 F46:F61 F154:F160 F67 F86 F63:F65 F127:F131 F144:F149 F133:F142 F168:F191 F199:F203 F370:F387 F368 F364:F366 F231:F246 F356:F362 F269 F288 F265:F267 F329:F333 F346:F351 F335:F344 F389:F438 C409:C41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109"/>
  <sheetViews>
    <sheetView showGridLines="0" view="pageBreakPreview" topLeftCell="A61" zoomScale="115" zoomScaleNormal="115" zoomScaleSheetLayoutView="115" workbookViewId="0">
      <selection activeCell="Y89" sqref="Y89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6" t="s">
        <v>1439</v>
      </c>
      <c r="X2" s="707"/>
      <c r="Y2" s="707"/>
      <c r="Z2" s="707"/>
      <c r="AA2" s="707"/>
      <c r="AB2" s="707"/>
      <c r="AC2" s="707"/>
      <c r="AD2" s="708"/>
    </row>
    <row r="3" spans="3:30">
      <c r="C3" s="238"/>
      <c r="G3" s="484" t="str">
        <f>PETA!C6</f>
        <v>KOORDINAT : -6.934634, 110.572923</v>
      </c>
      <c r="W3" s="709"/>
      <c r="X3" s="710"/>
      <c r="Y3" s="710"/>
      <c r="Z3" s="710"/>
      <c r="AA3" s="710"/>
      <c r="AB3" s="710"/>
      <c r="AC3" s="710"/>
      <c r="AD3" s="71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72" t="s">
        <v>990</v>
      </c>
      <c r="Y5" s="672"/>
      <c r="Z5" s="672"/>
      <c r="AA5" s="672" t="s">
        <v>988</v>
      </c>
      <c r="AB5" s="672"/>
      <c r="AC5" s="672" t="s">
        <v>989</v>
      </c>
      <c r="AD5" s="673"/>
    </row>
    <row r="6" spans="3:30">
      <c r="C6" s="238"/>
      <c r="W6" s="241">
        <v>1</v>
      </c>
      <c r="X6" s="672" t="s">
        <v>993</v>
      </c>
      <c r="Y6" s="672"/>
      <c r="Z6" s="672"/>
      <c r="AA6" s="672"/>
      <c r="AB6" s="672"/>
      <c r="AC6" s="672"/>
      <c r="AD6" s="673"/>
    </row>
    <row r="7" spans="3:30">
      <c r="C7" s="238"/>
      <c r="W7" s="241">
        <v>2</v>
      </c>
      <c r="X7" s="672" t="s">
        <v>994</v>
      </c>
      <c r="Y7" s="672"/>
      <c r="Z7" s="672"/>
      <c r="AA7" s="672"/>
      <c r="AB7" s="672"/>
      <c r="AC7" s="672"/>
      <c r="AD7" s="673"/>
    </row>
    <row r="8" spans="3:30">
      <c r="C8" s="238"/>
      <c r="W8" s="241">
        <v>3</v>
      </c>
      <c r="X8" s="672" t="s">
        <v>995</v>
      </c>
      <c r="Y8" s="672"/>
      <c r="Z8" s="672"/>
      <c r="AA8" s="672"/>
      <c r="AB8" s="672"/>
      <c r="AC8" s="672"/>
      <c r="AD8" s="673"/>
    </row>
    <row r="9" spans="3:30">
      <c r="C9" s="238"/>
      <c r="W9" s="241">
        <v>4</v>
      </c>
      <c r="X9" s="672" t="s">
        <v>996</v>
      </c>
      <c r="Y9" s="672"/>
      <c r="Z9" s="672"/>
      <c r="AA9" s="672"/>
      <c r="AB9" s="672"/>
      <c r="AC9" s="672"/>
      <c r="AD9" s="673"/>
    </row>
    <row r="10" spans="3:30">
      <c r="C10" s="238"/>
      <c r="W10" s="241">
        <v>5</v>
      </c>
      <c r="X10" s="672" t="s">
        <v>997</v>
      </c>
      <c r="Y10" s="672"/>
      <c r="Z10" s="672"/>
      <c r="AA10" s="672"/>
      <c r="AB10" s="672"/>
      <c r="AC10" s="672"/>
      <c r="AD10" s="673"/>
    </row>
    <row r="11" spans="3:30">
      <c r="C11" s="238"/>
      <c r="W11" s="241">
        <v>6</v>
      </c>
      <c r="X11" s="672" t="s">
        <v>998</v>
      </c>
      <c r="Y11" s="672"/>
      <c r="Z11" s="672"/>
      <c r="AA11" s="672"/>
      <c r="AB11" s="672"/>
      <c r="AC11" s="672"/>
      <c r="AD11" s="673"/>
    </row>
    <row r="12" spans="3:30">
      <c r="C12" s="238"/>
      <c r="W12" s="241">
        <v>7</v>
      </c>
      <c r="X12" s="672" t="s">
        <v>999</v>
      </c>
      <c r="Y12" s="672"/>
      <c r="Z12" s="672"/>
      <c r="AA12" s="672"/>
      <c r="AB12" s="672"/>
      <c r="AC12" s="672"/>
      <c r="AD12" s="673"/>
    </row>
    <row r="13" spans="3:30" ht="12.75" customHeight="1">
      <c r="C13" s="238"/>
      <c r="W13" s="241">
        <v>8</v>
      </c>
      <c r="X13" s="672" t="s">
        <v>1000</v>
      </c>
      <c r="Y13" s="672"/>
      <c r="Z13" s="672"/>
      <c r="AA13" s="672"/>
      <c r="AB13" s="672"/>
      <c r="AC13" s="672"/>
      <c r="AD13" s="673"/>
    </row>
    <row r="14" spans="3:30">
      <c r="C14" s="238"/>
      <c r="W14" s="241">
        <v>9</v>
      </c>
      <c r="X14" s="672" t="s">
        <v>1001</v>
      </c>
      <c r="Y14" s="672"/>
      <c r="Z14" s="672"/>
      <c r="AA14" s="672"/>
      <c r="AB14" s="672"/>
      <c r="AC14" s="672"/>
      <c r="AD14" s="673"/>
    </row>
    <row r="15" spans="3:30">
      <c r="C15" s="238"/>
      <c r="W15" s="241">
        <v>10</v>
      </c>
      <c r="X15" s="672" t="s">
        <v>1010</v>
      </c>
      <c r="Y15" s="672"/>
      <c r="Z15" s="672"/>
      <c r="AA15" s="672"/>
      <c r="AB15" s="672"/>
      <c r="AC15" s="672"/>
      <c r="AD15" s="673"/>
    </row>
    <row r="16" spans="3:30">
      <c r="C16" s="238"/>
      <c r="W16" s="241">
        <v>11</v>
      </c>
      <c r="X16" s="672" t="s">
        <v>1455</v>
      </c>
      <c r="Y16" s="672"/>
      <c r="Z16" s="672"/>
      <c r="AA16" s="672"/>
      <c r="AB16" s="672"/>
      <c r="AC16" s="672"/>
      <c r="AD16" s="673"/>
    </row>
    <row r="17" spans="3:30">
      <c r="C17" s="238"/>
      <c r="S17" s="242"/>
      <c r="W17" s="241">
        <v>12</v>
      </c>
      <c r="X17" s="672" t="s">
        <v>1011</v>
      </c>
      <c r="Y17" s="672"/>
      <c r="Z17" s="672"/>
      <c r="AA17" s="672"/>
      <c r="AB17" s="672"/>
      <c r="AC17" s="672"/>
      <c r="AD17" s="673"/>
    </row>
    <row r="18" spans="3:30">
      <c r="C18" s="243"/>
      <c r="D18" s="244"/>
      <c r="E18" s="244"/>
      <c r="W18" s="241">
        <v>13</v>
      </c>
      <c r="X18" s="672"/>
      <c r="Y18" s="672"/>
      <c r="Z18" s="672"/>
      <c r="AA18" s="672"/>
      <c r="AB18" s="672"/>
      <c r="AC18" s="672"/>
      <c r="AD18" s="673"/>
    </row>
    <row r="19" spans="3:30">
      <c r="C19" s="238"/>
      <c r="W19" s="245"/>
      <c r="X19" s="704"/>
      <c r="Y19" s="704"/>
      <c r="Z19" s="704"/>
      <c r="AA19" s="704"/>
      <c r="AB19" s="704"/>
      <c r="AC19" s="704"/>
      <c r="AD19" s="705"/>
    </row>
    <row r="20" spans="3:30">
      <c r="C20" s="238"/>
      <c r="W20" s="698" t="s">
        <v>992</v>
      </c>
      <c r="X20" s="699"/>
      <c r="Y20" s="699"/>
      <c r="Z20" s="699"/>
      <c r="AA20" s="699"/>
      <c r="AB20" s="699"/>
      <c r="AC20" s="699"/>
      <c r="AD20" s="700"/>
    </row>
    <row r="21" spans="3:30">
      <c r="C21" s="238"/>
      <c r="W21" s="701" t="s">
        <v>985</v>
      </c>
      <c r="X21" s="702"/>
      <c r="Y21" s="702"/>
      <c r="Z21" s="703"/>
      <c r="AA21" s="712" t="s">
        <v>986</v>
      </c>
      <c r="AB21" s="713"/>
      <c r="AC21" s="713"/>
      <c r="AD21" s="714"/>
    </row>
    <row r="22" spans="3:30">
      <c r="C22" s="238"/>
      <c r="W22" s="684" t="s">
        <v>1645</v>
      </c>
      <c r="X22" s="685"/>
      <c r="Y22" s="486">
        <v>2</v>
      </c>
      <c r="Z22" s="518" t="s">
        <v>1632</v>
      </c>
      <c r="AA22" s="715" t="s">
        <v>1655</v>
      </c>
      <c r="AB22" s="716"/>
      <c r="AC22" s="248">
        <v>8</v>
      </c>
      <c r="AD22" s="249" t="s">
        <v>1058</v>
      </c>
    </row>
    <row r="23" spans="3:30">
      <c r="C23" s="238"/>
      <c r="W23" s="684" t="s">
        <v>1646</v>
      </c>
      <c r="X23" s="685"/>
      <c r="Y23" s="486">
        <v>8</v>
      </c>
      <c r="Z23" s="518" t="s">
        <v>1632</v>
      </c>
      <c r="AA23" s="717" t="s">
        <v>1656</v>
      </c>
      <c r="AB23" s="718"/>
      <c r="AC23" s="248">
        <v>7</v>
      </c>
      <c r="AD23" s="249" t="s">
        <v>1058</v>
      </c>
    </row>
    <row r="24" spans="3:30">
      <c r="C24" s="238"/>
      <c r="W24" s="684" t="s">
        <v>1626</v>
      </c>
      <c r="X24" s="685"/>
      <c r="Y24" s="486">
        <v>1</v>
      </c>
      <c r="Z24" s="518" t="s">
        <v>1632</v>
      </c>
      <c r="AA24" s="721" t="s">
        <v>1640</v>
      </c>
      <c r="AB24" s="722"/>
      <c r="AC24" s="248">
        <v>2</v>
      </c>
      <c r="AD24" s="249" t="s">
        <v>1058</v>
      </c>
    </row>
    <row r="25" spans="3:30">
      <c r="C25" s="238"/>
      <c r="W25" s="522" t="s">
        <v>1638</v>
      </c>
      <c r="X25" s="524"/>
      <c r="Y25" s="246">
        <v>1</v>
      </c>
      <c r="Z25" s="518" t="s">
        <v>1632</v>
      </c>
      <c r="AA25" s="717"/>
      <c r="AB25" s="718"/>
      <c r="AC25" s="248"/>
      <c r="AD25" s="249"/>
    </row>
    <row r="26" spans="3:30">
      <c r="C26" s="238"/>
      <c r="W26" s="522" t="s">
        <v>1639</v>
      </c>
      <c r="X26" s="524"/>
      <c r="Y26" s="246">
        <v>1</v>
      </c>
      <c r="Z26" s="518" t="s">
        <v>1632</v>
      </c>
      <c r="AA26" s="717"/>
      <c r="AB26" s="718"/>
      <c r="AC26" s="248"/>
      <c r="AD26" s="249"/>
    </row>
    <row r="27" spans="3:30">
      <c r="C27" s="238"/>
      <c r="W27" s="522" t="s">
        <v>1640</v>
      </c>
      <c r="X27" s="523"/>
      <c r="Y27" s="246">
        <v>1</v>
      </c>
      <c r="Z27" s="518" t="s">
        <v>1632</v>
      </c>
      <c r="AA27" s="719"/>
      <c r="AB27" s="720"/>
      <c r="AC27" s="248"/>
      <c r="AD27" s="249"/>
    </row>
    <row r="28" spans="3:30">
      <c r="C28" s="238"/>
      <c r="W28" s="522" t="s">
        <v>1641</v>
      </c>
      <c r="X28" s="523"/>
      <c r="Y28" s="246">
        <v>9</v>
      </c>
      <c r="Z28" s="518" t="s">
        <v>1632</v>
      </c>
      <c r="AA28" s="719"/>
      <c r="AB28" s="720"/>
      <c r="AC28" s="248"/>
      <c r="AD28" s="249"/>
    </row>
    <row r="29" spans="3:30">
      <c r="C29" s="238"/>
      <c r="W29" s="522" t="s">
        <v>1642</v>
      </c>
      <c r="X29" s="523"/>
      <c r="Y29" s="246">
        <v>0</v>
      </c>
      <c r="Z29" s="518" t="s">
        <v>1632</v>
      </c>
      <c r="AA29" s="719"/>
      <c r="AB29" s="720"/>
      <c r="AC29" s="248"/>
      <c r="AD29" s="249"/>
    </row>
    <row r="30" spans="3:30" ht="11.25" customHeight="1">
      <c r="C30" s="238"/>
      <c r="W30" s="522" t="s">
        <v>1627</v>
      </c>
      <c r="X30" s="523"/>
      <c r="Y30" s="246">
        <v>3</v>
      </c>
      <c r="Z30" s="518" t="s">
        <v>1632</v>
      </c>
      <c r="AA30" s="719"/>
      <c r="AB30" s="720"/>
      <c r="AC30" s="248"/>
      <c r="AD30" s="249"/>
    </row>
    <row r="31" spans="3:30">
      <c r="C31" s="238"/>
      <c r="U31" s="250"/>
      <c r="W31" s="522" t="s">
        <v>1628</v>
      </c>
      <c r="X31" s="523"/>
      <c r="Y31" s="246">
        <v>3</v>
      </c>
      <c r="Z31" s="518" t="s">
        <v>1632</v>
      </c>
      <c r="AA31" s="719"/>
      <c r="AB31" s="720"/>
      <c r="AC31" s="248"/>
      <c r="AD31" s="249"/>
    </row>
    <row r="32" spans="3:30">
      <c r="C32" s="238"/>
      <c r="U32" s="250"/>
      <c r="W32" s="522" t="s">
        <v>1629</v>
      </c>
      <c r="X32" s="523"/>
      <c r="Y32" s="246">
        <v>10</v>
      </c>
      <c r="Z32" s="518" t="s">
        <v>1632</v>
      </c>
      <c r="AA32" s="719"/>
      <c r="AB32" s="720"/>
      <c r="AC32" s="248"/>
      <c r="AD32" s="249"/>
    </row>
    <row r="33" spans="3:30">
      <c r="C33" s="238"/>
      <c r="W33" s="522" t="s">
        <v>1631</v>
      </c>
      <c r="X33" s="523"/>
      <c r="Y33" s="246">
        <v>3</v>
      </c>
      <c r="Z33" s="518" t="s">
        <v>1632</v>
      </c>
      <c r="AA33" s="719"/>
      <c r="AB33" s="720"/>
      <c r="AC33" s="248"/>
      <c r="AD33" s="249"/>
    </row>
    <row r="34" spans="3:30">
      <c r="C34" s="238"/>
      <c r="W34" s="519" t="s">
        <v>1633</v>
      </c>
      <c r="X34" s="477"/>
      <c r="Y34" s="246">
        <f>((543*4)*5%)+(543*4)</f>
        <v>2280.6</v>
      </c>
      <c r="Z34" s="518" t="s">
        <v>1644</v>
      </c>
      <c r="AA34" s="719"/>
      <c r="AB34" s="720"/>
      <c r="AC34" s="248"/>
      <c r="AD34" s="249"/>
    </row>
    <row r="35" spans="3:30">
      <c r="C35" s="238"/>
      <c r="W35" s="522" t="s">
        <v>1634</v>
      </c>
      <c r="X35" s="523"/>
      <c r="Y35" s="246">
        <v>2</v>
      </c>
      <c r="Z35" s="518" t="s">
        <v>1632</v>
      </c>
      <c r="AA35" s="719"/>
      <c r="AB35" s="720"/>
      <c r="AC35" s="248"/>
      <c r="AD35" s="249"/>
    </row>
    <row r="36" spans="3:30">
      <c r="C36" s="238"/>
      <c r="W36" s="723" t="s">
        <v>1652</v>
      </c>
      <c r="X36" s="724"/>
      <c r="Y36" s="246">
        <v>1</v>
      </c>
      <c r="Z36" s="518" t="s">
        <v>1632</v>
      </c>
      <c r="AA36" s="719"/>
      <c r="AB36" s="720"/>
      <c r="AC36" s="248"/>
      <c r="AD36" s="249"/>
    </row>
    <row r="37" spans="3:30" ht="12.75" customHeight="1">
      <c r="C37" s="238"/>
      <c r="W37" s="692" t="s">
        <v>1653</v>
      </c>
      <c r="X37" s="693"/>
      <c r="Y37" s="246">
        <v>3</v>
      </c>
      <c r="Z37" s="518" t="s">
        <v>1632</v>
      </c>
      <c r="AA37" s="696"/>
      <c r="AB37" s="697"/>
      <c r="AC37" s="251"/>
      <c r="AD37" s="252"/>
    </row>
    <row r="38" spans="3:30" ht="12.75" customHeight="1">
      <c r="C38" s="238"/>
      <c r="W38" s="692" t="s">
        <v>1654</v>
      </c>
      <c r="X38" s="693"/>
      <c r="Y38" s="253">
        <v>3</v>
      </c>
      <c r="Z38" s="518" t="s">
        <v>1632</v>
      </c>
      <c r="AA38" s="528"/>
      <c r="AB38" s="514"/>
      <c r="AC38" s="251"/>
      <c r="AD38" s="252"/>
    </row>
    <row r="39" spans="3:30" ht="12" customHeight="1">
      <c r="C39" s="238"/>
      <c r="D39" s="508"/>
      <c r="W39" s="692" t="s">
        <v>1619</v>
      </c>
      <c r="X39" s="693"/>
      <c r="Y39" s="253">
        <v>1</v>
      </c>
      <c r="Z39" s="518" t="s">
        <v>1632</v>
      </c>
      <c r="AA39" s="725"/>
      <c r="AB39" s="690"/>
      <c r="AC39" s="251"/>
      <c r="AD39" s="252"/>
    </row>
    <row r="40" spans="3:30" ht="12" customHeight="1">
      <c r="C40" s="238"/>
      <c r="D40" s="508"/>
      <c r="W40" s="726"/>
      <c r="X40" s="727"/>
      <c r="Y40" s="253"/>
      <c r="Z40" s="254"/>
      <c r="AA40" s="255"/>
      <c r="AB40" s="256"/>
      <c r="AC40" s="251"/>
      <c r="AD40" s="252"/>
    </row>
    <row r="41" spans="3:30" ht="12" customHeight="1">
      <c r="C41" s="238"/>
      <c r="D41" s="508"/>
      <c r="W41" s="728"/>
      <c r="X41" s="729"/>
      <c r="Y41" s="257"/>
      <c r="Z41" s="258"/>
      <c r="AA41" s="725"/>
      <c r="AB41" s="690"/>
      <c r="AC41" s="251"/>
      <c r="AD41" s="252"/>
    </row>
    <row r="42" spans="3:30" ht="12" customHeight="1">
      <c r="C42" s="238"/>
      <c r="D42" s="508"/>
      <c r="W42" s="687" t="s">
        <v>1456</v>
      </c>
      <c r="X42" s="688"/>
      <c r="Y42" s="688"/>
      <c r="Z42" s="688"/>
      <c r="AA42" s="259"/>
      <c r="AB42" s="259"/>
      <c r="AC42" s="259"/>
      <c r="AD42" s="260"/>
    </row>
    <row r="43" spans="3:30" ht="12" customHeight="1">
      <c r="C43" s="238"/>
      <c r="D43" s="50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508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69" t="s">
        <v>11</v>
      </c>
      <c r="X44" s="670"/>
      <c r="Y44" s="672"/>
      <c r="Z44" s="672"/>
      <c r="AA44" s="672"/>
      <c r="AB44" s="672"/>
      <c r="AC44" s="672"/>
      <c r="AD44" s="673"/>
    </row>
    <row r="45" spans="3:30">
      <c r="C45" s="265"/>
      <c r="D45" s="508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69" t="s">
        <v>984</v>
      </c>
      <c r="X45" s="670"/>
      <c r="Y45" s="672">
        <v>1</v>
      </c>
      <c r="Z45" s="672"/>
      <c r="AA45" s="672"/>
      <c r="AB45" s="672" t="s">
        <v>12</v>
      </c>
      <c r="AC45" s="672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69" t="s">
        <v>15</v>
      </c>
      <c r="X46" s="670"/>
      <c r="Y46" s="677"/>
      <c r="Z46" s="677"/>
      <c r="AA46" s="677"/>
      <c r="AB46" s="672" t="s">
        <v>16</v>
      </c>
      <c r="AC46" s="672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78" t="s">
        <v>17</v>
      </c>
      <c r="X47" s="678"/>
      <c r="Y47" s="678"/>
      <c r="Z47" s="678"/>
      <c r="AA47" s="678"/>
      <c r="AB47" s="678"/>
      <c r="AC47" s="678"/>
      <c r="AD47" s="679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80" t="str">
        <f>RAB!G6</f>
        <v>NUR CAHYO</v>
      </c>
      <c r="X48" s="680"/>
      <c r="Y48" s="680"/>
      <c r="Z48" s="680"/>
      <c r="AA48" s="680"/>
      <c r="AB48" s="680"/>
      <c r="AC48" s="680"/>
      <c r="AD48" s="681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80"/>
      <c r="X49" s="680"/>
      <c r="Y49" s="680"/>
      <c r="Z49" s="680"/>
      <c r="AA49" s="680"/>
      <c r="AB49" s="680"/>
      <c r="AC49" s="680"/>
      <c r="AD49" s="681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80"/>
      <c r="X50" s="680"/>
      <c r="Y50" s="680"/>
      <c r="Z50" s="680"/>
      <c r="AA50" s="680"/>
      <c r="AB50" s="680"/>
      <c r="AC50" s="680"/>
      <c r="AD50" s="681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82"/>
      <c r="X51" s="682"/>
      <c r="Y51" s="682"/>
      <c r="Z51" s="682"/>
      <c r="AA51" s="682"/>
      <c r="AB51" s="682"/>
      <c r="AC51" s="682"/>
      <c r="AD51" s="683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69" t="s">
        <v>18</v>
      </c>
      <c r="X52" s="670"/>
      <c r="Y52" s="672" t="s">
        <v>1549</v>
      </c>
      <c r="Z52" s="672"/>
      <c r="AA52" s="672"/>
      <c r="AB52" s="672"/>
      <c r="AC52" s="672"/>
      <c r="AD52" s="673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525"/>
      <c r="Q53" s="266"/>
      <c r="R53" s="266"/>
      <c r="S53" s="266"/>
      <c r="T53" s="266"/>
      <c r="V53" s="261"/>
      <c r="W53" s="669" t="s">
        <v>19</v>
      </c>
      <c r="X53" s="670"/>
      <c r="Y53" s="672" t="s">
        <v>1549</v>
      </c>
      <c r="Z53" s="672"/>
      <c r="AA53" s="672"/>
      <c r="AB53" s="672"/>
      <c r="AC53" s="672"/>
      <c r="AD53" s="673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69" t="s">
        <v>20</v>
      </c>
      <c r="X54" s="670"/>
      <c r="Y54" s="671" t="s">
        <v>1550</v>
      </c>
      <c r="Z54" s="671"/>
      <c r="AA54" s="671"/>
      <c r="AB54" s="672"/>
      <c r="AC54" s="672"/>
      <c r="AD54" s="673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74" t="s">
        <v>21</v>
      </c>
      <c r="X55" s="675"/>
      <c r="Y55" s="671" t="s">
        <v>1551</v>
      </c>
      <c r="Z55" s="671"/>
      <c r="AA55" s="671"/>
      <c r="AB55" s="671"/>
      <c r="AC55" s="671"/>
      <c r="AD55" s="676"/>
    </row>
    <row r="56" spans="3:30">
      <c r="C56" s="236"/>
      <c r="D56" s="237"/>
      <c r="E56" s="237"/>
      <c r="F56" s="237"/>
      <c r="G56" s="237"/>
      <c r="H56" s="237"/>
      <c r="I56" s="237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706" t="s">
        <v>1439</v>
      </c>
      <c r="X56" s="707"/>
      <c r="Y56" s="707"/>
      <c r="Z56" s="707"/>
      <c r="AA56" s="707"/>
      <c r="AB56" s="707"/>
      <c r="AC56" s="707"/>
      <c r="AD56" s="708"/>
    </row>
    <row r="57" spans="3:30">
      <c r="C57" s="238"/>
      <c r="W57" s="709"/>
      <c r="X57" s="710"/>
      <c r="Y57" s="710"/>
      <c r="Z57" s="710"/>
      <c r="AA57" s="710"/>
      <c r="AB57" s="710"/>
      <c r="AC57" s="710"/>
      <c r="AD57" s="711"/>
    </row>
    <row r="58" spans="3:30">
      <c r="C58" s="238"/>
      <c r="W58" s="239" t="s">
        <v>987</v>
      </c>
      <c r="AD58" s="240"/>
    </row>
    <row r="59" spans="3:30">
      <c r="C59" s="238"/>
      <c r="E59" s="484" t="str">
        <f>G3</f>
        <v>KOORDINAT : -6.934634, 110.572923</v>
      </c>
      <c r="W59" s="241" t="s">
        <v>991</v>
      </c>
      <c r="X59" s="672" t="s">
        <v>990</v>
      </c>
      <c r="Y59" s="672"/>
      <c r="Z59" s="672"/>
      <c r="AA59" s="672" t="s">
        <v>988</v>
      </c>
      <c r="AB59" s="672"/>
      <c r="AC59" s="672" t="s">
        <v>989</v>
      </c>
      <c r="AD59" s="673"/>
    </row>
    <row r="60" spans="3:30">
      <c r="C60" s="238"/>
      <c r="W60" s="241">
        <v>1</v>
      </c>
      <c r="X60" s="672" t="s">
        <v>993</v>
      </c>
      <c r="Y60" s="672"/>
      <c r="Z60" s="672"/>
      <c r="AA60" s="672"/>
      <c r="AB60" s="672"/>
      <c r="AC60" s="672"/>
      <c r="AD60" s="673"/>
    </row>
    <row r="61" spans="3:30">
      <c r="C61" s="238"/>
      <c r="W61" s="241">
        <v>2</v>
      </c>
      <c r="X61" s="672" t="s">
        <v>994</v>
      </c>
      <c r="Y61" s="672"/>
      <c r="Z61" s="672"/>
      <c r="AA61" s="672"/>
      <c r="AB61" s="672"/>
      <c r="AC61" s="672"/>
      <c r="AD61" s="673"/>
    </row>
    <row r="62" spans="3:30">
      <c r="C62" s="238"/>
      <c r="W62" s="241">
        <v>3</v>
      </c>
      <c r="X62" s="672" t="s">
        <v>995</v>
      </c>
      <c r="Y62" s="672"/>
      <c r="Z62" s="672"/>
      <c r="AA62" s="672"/>
      <c r="AB62" s="672"/>
      <c r="AC62" s="672"/>
      <c r="AD62" s="673"/>
    </row>
    <row r="63" spans="3:30">
      <c r="C63" s="238"/>
      <c r="W63" s="241">
        <v>4</v>
      </c>
      <c r="X63" s="672" t="s">
        <v>996</v>
      </c>
      <c r="Y63" s="672"/>
      <c r="Z63" s="672"/>
      <c r="AA63" s="672"/>
      <c r="AB63" s="672"/>
      <c r="AC63" s="672"/>
      <c r="AD63" s="673"/>
    </row>
    <row r="64" spans="3:30">
      <c r="C64" s="238"/>
      <c r="W64" s="241">
        <v>5</v>
      </c>
      <c r="X64" s="672" t="s">
        <v>997</v>
      </c>
      <c r="Y64" s="672"/>
      <c r="Z64" s="672"/>
      <c r="AA64" s="672"/>
      <c r="AB64" s="672"/>
      <c r="AC64" s="672"/>
      <c r="AD64" s="673"/>
    </row>
    <row r="65" spans="3:30">
      <c r="C65" s="238"/>
      <c r="W65" s="241">
        <v>6</v>
      </c>
      <c r="X65" s="672" t="s">
        <v>998</v>
      </c>
      <c r="Y65" s="672"/>
      <c r="Z65" s="672"/>
      <c r="AA65" s="672"/>
      <c r="AB65" s="672"/>
      <c r="AC65" s="672"/>
      <c r="AD65" s="673"/>
    </row>
    <row r="66" spans="3:30">
      <c r="C66" s="238"/>
      <c r="W66" s="241">
        <v>7</v>
      </c>
      <c r="X66" s="672" t="s">
        <v>999</v>
      </c>
      <c r="Y66" s="672"/>
      <c r="Z66" s="672"/>
      <c r="AA66" s="672"/>
      <c r="AB66" s="672"/>
      <c r="AC66" s="672"/>
      <c r="AD66" s="673"/>
    </row>
    <row r="67" spans="3:30">
      <c r="C67" s="238"/>
      <c r="W67" s="241">
        <v>8</v>
      </c>
      <c r="X67" s="672" t="s">
        <v>1000</v>
      </c>
      <c r="Y67" s="672"/>
      <c r="Z67" s="672"/>
      <c r="AA67" s="672"/>
      <c r="AB67" s="672"/>
      <c r="AC67" s="672"/>
      <c r="AD67" s="673"/>
    </row>
    <row r="68" spans="3:30">
      <c r="C68" s="238"/>
      <c r="W68" s="241">
        <v>9</v>
      </c>
      <c r="X68" s="672" t="s">
        <v>1001</v>
      </c>
      <c r="Y68" s="672"/>
      <c r="Z68" s="672"/>
      <c r="AA68" s="672"/>
      <c r="AB68" s="672"/>
      <c r="AC68" s="672"/>
      <c r="AD68" s="673"/>
    </row>
    <row r="69" spans="3:30">
      <c r="C69" s="238"/>
      <c r="S69" s="242"/>
      <c r="W69" s="241">
        <v>10</v>
      </c>
      <c r="X69" s="672" t="s">
        <v>1010</v>
      </c>
      <c r="Y69" s="672"/>
      <c r="Z69" s="672"/>
      <c r="AA69" s="672"/>
      <c r="AB69" s="672"/>
      <c r="AC69" s="672"/>
      <c r="AD69" s="673"/>
    </row>
    <row r="70" spans="3:30">
      <c r="C70" s="243"/>
      <c r="D70" s="244"/>
      <c r="E70" s="244"/>
      <c r="W70" s="241">
        <v>11</v>
      </c>
      <c r="X70" s="672" t="s">
        <v>1455</v>
      </c>
      <c r="Y70" s="672"/>
      <c r="Z70" s="672"/>
      <c r="AA70" s="672"/>
      <c r="AB70" s="672"/>
      <c r="AC70" s="672"/>
      <c r="AD70" s="673"/>
    </row>
    <row r="71" spans="3:30">
      <c r="C71" s="238"/>
      <c r="W71" s="241">
        <v>12</v>
      </c>
      <c r="X71" s="672" t="s">
        <v>1011</v>
      </c>
      <c r="Y71" s="672"/>
      <c r="Z71" s="672"/>
      <c r="AA71" s="672"/>
      <c r="AB71" s="672"/>
      <c r="AC71" s="672"/>
      <c r="AD71" s="673"/>
    </row>
    <row r="72" spans="3:30">
      <c r="C72" s="238"/>
      <c r="W72" s="241">
        <v>13</v>
      </c>
      <c r="X72" s="672"/>
      <c r="Y72" s="672"/>
      <c r="Z72" s="672"/>
      <c r="AA72" s="672"/>
      <c r="AB72" s="672"/>
      <c r="AC72" s="672"/>
      <c r="AD72" s="673"/>
    </row>
    <row r="73" spans="3:30">
      <c r="C73" s="238"/>
      <c r="W73" s="245"/>
      <c r="X73" s="704"/>
      <c r="Y73" s="704"/>
      <c r="Z73" s="704"/>
      <c r="AA73" s="704"/>
      <c r="AB73" s="704"/>
      <c r="AC73" s="704"/>
      <c r="AD73" s="705"/>
    </row>
    <row r="74" spans="3:30">
      <c r="C74" s="238"/>
      <c r="W74" s="698" t="s">
        <v>992</v>
      </c>
      <c r="X74" s="699"/>
      <c r="Y74" s="699"/>
      <c r="Z74" s="699"/>
      <c r="AA74" s="699"/>
      <c r="AB74" s="699"/>
      <c r="AC74" s="699"/>
      <c r="AD74" s="700"/>
    </row>
    <row r="75" spans="3:30">
      <c r="C75" s="238"/>
      <c r="W75" s="701" t="s">
        <v>985</v>
      </c>
      <c r="X75" s="702"/>
      <c r="Y75" s="702"/>
      <c r="Z75" s="703"/>
      <c r="AA75" s="701" t="s">
        <v>985</v>
      </c>
      <c r="AB75" s="702"/>
      <c r="AC75" s="702"/>
      <c r="AD75" s="703"/>
    </row>
    <row r="76" spans="3:30">
      <c r="C76" s="238"/>
      <c r="W76" s="684" t="s">
        <v>1645</v>
      </c>
      <c r="X76" s="685"/>
      <c r="Y76" s="486">
        <v>2</v>
      </c>
      <c r="Z76" s="518" t="s">
        <v>1632</v>
      </c>
      <c r="AA76" s="684"/>
      <c r="AB76" s="685"/>
      <c r="AC76" s="486"/>
      <c r="AD76" s="518"/>
    </row>
    <row r="77" spans="3:30">
      <c r="C77" s="238"/>
      <c r="W77" s="684" t="s">
        <v>1646</v>
      </c>
      <c r="X77" s="685"/>
      <c r="Y77" s="486">
        <v>13</v>
      </c>
      <c r="Z77" s="518" t="s">
        <v>1632</v>
      </c>
      <c r="AA77" s="684"/>
      <c r="AB77" s="685"/>
      <c r="AC77" s="486"/>
      <c r="AD77" s="518"/>
    </row>
    <row r="78" spans="3:30">
      <c r="C78" s="238"/>
      <c r="W78" s="684" t="s">
        <v>1647</v>
      </c>
      <c r="X78" s="685"/>
      <c r="Y78" s="486">
        <v>2</v>
      </c>
      <c r="Z78" s="518" t="s">
        <v>1632</v>
      </c>
      <c r="AA78" s="684"/>
      <c r="AB78" s="685"/>
      <c r="AC78" s="486"/>
      <c r="AD78" s="518"/>
    </row>
    <row r="79" spans="3:30">
      <c r="C79" s="238"/>
      <c r="W79" s="684" t="s">
        <v>1626</v>
      </c>
      <c r="X79" s="685"/>
      <c r="Y79" s="486">
        <v>1</v>
      </c>
      <c r="Z79" s="518" t="s">
        <v>1632</v>
      </c>
      <c r="AA79" s="684"/>
      <c r="AB79" s="685"/>
      <c r="AC79" s="486"/>
      <c r="AD79" s="518"/>
    </row>
    <row r="80" spans="3:30">
      <c r="C80" s="238"/>
      <c r="W80" s="522" t="s">
        <v>1638</v>
      </c>
      <c r="X80" s="524"/>
      <c r="Y80" s="246">
        <v>1</v>
      </c>
      <c r="Z80" s="518" t="s">
        <v>1632</v>
      </c>
      <c r="AA80" s="522"/>
      <c r="AB80" s="524"/>
      <c r="AC80" s="246"/>
      <c r="AD80" s="518"/>
    </row>
    <row r="81" spans="3:30">
      <c r="C81" s="238"/>
      <c r="W81" s="522" t="s">
        <v>1639</v>
      </c>
      <c r="X81" s="524"/>
      <c r="Y81" s="246">
        <v>1</v>
      </c>
      <c r="Z81" s="518" t="s">
        <v>1632</v>
      </c>
      <c r="AA81" s="522"/>
      <c r="AB81" s="524"/>
      <c r="AC81" s="246"/>
      <c r="AD81" s="518"/>
    </row>
    <row r="82" spans="3:30">
      <c r="C82" s="238"/>
      <c r="W82" s="522" t="s">
        <v>1640</v>
      </c>
      <c r="X82" s="523"/>
      <c r="Y82" s="246">
        <v>1</v>
      </c>
      <c r="Z82" s="518" t="s">
        <v>1632</v>
      </c>
      <c r="AA82" s="522"/>
      <c r="AB82" s="523"/>
      <c r="AC82" s="246"/>
      <c r="AD82" s="518"/>
    </row>
    <row r="83" spans="3:30">
      <c r="C83" s="238"/>
      <c r="U83" s="250"/>
      <c r="W83" s="522" t="s">
        <v>1641</v>
      </c>
      <c r="X83" s="523"/>
      <c r="Y83" s="246">
        <v>13</v>
      </c>
      <c r="Z83" s="518" t="s">
        <v>1632</v>
      </c>
      <c r="AA83" s="522"/>
      <c r="AB83" s="523"/>
      <c r="AC83" s="246"/>
      <c r="AD83" s="518"/>
    </row>
    <row r="84" spans="3:30">
      <c r="C84" s="238"/>
      <c r="U84" s="250"/>
      <c r="W84" s="522" t="s">
        <v>1642</v>
      </c>
      <c r="X84" s="523"/>
      <c r="Y84" s="246">
        <v>2</v>
      </c>
      <c r="Z84" s="518" t="s">
        <v>1632</v>
      </c>
      <c r="AA84" s="522"/>
      <c r="AB84" s="523"/>
      <c r="AC84" s="246"/>
      <c r="AD84" s="518"/>
    </row>
    <row r="85" spans="3:30">
      <c r="C85" s="238"/>
      <c r="W85" s="522" t="s">
        <v>1627</v>
      </c>
      <c r="X85" s="523"/>
      <c r="Y85" s="246">
        <v>8</v>
      </c>
      <c r="Z85" s="518" t="s">
        <v>1632</v>
      </c>
      <c r="AA85" s="522"/>
      <c r="AB85" s="523"/>
      <c r="AC85" s="246"/>
      <c r="AD85" s="518"/>
    </row>
    <row r="86" spans="3:30">
      <c r="C86" s="238"/>
      <c r="W86" s="522" t="s">
        <v>1628</v>
      </c>
      <c r="X86" s="523"/>
      <c r="Y86" s="246">
        <v>8</v>
      </c>
      <c r="Z86" s="518" t="s">
        <v>1632</v>
      </c>
      <c r="AA86" s="522"/>
      <c r="AB86" s="523"/>
      <c r="AC86" s="246"/>
      <c r="AD86" s="518"/>
    </row>
    <row r="87" spans="3:30">
      <c r="C87" s="238"/>
      <c r="W87" s="522" t="s">
        <v>1629</v>
      </c>
      <c r="X87" s="523"/>
      <c r="Y87" s="246">
        <v>15</v>
      </c>
      <c r="Z87" s="518" t="s">
        <v>1632</v>
      </c>
      <c r="AA87" s="522"/>
      <c r="AB87" s="523"/>
      <c r="AC87" s="246"/>
      <c r="AD87" s="518"/>
    </row>
    <row r="88" spans="3:30">
      <c r="C88" s="238"/>
      <c r="W88" s="522" t="s">
        <v>1631</v>
      </c>
      <c r="X88" s="523"/>
      <c r="Y88" s="246">
        <v>8</v>
      </c>
      <c r="Z88" s="518" t="s">
        <v>1632</v>
      </c>
      <c r="AA88" s="691"/>
      <c r="AB88" s="691"/>
      <c r="AC88" s="248"/>
      <c r="AD88" s="248"/>
    </row>
    <row r="89" spans="3:30">
      <c r="C89" s="238"/>
      <c r="W89" s="519" t="s">
        <v>1633</v>
      </c>
      <c r="X89" s="477"/>
      <c r="Y89" s="246">
        <f>((930*3)*5%)+(930*3)</f>
        <v>2929.5</v>
      </c>
      <c r="Z89" s="247" t="s">
        <v>579</v>
      </c>
      <c r="AA89" s="695" t="s">
        <v>986</v>
      </c>
      <c r="AB89" s="695"/>
      <c r="AC89" s="695"/>
      <c r="AD89" s="695"/>
    </row>
    <row r="90" spans="3:30">
      <c r="C90" s="238"/>
      <c r="W90" s="526" t="s">
        <v>1643</v>
      </c>
      <c r="X90" s="527"/>
      <c r="Y90" s="246">
        <v>2</v>
      </c>
      <c r="Z90" s="518" t="s">
        <v>1632</v>
      </c>
      <c r="AA90" s="691"/>
      <c r="AB90" s="691"/>
      <c r="AC90" s="248"/>
      <c r="AD90" s="248"/>
    </row>
    <row r="91" spans="3:30">
      <c r="C91" s="238"/>
      <c r="D91" s="508"/>
      <c r="W91" s="692" t="s">
        <v>1648</v>
      </c>
      <c r="X91" s="693"/>
      <c r="Y91" s="246">
        <v>2</v>
      </c>
      <c r="Z91" s="518" t="s">
        <v>1632</v>
      </c>
      <c r="AA91" s="694"/>
      <c r="AB91" s="694"/>
      <c r="AC91" s="251"/>
      <c r="AD91" s="251"/>
    </row>
    <row r="92" spans="3:30">
      <c r="C92" s="238"/>
      <c r="D92" s="508"/>
      <c r="W92" s="692"/>
      <c r="X92" s="693"/>
      <c r="Y92" s="253"/>
      <c r="Z92" s="529" t="s">
        <v>1632</v>
      </c>
      <c r="AA92" s="696"/>
      <c r="AB92" s="697"/>
      <c r="AC92" s="251"/>
      <c r="AD92" s="251"/>
    </row>
    <row r="93" spans="3:30">
      <c r="C93" s="238"/>
      <c r="D93" s="508"/>
      <c r="W93" s="692" t="s">
        <v>1649</v>
      </c>
      <c r="X93" s="693"/>
      <c r="Y93" s="253">
        <v>2</v>
      </c>
      <c r="Z93" s="529" t="s">
        <v>1632</v>
      </c>
      <c r="AA93" s="686"/>
      <c r="AB93" s="686"/>
      <c r="AC93" s="251"/>
      <c r="AD93" s="251"/>
    </row>
    <row r="94" spans="3:30">
      <c r="C94" s="238"/>
      <c r="D94" s="508"/>
      <c r="W94" s="684" t="s">
        <v>1630</v>
      </c>
      <c r="X94" s="685"/>
      <c r="Y94" s="486">
        <v>1</v>
      </c>
      <c r="Z94" s="518" t="s">
        <v>1632</v>
      </c>
      <c r="AA94" s="689"/>
      <c r="AB94" s="690"/>
      <c r="AC94" s="251"/>
      <c r="AD94" s="251"/>
    </row>
    <row r="95" spans="3:30">
      <c r="C95" s="238"/>
      <c r="D95" s="508"/>
      <c r="V95" s="261"/>
      <c r="W95" s="684" t="s">
        <v>1619</v>
      </c>
      <c r="X95" s="685"/>
      <c r="Y95" s="486">
        <v>2</v>
      </c>
      <c r="Z95" s="518" t="s">
        <v>1632</v>
      </c>
      <c r="AA95" s="686"/>
      <c r="AB95" s="686"/>
      <c r="AC95" s="251"/>
      <c r="AD95" s="251"/>
    </row>
    <row r="96" spans="3:30">
      <c r="C96" s="265"/>
      <c r="D96" s="508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1"/>
      <c r="W96" s="687" t="s">
        <v>1456</v>
      </c>
      <c r="X96" s="688"/>
      <c r="Y96" s="688"/>
      <c r="Z96" s="688"/>
      <c r="AA96" s="259"/>
      <c r="AB96" s="259"/>
      <c r="AC96" s="259"/>
      <c r="AD96" s="260"/>
    </row>
    <row r="97" spans="3:30">
      <c r="C97" s="265"/>
      <c r="D97" s="508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1"/>
      <c r="W97" s="262"/>
      <c r="X97" s="263"/>
      <c r="Y97" s="263"/>
      <c r="Z97" s="263"/>
      <c r="AA97" s="263"/>
      <c r="AB97" s="263"/>
      <c r="AC97" s="263"/>
      <c r="AD97" s="264"/>
    </row>
    <row r="98" spans="3:30">
      <c r="C98" s="265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1"/>
      <c r="W98" s="669" t="s">
        <v>11</v>
      </c>
      <c r="X98" s="670"/>
      <c r="Y98" s="672"/>
      <c r="Z98" s="672"/>
      <c r="AA98" s="672"/>
      <c r="AB98" s="672"/>
      <c r="AC98" s="672"/>
      <c r="AD98" s="673"/>
    </row>
    <row r="99" spans="3:30">
      <c r="C99" s="265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1"/>
      <c r="W99" s="669" t="s">
        <v>984</v>
      </c>
      <c r="X99" s="670"/>
      <c r="Y99" s="672">
        <v>1</v>
      </c>
      <c r="Z99" s="672"/>
      <c r="AA99" s="672"/>
      <c r="AB99" s="672" t="s">
        <v>12</v>
      </c>
      <c r="AC99" s="672"/>
      <c r="AD99" s="267" t="s">
        <v>13</v>
      </c>
    </row>
    <row r="100" spans="3:30">
      <c r="C100" s="265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1"/>
      <c r="W100" s="669" t="s">
        <v>15</v>
      </c>
      <c r="X100" s="670"/>
      <c r="Y100" s="677"/>
      <c r="Z100" s="677"/>
      <c r="AA100" s="677"/>
      <c r="AB100" s="672" t="s">
        <v>16</v>
      </c>
      <c r="AC100" s="672"/>
      <c r="AD100" s="268"/>
    </row>
    <row r="101" spans="3:30">
      <c r="C101" s="265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9"/>
      <c r="W101" s="678" t="s">
        <v>17</v>
      </c>
      <c r="X101" s="678"/>
      <c r="Y101" s="678"/>
      <c r="Z101" s="678"/>
      <c r="AA101" s="678"/>
      <c r="AB101" s="678"/>
      <c r="AC101" s="678"/>
      <c r="AD101" s="679"/>
    </row>
    <row r="102" spans="3:30">
      <c r="C102" s="265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9"/>
      <c r="W102" s="680" t="str">
        <f>W48</f>
        <v>NUR CAHYO</v>
      </c>
      <c r="X102" s="680"/>
      <c r="Y102" s="680"/>
      <c r="Z102" s="680"/>
      <c r="AA102" s="680"/>
      <c r="AB102" s="680"/>
      <c r="AC102" s="680"/>
      <c r="AD102" s="681"/>
    </row>
    <row r="103" spans="3:30">
      <c r="C103" s="265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9"/>
      <c r="W103" s="680"/>
      <c r="X103" s="680"/>
      <c r="Y103" s="680"/>
      <c r="Z103" s="680"/>
      <c r="AA103" s="680"/>
      <c r="AB103" s="680"/>
      <c r="AC103" s="680"/>
      <c r="AD103" s="681"/>
    </row>
    <row r="104" spans="3:30">
      <c r="C104" s="265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1"/>
      <c r="W104" s="680"/>
      <c r="X104" s="680"/>
      <c r="Y104" s="680"/>
      <c r="Z104" s="680"/>
      <c r="AA104" s="680"/>
      <c r="AB104" s="680"/>
      <c r="AC104" s="680"/>
      <c r="AD104" s="681"/>
    </row>
    <row r="105" spans="3:30">
      <c r="C105" s="265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1"/>
      <c r="W105" s="682"/>
      <c r="X105" s="682"/>
      <c r="Y105" s="682"/>
      <c r="Z105" s="682"/>
      <c r="AA105" s="682"/>
      <c r="AB105" s="682"/>
      <c r="AC105" s="682"/>
      <c r="AD105" s="683"/>
    </row>
    <row r="106" spans="3:30">
      <c r="C106" s="265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1"/>
      <c r="W106" s="669" t="s">
        <v>18</v>
      </c>
      <c r="X106" s="670"/>
      <c r="Y106" s="672" t="s">
        <v>1549</v>
      </c>
      <c r="Z106" s="672"/>
      <c r="AA106" s="672"/>
      <c r="AB106" s="672"/>
      <c r="AC106" s="672"/>
      <c r="AD106" s="673"/>
    </row>
    <row r="107" spans="3:30">
      <c r="C107" s="265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V107" s="261"/>
      <c r="W107" s="669" t="s">
        <v>19</v>
      </c>
      <c r="X107" s="670"/>
      <c r="Y107" s="672" t="s">
        <v>1549</v>
      </c>
      <c r="Z107" s="672"/>
      <c r="AA107" s="672"/>
      <c r="AB107" s="672"/>
      <c r="AC107" s="672"/>
      <c r="AD107" s="673"/>
    </row>
    <row r="108" spans="3:30" ht="12.75" thickBot="1">
      <c r="C108" s="265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V108" s="261"/>
      <c r="W108" s="669" t="s">
        <v>20</v>
      </c>
      <c r="X108" s="670"/>
      <c r="Y108" s="671" t="s">
        <v>1550</v>
      </c>
      <c r="Z108" s="671"/>
      <c r="AA108" s="671"/>
      <c r="AB108" s="672"/>
      <c r="AC108" s="672"/>
      <c r="AD108" s="673"/>
    </row>
    <row r="109" spans="3:30" ht="12.75" thickBot="1">
      <c r="C109" s="270"/>
      <c r="D109" s="271"/>
      <c r="E109" s="271"/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2"/>
      <c r="V109" s="273"/>
      <c r="W109" s="674" t="s">
        <v>21</v>
      </c>
      <c r="X109" s="675"/>
      <c r="Y109" s="671" t="s">
        <v>1551</v>
      </c>
      <c r="Z109" s="671"/>
      <c r="AA109" s="671"/>
      <c r="AB109" s="671"/>
      <c r="AC109" s="671"/>
      <c r="AD109" s="676"/>
    </row>
  </sheetData>
  <mergeCells count="192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W56:AD57"/>
    <mergeCell ref="X59:Z59"/>
    <mergeCell ref="AA59:AB59"/>
    <mergeCell ref="AC59:AD59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W74:AD74"/>
    <mergeCell ref="W75:Z75"/>
    <mergeCell ref="AA75:AD75"/>
    <mergeCell ref="W76:X76"/>
    <mergeCell ref="AA76:AB76"/>
    <mergeCell ref="W77:X77"/>
    <mergeCell ref="AA77:AB77"/>
    <mergeCell ref="W78:X78"/>
    <mergeCell ref="AA78:AB78"/>
    <mergeCell ref="W79:X79"/>
    <mergeCell ref="AA79:AB79"/>
    <mergeCell ref="AA88:AB88"/>
    <mergeCell ref="AA90:AB90"/>
    <mergeCell ref="W91:X91"/>
    <mergeCell ref="AA91:AB91"/>
    <mergeCell ref="W92:X92"/>
    <mergeCell ref="AA89:AD89"/>
    <mergeCell ref="W93:X93"/>
    <mergeCell ref="AA93:AB93"/>
    <mergeCell ref="AA92:AB92"/>
    <mergeCell ref="W94:X94"/>
    <mergeCell ref="W95:X95"/>
    <mergeCell ref="AA95:AB95"/>
    <mergeCell ref="W96:Z96"/>
    <mergeCell ref="W98:X98"/>
    <mergeCell ref="Y98:AD98"/>
    <mergeCell ref="W99:X99"/>
    <mergeCell ref="Y99:AA99"/>
    <mergeCell ref="AB99:AC99"/>
    <mergeCell ref="AA94:AB94"/>
    <mergeCell ref="W108:X108"/>
    <mergeCell ref="Y108:AA108"/>
    <mergeCell ref="AB108:AD108"/>
    <mergeCell ref="W109:X109"/>
    <mergeCell ref="Y109:AA109"/>
    <mergeCell ref="AB109:AD109"/>
    <mergeCell ref="W100:X100"/>
    <mergeCell ref="Y100:AA100"/>
    <mergeCell ref="AB100:AC100"/>
    <mergeCell ref="W101:AD101"/>
    <mergeCell ref="W102:AD105"/>
    <mergeCell ref="W106:X106"/>
    <mergeCell ref="Y106:AA106"/>
    <mergeCell ref="AB106:AD106"/>
    <mergeCell ref="W107:X107"/>
    <mergeCell ref="Y107:AA107"/>
    <mergeCell ref="AB107:AD107"/>
  </mergeCells>
  <phoneticPr fontId="43" type="noConversion"/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Q26" sqref="Q2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30" t="s">
        <v>1528</v>
      </c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731"/>
      <c r="X4" s="731"/>
      <c r="Y4" s="731"/>
      <c r="Z4" s="731"/>
      <c r="AA4" s="731"/>
      <c r="AB4" s="731"/>
      <c r="AC4" s="732"/>
      <c r="AD4" s="217"/>
      <c r="AE4" s="216"/>
      <c r="AF4" s="216"/>
    </row>
    <row r="5" spans="2:32" ht="13.5" customHeight="1">
      <c r="B5" s="215"/>
      <c r="C5" s="215"/>
      <c r="D5" s="733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5"/>
      <c r="AD5" s="217"/>
      <c r="AE5" s="216"/>
      <c r="AF5" s="216"/>
    </row>
    <row r="6" spans="2:32" ht="12.75" customHeight="1">
      <c r="B6" s="215"/>
      <c r="C6" s="215"/>
      <c r="D6" s="733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5"/>
      <c r="AE6" s="216"/>
      <c r="AF6" s="216"/>
    </row>
    <row r="7" spans="2:32" ht="12.75" customHeight="1" thickBot="1">
      <c r="B7" s="215"/>
      <c r="C7" s="215"/>
      <c r="D7" s="736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Normal="40" zoomScaleSheetLayoutView="100" workbookViewId="0">
      <selection activeCell="W26" sqref="W26"/>
    </sheetView>
  </sheetViews>
  <sheetFormatPr defaultColWidth="9.140625" defaultRowHeight="12.75"/>
  <cols>
    <col min="1" max="1" width="1.7109375" style="422" customWidth="1"/>
    <col min="2" max="2" width="10.7109375" style="422" customWidth="1"/>
    <col min="3" max="3" width="2.5703125" style="422" customWidth="1"/>
    <col min="4" max="20" width="9.140625" style="422"/>
    <col min="21" max="21" width="14.5703125" style="422" customWidth="1"/>
    <col min="22" max="22" width="3.140625" style="422" customWidth="1"/>
    <col min="23" max="26" width="9.140625" style="422"/>
    <col min="27" max="27" width="2.85546875" style="422" customWidth="1"/>
    <col min="28" max="30" width="4.7109375" style="422" customWidth="1"/>
    <col min="31" max="31" width="1.7109375" style="422" customWidth="1"/>
    <col min="32" max="16384" width="9.140625" style="422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34" t="s">
        <v>1527</v>
      </c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182"/>
      <c r="X3" s="433"/>
      <c r="Y3" s="433"/>
      <c r="Z3" s="433"/>
      <c r="AA3" s="433"/>
      <c r="AB3" s="433"/>
      <c r="AC3" s="423"/>
    </row>
    <row r="4" spans="1:29" ht="18.75" customHeight="1">
      <c r="A4" s="181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182"/>
      <c r="X4" s="433"/>
      <c r="Y4" s="433"/>
      <c r="Z4" s="433"/>
      <c r="AA4" s="433"/>
      <c r="AB4" s="433"/>
      <c r="AC4" s="423"/>
    </row>
    <row r="5" spans="1:29" ht="12.75" customHeight="1">
      <c r="A5" s="181"/>
      <c r="C5" s="424"/>
      <c r="W5" s="182"/>
    </row>
    <row r="6" spans="1:29" ht="12.75" customHeight="1">
      <c r="A6" s="181"/>
      <c r="C6" s="739" t="s">
        <v>1637</v>
      </c>
      <c r="D6" s="739"/>
      <c r="E6" s="739"/>
      <c r="F6" s="739"/>
      <c r="G6" s="739"/>
      <c r="H6" s="739"/>
      <c r="I6" s="739"/>
      <c r="J6" s="739"/>
      <c r="K6" s="739"/>
      <c r="L6" s="739"/>
      <c r="M6" s="739"/>
      <c r="W6" s="182"/>
      <c r="Y6" s="425"/>
      <c r="Z6" s="425"/>
      <c r="AA6" s="425"/>
      <c r="AB6" s="426"/>
      <c r="AC6" s="426"/>
    </row>
    <row r="7" spans="1:29" ht="18" customHeight="1">
      <c r="A7" s="181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W7" s="182"/>
      <c r="Y7" s="425"/>
      <c r="Z7" s="425"/>
      <c r="AA7" s="425"/>
      <c r="AB7" s="426"/>
      <c r="AC7" s="42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8"/>
      <c r="S54" s="428"/>
      <c r="T54" s="428"/>
      <c r="U54" s="429"/>
      <c r="V54" s="429"/>
      <c r="W54" s="183"/>
      <c r="X54" s="429"/>
      <c r="Y54" s="429"/>
      <c r="Z54" s="429"/>
      <c r="AA54" s="429"/>
      <c r="AB54" s="429"/>
      <c r="AC54" s="429"/>
      <c r="AD54" s="42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4"/>
      <c r="S55" s="435"/>
      <c r="T55" s="435"/>
      <c r="U55" s="186"/>
      <c r="V55" s="187"/>
      <c r="W55" s="188"/>
      <c r="X55" s="429"/>
      <c r="Y55" s="429"/>
      <c r="Z55" s="429"/>
      <c r="AA55" s="430"/>
      <c r="AB55" s="430"/>
      <c r="AC55" s="430"/>
      <c r="AD55" s="430"/>
    </row>
    <row r="56" spans="1:30">
      <c r="U56" s="429"/>
      <c r="V56" s="430"/>
      <c r="W56" s="429"/>
      <c r="X56" s="429"/>
      <c r="Y56" s="429"/>
      <c r="Z56" s="429"/>
      <c r="AA56" s="430"/>
      <c r="AB56" s="429"/>
      <c r="AC56" s="429"/>
      <c r="AD56" s="429"/>
    </row>
    <row r="57" spans="1:30">
      <c r="U57" s="429"/>
      <c r="V57" s="430"/>
      <c r="W57" s="429"/>
      <c r="X57" s="429"/>
      <c r="Y57" s="429"/>
      <c r="Z57" s="429"/>
      <c r="AA57" s="429"/>
      <c r="AB57" s="429"/>
      <c r="AC57" s="429"/>
      <c r="AD57" s="429"/>
    </row>
    <row r="58" spans="1:30">
      <c r="U58" s="429"/>
      <c r="V58" s="430"/>
      <c r="W58" s="429"/>
      <c r="X58" s="429"/>
      <c r="Y58" s="429"/>
      <c r="Z58" s="429"/>
      <c r="AA58" s="429"/>
      <c r="AB58" s="429"/>
      <c r="AC58" s="429"/>
      <c r="AD58" s="429"/>
    </row>
    <row r="59" spans="1:30">
      <c r="U59" s="429"/>
      <c r="V59" s="430"/>
      <c r="W59" s="429"/>
      <c r="X59" s="429"/>
      <c r="Y59" s="429"/>
      <c r="Z59" s="429"/>
      <c r="AA59" s="429"/>
      <c r="AB59" s="429"/>
      <c r="AC59" s="429"/>
      <c r="AD59" s="429"/>
    </row>
    <row r="60" spans="1:30">
      <c r="U60" s="429"/>
      <c r="V60" s="430"/>
      <c r="W60" s="429"/>
      <c r="X60" s="429"/>
      <c r="Y60" s="429"/>
      <c r="Z60" s="429"/>
      <c r="AA60" s="430"/>
      <c r="AB60" s="429"/>
      <c r="AC60" s="429"/>
      <c r="AD60" s="429"/>
    </row>
    <row r="61" spans="1:30">
      <c r="U61" s="429"/>
      <c r="V61" s="430"/>
      <c r="W61" s="429"/>
      <c r="X61" s="429"/>
      <c r="Y61" s="429"/>
      <c r="Z61" s="429"/>
      <c r="AA61" s="429"/>
      <c r="AB61" s="429"/>
      <c r="AC61" s="429"/>
      <c r="AD61" s="429"/>
    </row>
    <row r="62" spans="1:30">
      <c r="U62" s="429"/>
      <c r="V62" s="430"/>
      <c r="W62" s="429"/>
      <c r="X62" s="429"/>
      <c r="Y62" s="429"/>
      <c r="Z62" s="429"/>
      <c r="AA62" s="429"/>
      <c r="AB62" s="429"/>
      <c r="AC62" s="429"/>
      <c r="AD62" s="429"/>
    </row>
    <row r="63" spans="1:30">
      <c r="U63" s="429"/>
      <c r="V63" s="430"/>
      <c r="W63" s="429"/>
      <c r="X63" s="429"/>
      <c r="Y63" s="429"/>
      <c r="Z63" s="429"/>
      <c r="AA63" s="429"/>
      <c r="AB63" s="429"/>
      <c r="AC63" s="429"/>
      <c r="AD63" s="429"/>
    </row>
    <row r="64" spans="1:30">
      <c r="U64" s="429"/>
      <c r="V64" s="430"/>
      <c r="W64" s="429"/>
      <c r="X64" s="429"/>
      <c r="Y64" s="429"/>
      <c r="Z64" s="429"/>
      <c r="AA64" s="429"/>
      <c r="AB64" s="429"/>
      <c r="AC64" s="429"/>
      <c r="AD64" s="429"/>
    </row>
    <row r="65" spans="5:30">
      <c r="U65" s="429"/>
      <c r="V65" s="430"/>
      <c r="W65" s="429"/>
      <c r="X65" s="429"/>
      <c r="Y65" s="429"/>
      <c r="Z65" s="429"/>
      <c r="AA65" s="429"/>
      <c r="AB65" s="429"/>
      <c r="AC65" s="429"/>
      <c r="AD65" s="429"/>
    </row>
    <row r="66" spans="5:30" ht="6" customHeight="1"/>
    <row r="73" spans="5:30">
      <c r="M73" s="431"/>
    </row>
    <row r="74" spans="5:30" ht="15" customHeight="1">
      <c r="E74" s="432"/>
      <c r="M74" s="431"/>
    </row>
    <row r="75" spans="5:30" ht="15" customHeight="1">
      <c r="E75" s="432"/>
      <c r="M75" s="431"/>
    </row>
    <row r="76" spans="5:30" ht="15" customHeight="1">
      <c r="E76" s="432"/>
      <c r="M76" s="431"/>
    </row>
    <row r="77" spans="5:30" ht="15" customHeight="1">
      <c r="E77" s="432"/>
      <c r="M77" s="431"/>
    </row>
    <row r="78" spans="5:30" ht="15" customHeight="1">
      <c r="E78" s="432"/>
      <c r="M78" s="431"/>
    </row>
    <row r="79" spans="5:30" ht="15" customHeight="1">
      <c r="E79" s="432"/>
      <c r="M79" s="431"/>
    </row>
    <row r="80" spans="5:30" ht="15" customHeight="1">
      <c r="E80" s="432"/>
      <c r="M80" s="431"/>
    </row>
    <row r="81" spans="5:13" ht="15" customHeight="1">
      <c r="E81" s="432"/>
      <c r="M81" s="431"/>
    </row>
    <row r="82" spans="5:13" ht="15" customHeight="1">
      <c r="E82" s="432"/>
      <c r="M82" s="431"/>
    </row>
    <row r="83" spans="5:13" ht="15" customHeight="1">
      <c r="E83" s="432"/>
      <c r="M83" s="431"/>
    </row>
    <row r="84" spans="5:13" ht="15" customHeight="1">
      <c r="E84" s="432"/>
      <c r="M84" s="431"/>
    </row>
    <row r="85" spans="5:13" ht="15" customHeight="1">
      <c r="E85" s="432"/>
      <c r="M85" s="431"/>
    </row>
    <row r="86" spans="5:13" ht="15" customHeight="1">
      <c r="E86" s="432"/>
      <c r="M86" s="431"/>
    </row>
    <row r="87" spans="5:13" ht="15" customHeight="1">
      <c r="E87" s="432"/>
      <c r="M87" s="431"/>
    </row>
    <row r="88" spans="5:13" ht="15" customHeight="1">
      <c r="E88" s="432"/>
      <c r="M88" s="431"/>
    </row>
    <row r="89" spans="5:13" ht="15" customHeight="1">
      <c r="E89" s="432"/>
      <c r="M89" s="431"/>
    </row>
    <row r="90" spans="5:13" ht="15" customHeight="1">
      <c r="E90" s="432"/>
      <c r="M90" s="431"/>
    </row>
    <row r="91" spans="5:13" ht="15" customHeight="1">
      <c r="E91" s="432"/>
      <c r="M91" s="431"/>
    </row>
    <row r="92" spans="5:13" ht="15" customHeight="1">
      <c r="E92" s="432"/>
      <c r="M92" s="431"/>
    </row>
    <row r="93" spans="5:13" ht="15" customHeight="1">
      <c r="E93" s="432"/>
      <c r="M93" s="431"/>
    </row>
    <row r="94" spans="5:13" ht="15" customHeight="1">
      <c r="E94" s="432"/>
      <c r="M94" s="431"/>
    </row>
    <row r="95" spans="5:13" ht="15" customHeight="1">
      <c r="E95" s="432"/>
      <c r="M95" s="431"/>
    </row>
    <row r="96" spans="5:13" ht="15" customHeight="1">
      <c r="E96" s="432"/>
    </row>
    <row r="97" spans="5:5" ht="15" customHeight="1">
      <c r="E97" s="432"/>
    </row>
    <row r="98" spans="5:5" ht="15" customHeight="1">
      <c r="E98" s="432"/>
    </row>
    <row r="99" spans="5:5" ht="15" customHeight="1">
      <c r="E99" s="432"/>
    </row>
    <row r="100" spans="5:5" ht="15" customHeight="1">
      <c r="E100" s="432"/>
    </row>
    <row r="101" spans="5:5" ht="15" customHeight="1">
      <c r="E101" s="432"/>
    </row>
    <row r="102" spans="5:5" ht="15" customHeight="1">
      <c r="E102" s="432"/>
    </row>
    <row r="103" spans="5:5" ht="15" customHeight="1">
      <c r="E103" s="432"/>
    </row>
    <row r="104" spans="5:5" ht="15" customHeight="1">
      <c r="E104" s="432"/>
    </row>
    <row r="105" spans="5:5" ht="15" customHeight="1">
      <c r="E105" s="432"/>
    </row>
    <row r="106" spans="5:5" ht="15" customHeight="1">
      <c r="E106" s="432"/>
    </row>
    <row r="107" spans="5:5" ht="15" customHeight="1">
      <c r="E107" s="432"/>
    </row>
    <row r="108" spans="5:5" ht="15" customHeight="1">
      <c r="E108" s="432"/>
    </row>
    <row r="109" spans="5:5" ht="15" customHeight="1">
      <c r="E109" s="432"/>
    </row>
    <row r="110" spans="5:5" ht="15" customHeight="1">
      <c r="E110" s="432"/>
    </row>
    <row r="111" spans="5:5" ht="15" customHeight="1">
      <c r="E111" s="432"/>
    </row>
    <row r="112" spans="5:5" ht="15" customHeight="1">
      <c r="E112" s="432"/>
    </row>
    <row r="113" spans="5:5" ht="15" customHeight="1">
      <c r="E113" s="432"/>
    </row>
    <row r="114" spans="5:5" ht="15" customHeight="1">
      <c r="E114" s="432"/>
    </row>
    <row r="115" spans="5:5" ht="15" customHeight="1">
      <c r="E115" s="432"/>
    </row>
    <row r="116" spans="5:5" ht="15" customHeight="1">
      <c r="E116" s="432"/>
    </row>
    <row r="117" spans="5:5" ht="15" customHeight="1">
      <c r="E117" s="432"/>
    </row>
    <row r="118" spans="5:5" ht="15" customHeight="1">
      <c r="E118" s="432"/>
    </row>
    <row r="119" spans="5:5" ht="15" customHeight="1">
      <c r="E119" s="432"/>
    </row>
    <row r="120" spans="5:5">
      <c r="E120" s="432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4">
        <v>1</v>
      </c>
    </row>
    <row r="2" spans="1:11" ht="48" customHeight="1">
      <c r="A2" s="454">
        <v>3</v>
      </c>
    </row>
    <row r="4" spans="1:11" ht="48" customHeight="1">
      <c r="C4" s="454">
        <v>1</v>
      </c>
    </row>
    <row r="5" spans="1:11" ht="48" customHeight="1">
      <c r="C5" s="454">
        <v>3</v>
      </c>
    </row>
    <row r="7" spans="1:11" ht="48" customHeight="1">
      <c r="E7" s="454">
        <v>1</v>
      </c>
    </row>
    <row r="8" spans="1:11" ht="48" customHeight="1">
      <c r="E8" s="454">
        <v>3</v>
      </c>
    </row>
    <row r="10" spans="1:11" ht="48" customHeight="1">
      <c r="G10" s="454">
        <v>3</v>
      </c>
    </row>
    <row r="11" spans="1:11" ht="48" customHeight="1">
      <c r="G11" s="454">
        <v>1</v>
      </c>
    </row>
    <row r="13" spans="1:11" ht="48" customHeight="1">
      <c r="I13" s="454">
        <v>3</v>
      </c>
    </row>
    <row r="14" spans="1:11" ht="48" customHeight="1">
      <c r="I14" s="454">
        <v>1</v>
      </c>
    </row>
    <row r="16" spans="1:11" ht="48" customHeight="1">
      <c r="K16" s="454">
        <v>3</v>
      </c>
    </row>
    <row r="17" spans="11:21" ht="48" customHeight="1">
      <c r="K17" s="454">
        <v>1</v>
      </c>
    </row>
    <row r="19" spans="11:21" ht="48" customHeight="1">
      <c r="M19" s="454">
        <v>3</v>
      </c>
    </row>
    <row r="20" spans="11:21" ht="48" customHeight="1">
      <c r="M20" s="454">
        <v>1</v>
      </c>
    </row>
    <row r="22" spans="11:21" ht="48" customHeight="1">
      <c r="O22" s="454">
        <v>3</v>
      </c>
    </row>
    <row r="23" spans="11:21" ht="48" customHeight="1">
      <c r="O23" s="454">
        <v>1</v>
      </c>
    </row>
    <row r="25" spans="11:21" ht="57" customHeight="1">
      <c r="Q25" s="454">
        <v>3</v>
      </c>
    </row>
    <row r="26" spans="11:21" ht="57" customHeight="1">
      <c r="Q26" s="454">
        <v>1</v>
      </c>
    </row>
    <row r="28" spans="11:21" ht="57" customHeight="1">
      <c r="S28" s="454">
        <v>3</v>
      </c>
    </row>
    <row r="29" spans="11:21" ht="57" customHeight="1">
      <c r="S29" s="454">
        <v>1</v>
      </c>
    </row>
    <row r="31" spans="11:21" ht="57" customHeight="1">
      <c r="U31" s="454">
        <v>3</v>
      </c>
    </row>
    <row r="32" spans="11:21" ht="57" customHeight="1">
      <c r="U32" s="45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2024-04-20T07:40:34Z</dcterms:modified>
</cp:coreProperties>
</file>