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C0BCE978-8999-433B-9479-94F97897C9FF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RAB!$A$1:$K$197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6" i="11" l="1"/>
  <c r="F72" i="11"/>
  <c r="F70" i="11"/>
  <c r="F69" i="11"/>
  <c r="F71" i="11" s="1"/>
  <c r="D68" i="11"/>
  <c r="J68" i="11" s="1"/>
  <c r="E68" i="11"/>
  <c r="G68" i="11"/>
  <c r="J69" i="11"/>
  <c r="E69" i="11"/>
  <c r="G69" i="11"/>
  <c r="D70" i="11"/>
  <c r="H70" i="11" s="1"/>
  <c r="E70" i="11"/>
  <c r="G70" i="11"/>
  <c r="D71" i="11"/>
  <c r="J71" i="11" s="1"/>
  <c r="E71" i="11"/>
  <c r="G71" i="11"/>
  <c r="D72" i="11"/>
  <c r="E72" i="11"/>
  <c r="G72" i="11"/>
  <c r="D73" i="11"/>
  <c r="J73" i="11" s="1"/>
  <c r="E73" i="11"/>
  <c r="G73" i="11"/>
  <c r="D74" i="11"/>
  <c r="H74" i="11" s="1"/>
  <c r="E74" i="11"/>
  <c r="G74" i="11"/>
  <c r="D75" i="11"/>
  <c r="H75" i="11" s="1"/>
  <c r="E75" i="11"/>
  <c r="G75" i="11"/>
  <c r="J75" i="11" l="1"/>
  <c r="J74" i="11"/>
  <c r="I68" i="11"/>
  <c r="H71" i="11"/>
  <c r="J70" i="11"/>
  <c r="H68" i="11"/>
  <c r="I70" i="11"/>
  <c r="K70" i="11" s="1"/>
  <c r="K75" i="11"/>
  <c r="I75" i="11"/>
  <c r="I71" i="11"/>
  <c r="J72" i="11"/>
  <c r="I72" i="11"/>
  <c r="I74" i="11"/>
  <c r="H72" i="11"/>
  <c r="I73" i="11"/>
  <c r="I69" i="11"/>
  <c r="H73" i="11"/>
  <c r="H69" i="11"/>
  <c r="K68" i="11" l="1"/>
  <c r="K73" i="11"/>
  <c r="K74" i="11"/>
  <c r="K72" i="11"/>
  <c r="K71" i="11"/>
  <c r="K69" i="11"/>
  <c r="F114" i="11" l="1"/>
  <c r="F110" i="11"/>
  <c r="F109" i="11"/>
  <c r="F108" i="11"/>
  <c r="F107" i="11"/>
  <c r="F106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D102" i="11"/>
  <c r="H102" i="11" s="1"/>
  <c r="E102" i="11"/>
  <c r="D103" i="11"/>
  <c r="J103" i="11" s="1"/>
  <c r="E103" i="11"/>
  <c r="D104" i="11"/>
  <c r="I104" i="11" s="1"/>
  <c r="E104" i="11"/>
  <c r="D105" i="11"/>
  <c r="I105" i="11" s="1"/>
  <c r="E105" i="11"/>
  <c r="D106" i="11"/>
  <c r="H106" i="11" s="1"/>
  <c r="E106" i="11"/>
  <c r="D107" i="11"/>
  <c r="H107" i="11" s="1"/>
  <c r="E107" i="11"/>
  <c r="D108" i="11"/>
  <c r="J108" i="11" s="1"/>
  <c r="E108" i="11"/>
  <c r="D109" i="11"/>
  <c r="I109" i="11" s="1"/>
  <c r="E109" i="11"/>
  <c r="D110" i="11"/>
  <c r="H110" i="11" s="1"/>
  <c r="E110" i="11"/>
  <c r="D111" i="11"/>
  <c r="H111" i="11" s="1"/>
  <c r="E111" i="11"/>
  <c r="D112" i="11"/>
  <c r="J112" i="11" s="1"/>
  <c r="E112" i="11"/>
  <c r="D113" i="11"/>
  <c r="I113" i="11" s="1"/>
  <c r="E113" i="11"/>
  <c r="D114" i="11"/>
  <c r="H114" i="11" s="1"/>
  <c r="E114" i="11"/>
  <c r="D115" i="11"/>
  <c r="H115" i="11" s="1"/>
  <c r="E115" i="11"/>
  <c r="D116" i="11"/>
  <c r="I116" i="11" s="1"/>
  <c r="E116" i="11"/>
  <c r="D117" i="11"/>
  <c r="H117" i="11" s="1"/>
  <c r="E117" i="11"/>
  <c r="F97" i="11"/>
  <c r="F91" i="11"/>
  <c r="G19" i="11"/>
  <c r="G20" i="11"/>
  <c r="D19" i="11"/>
  <c r="H19" i="11" s="1"/>
  <c r="E19" i="11"/>
  <c r="D20" i="11"/>
  <c r="E20" i="11"/>
  <c r="G18" i="11"/>
  <c r="D18" i="11"/>
  <c r="H18" i="11" s="1"/>
  <c r="E18" i="11"/>
  <c r="E5" i="64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19" i="11"/>
  <c r="I112" i="11" l="1"/>
  <c r="I103" i="11"/>
  <c r="H116" i="11"/>
  <c r="H109" i="11"/>
  <c r="J107" i="11"/>
  <c r="H105" i="11"/>
  <c r="H113" i="11"/>
  <c r="J111" i="11"/>
  <c r="H104" i="11"/>
  <c r="J102" i="11"/>
  <c r="J115" i="11"/>
  <c r="I108" i="11"/>
  <c r="J117" i="11"/>
  <c r="I115" i="11"/>
  <c r="J114" i="11"/>
  <c r="H112" i="11"/>
  <c r="I111" i="11"/>
  <c r="J110" i="11"/>
  <c r="H108" i="11"/>
  <c r="I107" i="11"/>
  <c r="J106" i="11"/>
  <c r="H103" i="11"/>
  <c r="K103" i="11" s="1"/>
  <c r="I102" i="11"/>
  <c r="I117" i="11"/>
  <c r="J116" i="11"/>
  <c r="I114" i="11"/>
  <c r="J113" i="11"/>
  <c r="I110" i="11"/>
  <c r="K110" i="11" s="1"/>
  <c r="J109" i="11"/>
  <c r="I106" i="11"/>
  <c r="J105" i="11"/>
  <c r="J104" i="11"/>
  <c r="J20" i="11"/>
  <c r="J19" i="11"/>
  <c r="H20" i="11"/>
  <c r="I19" i="11"/>
  <c r="I20" i="11"/>
  <c r="J18" i="11"/>
  <c r="I18" i="11"/>
  <c r="G6" i="11"/>
  <c r="W48" i="64" s="1"/>
  <c r="F101" i="11"/>
  <c r="F100" i="11"/>
  <c r="F99" i="11"/>
  <c r="F98" i="11"/>
  <c r="F95" i="11"/>
  <c r="F94" i="11"/>
  <c r="F93" i="11"/>
  <c r="F92" i="11"/>
  <c r="F89" i="11"/>
  <c r="F88" i="11"/>
  <c r="F87" i="11"/>
  <c r="F86" i="11"/>
  <c r="F85" i="11"/>
  <c r="F84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7" i="11"/>
  <c r="G98" i="11"/>
  <c r="G99" i="11"/>
  <c r="G100" i="11"/>
  <c r="G101" i="11"/>
  <c r="D80" i="11"/>
  <c r="H80" i="11" s="1"/>
  <c r="E80" i="11"/>
  <c r="D81" i="11"/>
  <c r="J81" i="11" s="1"/>
  <c r="E81" i="11"/>
  <c r="D82" i="11"/>
  <c r="I82" i="11" s="1"/>
  <c r="E82" i="11"/>
  <c r="D83" i="11"/>
  <c r="H83" i="11" s="1"/>
  <c r="E83" i="11"/>
  <c r="D84" i="11"/>
  <c r="H84" i="11" s="1"/>
  <c r="E84" i="11"/>
  <c r="D85" i="11"/>
  <c r="J85" i="11" s="1"/>
  <c r="E85" i="11"/>
  <c r="D86" i="11"/>
  <c r="E86" i="11"/>
  <c r="D87" i="11"/>
  <c r="H87" i="11" s="1"/>
  <c r="E87" i="11"/>
  <c r="D88" i="11"/>
  <c r="H88" i="11" s="1"/>
  <c r="E88" i="11"/>
  <c r="D89" i="11"/>
  <c r="E89" i="11"/>
  <c r="D90" i="11"/>
  <c r="I90" i="11" s="1"/>
  <c r="E90" i="11"/>
  <c r="D91" i="11"/>
  <c r="H91" i="11" s="1"/>
  <c r="E91" i="11"/>
  <c r="D92" i="11"/>
  <c r="H92" i="11" s="1"/>
  <c r="E92" i="11"/>
  <c r="D93" i="11"/>
  <c r="J93" i="11" s="1"/>
  <c r="E93" i="11"/>
  <c r="D94" i="11"/>
  <c r="E94" i="11"/>
  <c r="D95" i="11"/>
  <c r="H95" i="11" s="1"/>
  <c r="E95" i="11"/>
  <c r="D97" i="11"/>
  <c r="H97" i="11" s="1"/>
  <c r="E97" i="11"/>
  <c r="D98" i="11"/>
  <c r="J98" i="11" s="1"/>
  <c r="E98" i="11"/>
  <c r="D99" i="11"/>
  <c r="E99" i="11"/>
  <c r="D100" i="11"/>
  <c r="H100" i="11" s="1"/>
  <c r="E100" i="11"/>
  <c r="D101" i="11"/>
  <c r="H101" i="11" s="1"/>
  <c r="E101" i="11"/>
  <c r="F172" i="11"/>
  <c r="F171" i="11"/>
  <c r="F170" i="11"/>
  <c r="F169" i="11"/>
  <c r="F168" i="11"/>
  <c r="F165" i="11"/>
  <c r="F164" i="11"/>
  <c r="F163" i="11"/>
  <c r="F162" i="11"/>
  <c r="F161" i="11"/>
  <c r="F160" i="11"/>
  <c r="F159" i="11"/>
  <c r="F156" i="11"/>
  <c r="F154" i="11"/>
  <c r="F153" i="11"/>
  <c r="F152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7" i="11"/>
  <c r="G168" i="11"/>
  <c r="G169" i="11"/>
  <c r="G170" i="11"/>
  <c r="G171" i="11"/>
  <c r="G172" i="11"/>
  <c r="G173" i="11"/>
  <c r="G174" i="11"/>
  <c r="G175" i="11"/>
  <c r="D148" i="11"/>
  <c r="H148" i="11" s="1"/>
  <c r="E148" i="11"/>
  <c r="D149" i="11"/>
  <c r="J149" i="11" s="1"/>
  <c r="E149" i="11"/>
  <c r="D150" i="11"/>
  <c r="I150" i="11" s="1"/>
  <c r="E150" i="11"/>
  <c r="D151" i="11"/>
  <c r="H151" i="11" s="1"/>
  <c r="E151" i="11"/>
  <c r="D152" i="11"/>
  <c r="E152" i="11"/>
  <c r="D153" i="11"/>
  <c r="J153" i="11" s="1"/>
  <c r="E153" i="11"/>
  <c r="D154" i="11"/>
  <c r="E154" i="11"/>
  <c r="D155" i="11"/>
  <c r="E155" i="11"/>
  <c r="D156" i="11"/>
  <c r="H156" i="11" s="1"/>
  <c r="E156" i="11"/>
  <c r="D157" i="11"/>
  <c r="I157" i="11" s="1"/>
  <c r="E157" i="11"/>
  <c r="D158" i="11"/>
  <c r="H158" i="11" s="1"/>
  <c r="E158" i="11"/>
  <c r="D159" i="11"/>
  <c r="H159" i="11" s="1"/>
  <c r="E159" i="11"/>
  <c r="D160" i="11"/>
  <c r="J160" i="11" s="1"/>
  <c r="E160" i="11"/>
  <c r="D161" i="11"/>
  <c r="E161" i="11"/>
  <c r="D162" i="11"/>
  <c r="H162" i="11" s="1"/>
  <c r="E162" i="11"/>
  <c r="D163" i="11"/>
  <c r="H163" i="11" s="1"/>
  <c r="E163" i="11"/>
  <c r="D164" i="11"/>
  <c r="J164" i="11" s="1"/>
  <c r="E164" i="11"/>
  <c r="D165" i="11"/>
  <c r="E165" i="11"/>
  <c r="D167" i="11"/>
  <c r="H167" i="11" s="1"/>
  <c r="E167" i="11"/>
  <c r="D168" i="11"/>
  <c r="H168" i="11" s="1"/>
  <c r="E168" i="11"/>
  <c r="D169" i="11"/>
  <c r="J169" i="11" s="1"/>
  <c r="E169" i="11"/>
  <c r="D170" i="11"/>
  <c r="E170" i="11"/>
  <c r="D171" i="11"/>
  <c r="H171" i="11" s="1"/>
  <c r="E171" i="11"/>
  <c r="D172" i="11"/>
  <c r="H172" i="11" s="1"/>
  <c r="E172" i="11"/>
  <c r="D173" i="11"/>
  <c r="J173" i="11" s="1"/>
  <c r="E173" i="11"/>
  <c r="F147" i="11"/>
  <c r="F146" i="11"/>
  <c r="F145" i="11"/>
  <c r="F144" i="11"/>
  <c r="F143" i="11"/>
  <c r="F142" i="11"/>
  <c r="F141" i="11"/>
  <c r="F140" i="11"/>
  <c r="F139" i="11"/>
  <c r="D118" i="11"/>
  <c r="J118" i="11" s="1"/>
  <c r="E118" i="11"/>
  <c r="G118" i="11"/>
  <c r="D119" i="11"/>
  <c r="E119" i="11"/>
  <c r="G119" i="11"/>
  <c r="D120" i="11"/>
  <c r="H120" i="11" s="1"/>
  <c r="E120" i="11"/>
  <c r="G120" i="11"/>
  <c r="D121" i="11"/>
  <c r="J121" i="11" s="1"/>
  <c r="E121" i="11"/>
  <c r="G121" i="11"/>
  <c r="D122" i="11"/>
  <c r="J122" i="11" s="1"/>
  <c r="E122" i="11"/>
  <c r="G122" i="11"/>
  <c r="D123" i="11"/>
  <c r="I123" i="11" s="1"/>
  <c r="E123" i="11"/>
  <c r="G123" i="11"/>
  <c r="D124" i="11"/>
  <c r="I124" i="11" s="1"/>
  <c r="E124" i="11"/>
  <c r="G124" i="11"/>
  <c r="D125" i="11"/>
  <c r="H125" i="11" s="1"/>
  <c r="E125" i="11"/>
  <c r="G125" i="11"/>
  <c r="D126" i="11"/>
  <c r="J126" i="11" s="1"/>
  <c r="E126" i="11"/>
  <c r="G126" i="11"/>
  <c r="D127" i="11"/>
  <c r="J127" i="11" s="1"/>
  <c r="E127" i="11"/>
  <c r="G127" i="11"/>
  <c r="D128" i="11"/>
  <c r="H128" i="11" s="1"/>
  <c r="E128" i="11"/>
  <c r="G128" i="11"/>
  <c r="D129" i="11"/>
  <c r="H129" i="11" s="1"/>
  <c r="E129" i="11"/>
  <c r="G129" i="11"/>
  <c r="D130" i="11"/>
  <c r="J130" i="11" s="1"/>
  <c r="E130" i="11"/>
  <c r="G130" i="11"/>
  <c r="D131" i="11"/>
  <c r="J131" i="11" s="1"/>
  <c r="E131" i="11"/>
  <c r="G131" i="11"/>
  <c r="D132" i="11"/>
  <c r="H132" i="11" s="1"/>
  <c r="E132" i="11"/>
  <c r="G132" i="11"/>
  <c r="D133" i="11"/>
  <c r="H133" i="11" s="1"/>
  <c r="E133" i="11"/>
  <c r="G133" i="11"/>
  <c r="D134" i="11"/>
  <c r="J134" i="11" s="1"/>
  <c r="E134" i="11"/>
  <c r="G134" i="11"/>
  <c r="D135" i="11"/>
  <c r="H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H138" i="11" s="1"/>
  <c r="E138" i="11"/>
  <c r="G138" i="11"/>
  <c r="D139" i="11"/>
  <c r="H139" i="11" s="1"/>
  <c r="E139" i="11"/>
  <c r="G139" i="11"/>
  <c r="D140" i="11"/>
  <c r="J140" i="11" s="1"/>
  <c r="E140" i="11"/>
  <c r="G140" i="11"/>
  <c r="D141" i="11"/>
  <c r="J141" i="11" s="1"/>
  <c r="E141" i="11"/>
  <c r="G141" i="11"/>
  <c r="D142" i="11"/>
  <c r="J142" i="11" s="1"/>
  <c r="E142" i="11"/>
  <c r="G142" i="11"/>
  <c r="D143" i="11"/>
  <c r="H143" i="11" s="1"/>
  <c r="E143" i="11"/>
  <c r="G143" i="11"/>
  <c r="D144" i="11"/>
  <c r="H144" i="11" s="1"/>
  <c r="E144" i="11"/>
  <c r="G144" i="11"/>
  <c r="D145" i="11"/>
  <c r="J145" i="11" s="1"/>
  <c r="E145" i="11"/>
  <c r="G145" i="11"/>
  <c r="D146" i="11"/>
  <c r="J146" i="11" s="1"/>
  <c r="E146" i="11"/>
  <c r="G146" i="11"/>
  <c r="D147" i="11"/>
  <c r="H147" i="11" s="1"/>
  <c r="E147" i="11"/>
  <c r="G147" i="11"/>
  <c r="D174" i="11"/>
  <c r="I174" i="11" s="1"/>
  <c r="E174" i="11"/>
  <c r="D175" i="11"/>
  <c r="H175" i="11" s="1"/>
  <c r="E175" i="11"/>
  <c r="D176" i="11"/>
  <c r="I176" i="11" s="1"/>
  <c r="E176" i="11"/>
  <c r="G176" i="11"/>
  <c r="D78" i="11"/>
  <c r="J78" i="11" s="1"/>
  <c r="E78" i="11"/>
  <c r="G78" i="11"/>
  <c r="F77" i="11"/>
  <c r="F65" i="11"/>
  <c r="F64" i="11"/>
  <c r="F63" i="11"/>
  <c r="F62" i="11"/>
  <c r="D61" i="11"/>
  <c r="J61" i="11" s="1"/>
  <c r="E61" i="11"/>
  <c r="G61" i="11"/>
  <c r="D62" i="11"/>
  <c r="J62" i="11" s="1"/>
  <c r="E62" i="11"/>
  <c r="G62" i="11"/>
  <c r="D63" i="11"/>
  <c r="H63" i="11" s="1"/>
  <c r="E63" i="11"/>
  <c r="G63" i="11"/>
  <c r="D64" i="11"/>
  <c r="H64" i="11" s="1"/>
  <c r="E64" i="11"/>
  <c r="G64" i="11"/>
  <c r="D65" i="11"/>
  <c r="E65" i="11"/>
  <c r="G65" i="11"/>
  <c r="D66" i="11"/>
  <c r="H66" i="11" s="1"/>
  <c r="E66" i="11"/>
  <c r="G66" i="11"/>
  <c r="D76" i="11"/>
  <c r="J76" i="11" s="1"/>
  <c r="E76" i="11"/>
  <c r="G76" i="11"/>
  <c r="D77" i="11"/>
  <c r="E77" i="11"/>
  <c r="G77" i="11"/>
  <c r="D79" i="11"/>
  <c r="H79" i="11" s="1"/>
  <c r="E79" i="11"/>
  <c r="G79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D53" i="11"/>
  <c r="H53" i="11" s="1"/>
  <c r="E53" i="11"/>
  <c r="G53" i="11"/>
  <c r="D54" i="11"/>
  <c r="J54" i="11" s="1"/>
  <c r="E54" i="11"/>
  <c r="G54" i="11"/>
  <c r="D55" i="11"/>
  <c r="H55" i="11" s="1"/>
  <c r="E55" i="11"/>
  <c r="G55" i="11"/>
  <c r="D56" i="11"/>
  <c r="H56" i="11" s="1"/>
  <c r="E56" i="11"/>
  <c r="G56" i="11"/>
  <c r="D57" i="11"/>
  <c r="H57" i="11" s="1"/>
  <c r="E57" i="11"/>
  <c r="G57" i="11"/>
  <c r="D58" i="11"/>
  <c r="J58" i="11" s="1"/>
  <c r="E58" i="11"/>
  <c r="G58" i="11"/>
  <c r="D59" i="11"/>
  <c r="H59" i="11" s="1"/>
  <c r="E59" i="11"/>
  <c r="G59" i="11"/>
  <c r="D60" i="11"/>
  <c r="H60" i="11" s="1"/>
  <c r="E60" i="11"/>
  <c r="G60" i="11"/>
  <c r="D41" i="11"/>
  <c r="J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H44" i="11" s="1"/>
  <c r="E44" i="11"/>
  <c r="G44" i="11"/>
  <c r="D45" i="11"/>
  <c r="J45" i="11" s="1"/>
  <c r="E45" i="11"/>
  <c r="G45" i="11"/>
  <c r="D46" i="11"/>
  <c r="J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D16" i="11"/>
  <c r="H16" i="11" s="1"/>
  <c r="E16" i="11"/>
  <c r="G16" i="11"/>
  <c r="D17" i="11"/>
  <c r="H17" i="11" s="1"/>
  <c r="E17" i="11"/>
  <c r="G17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E26" i="11"/>
  <c r="G26" i="11"/>
  <c r="D27" i="11"/>
  <c r="E27" i="11"/>
  <c r="G27" i="11"/>
  <c r="D28" i="11"/>
  <c r="H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H36" i="11" s="1"/>
  <c r="E36" i="11"/>
  <c r="G36" i="11"/>
  <c r="K117" i="11" l="1"/>
  <c r="K112" i="11"/>
  <c r="K116" i="11"/>
  <c r="K104" i="11"/>
  <c r="K108" i="11"/>
  <c r="K107" i="11"/>
  <c r="K105" i="11"/>
  <c r="K111" i="11"/>
  <c r="K115" i="11"/>
  <c r="K19" i="11"/>
  <c r="K114" i="11"/>
  <c r="K113" i="11"/>
  <c r="K102" i="11"/>
  <c r="K106" i="11"/>
  <c r="K109" i="11"/>
  <c r="K18" i="11"/>
  <c r="K20" i="11"/>
  <c r="J89" i="11"/>
  <c r="I94" i="11"/>
  <c r="I99" i="11"/>
  <c r="I86" i="11"/>
  <c r="I98" i="11"/>
  <c r="J95" i="11"/>
  <c r="H93" i="11"/>
  <c r="I81" i="11"/>
  <c r="H98" i="11"/>
  <c r="I85" i="11"/>
  <c r="J83" i="11"/>
  <c r="H81" i="11"/>
  <c r="I89" i="11"/>
  <c r="J87" i="11"/>
  <c r="H85" i="11"/>
  <c r="I93" i="11"/>
  <c r="J91" i="11"/>
  <c r="H89" i="11"/>
  <c r="J101" i="11"/>
  <c r="H99" i="11"/>
  <c r="J97" i="11"/>
  <c r="H94" i="11"/>
  <c r="J92" i="11"/>
  <c r="H90" i="11"/>
  <c r="J88" i="11"/>
  <c r="H86" i="11"/>
  <c r="J84" i="11"/>
  <c r="H82" i="11"/>
  <c r="J80" i="11"/>
  <c r="I170" i="11"/>
  <c r="I165" i="11"/>
  <c r="I161" i="11"/>
  <c r="I101" i="11"/>
  <c r="J100" i="11"/>
  <c r="I97" i="11"/>
  <c r="I92" i="11"/>
  <c r="I88" i="11"/>
  <c r="I84" i="11"/>
  <c r="I80" i="11"/>
  <c r="I100" i="11"/>
  <c r="J99" i="11"/>
  <c r="I95" i="11"/>
  <c r="K95" i="11" s="1"/>
  <c r="J94" i="11"/>
  <c r="I91" i="11"/>
  <c r="J90" i="11"/>
  <c r="I87" i="11"/>
  <c r="J86" i="11"/>
  <c r="I83" i="11"/>
  <c r="J82" i="11"/>
  <c r="H152" i="11"/>
  <c r="H155" i="11"/>
  <c r="I154" i="11"/>
  <c r="J156" i="11"/>
  <c r="I149" i="11"/>
  <c r="J172" i="11"/>
  <c r="I164" i="11"/>
  <c r="H157" i="11"/>
  <c r="I169" i="11"/>
  <c r="H161" i="11"/>
  <c r="J159" i="11"/>
  <c r="I153" i="11"/>
  <c r="I173" i="11"/>
  <c r="H165" i="11"/>
  <c r="J163" i="11"/>
  <c r="H150" i="11"/>
  <c r="J148" i="11"/>
  <c r="J123" i="11"/>
  <c r="H170" i="11"/>
  <c r="J168" i="11"/>
  <c r="I160" i="11"/>
  <c r="H154" i="11"/>
  <c r="J152" i="11"/>
  <c r="H174" i="11"/>
  <c r="J175" i="11"/>
  <c r="H173" i="11"/>
  <c r="I172" i="11"/>
  <c r="J171" i="11"/>
  <c r="H169" i="11"/>
  <c r="I168" i="11"/>
  <c r="J167" i="11"/>
  <c r="H164" i="11"/>
  <c r="I163" i="11"/>
  <c r="J162" i="11"/>
  <c r="H160" i="11"/>
  <c r="I159" i="11"/>
  <c r="J158" i="11"/>
  <c r="I156" i="11"/>
  <c r="J155" i="11"/>
  <c r="H153" i="11"/>
  <c r="I152" i="11"/>
  <c r="J151" i="11"/>
  <c r="H149" i="11"/>
  <c r="I148" i="11"/>
  <c r="I175" i="11"/>
  <c r="J174" i="11"/>
  <c r="I171" i="11"/>
  <c r="J170" i="11"/>
  <c r="I167" i="11"/>
  <c r="J165" i="11"/>
  <c r="I162" i="11"/>
  <c r="J161" i="11"/>
  <c r="I158" i="11"/>
  <c r="J157" i="11"/>
  <c r="I155" i="11"/>
  <c r="J154" i="11"/>
  <c r="I151" i="11"/>
  <c r="J150" i="11"/>
  <c r="I142" i="11"/>
  <c r="H142" i="11"/>
  <c r="J138" i="11"/>
  <c r="H123" i="11"/>
  <c r="J125" i="11"/>
  <c r="I121" i="11"/>
  <c r="J133" i="11"/>
  <c r="J176" i="11"/>
  <c r="I138" i="11"/>
  <c r="I136" i="11"/>
  <c r="J135" i="11"/>
  <c r="J144" i="11"/>
  <c r="H119" i="11"/>
  <c r="I144" i="11"/>
  <c r="I135" i="11"/>
  <c r="I133" i="11"/>
  <c r="I119" i="11"/>
  <c r="I127" i="11"/>
  <c r="I125" i="11"/>
  <c r="J129" i="11"/>
  <c r="H127" i="11"/>
  <c r="H124" i="11"/>
  <c r="H121" i="11"/>
  <c r="I120" i="11"/>
  <c r="J119" i="11"/>
  <c r="I140" i="11"/>
  <c r="H146" i="11"/>
  <c r="H131" i="11"/>
  <c r="I129" i="11"/>
  <c r="H176" i="11"/>
  <c r="I143" i="11"/>
  <c r="I128" i="11"/>
  <c r="I118" i="11"/>
  <c r="I146" i="11"/>
  <c r="I131" i="11"/>
  <c r="H140" i="11"/>
  <c r="I139" i="11"/>
  <c r="I147" i="11"/>
  <c r="I132" i="11"/>
  <c r="J147" i="11"/>
  <c r="H145" i="11"/>
  <c r="J143" i="11"/>
  <c r="H141" i="11"/>
  <c r="J139" i="11"/>
  <c r="H137" i="11"/>
  <c r="J136" i="11"/>
  <c r="H134" i="11"/>
  <c r="J132" i="11"/>
  <c r="H130" i="11"/>
  <c r="J128" i="11"/>
  <c r="H126" i="11"/>
  <c r="J124" i="11"/>
  <c r="H122" i="11"/>
  <c r="J120" i="11"/>
  <c r="H118" i="11"/>
  <c r="I145" i="11"/>
  <c r="I141" i="11"/>
  <c r="I137" i="11"/>
  <c r="I126" i="11"/>
  <c r="I134" i="11"/>
  <c r="I130" i="11"/>
  <c r="I122" i="11"/>
  <c r="I78" i="11"/>
  <c r="H78" i="11"/>
  <c r="J64" i="11"/>
  <c r="J66" i="11"/>
  <c r="I76" i="11"/>
  <c r="I66" i="11"/>
  <c r="I64" i="11"/>
  <c r="K64" i="11" s="1"/>
  <c r="J77" i="11"/>
  <c r="J65" i="11"/>
  <c r="I79" i="11"/>
  <c r="H76" i="11"/>
  <c r="H62" i="11"/>
  <c r="I61" i="11"/>
  <c r="I62" i="11"/>
  <c r="I77" i="11"/>
  <c r="I65" i="11"/>
  <c r="I63" i="11"/>
  <c r="J79" i="11"/>
  <c r="H77" i="11"/>
  <c r="H65" i="11"/>
  <c r="J63" i="11"/>
  <c r="H61" i="11"/>
  <c r="J53" i="11"/>
  <c r="I53" i="11"/>
  <c r="J60" i="11"/>
  <c r="J59" i="11"/>
  <c r="I44" i="11"/>
  <c r="I60" i="11"/>
  <c r="J55" i="11"/>
  <c r="I59" i="11"/>
  <c r="I58" i="11"/>
  <c r="J57" i="11"/>
  <c r="I55" i="11"/>
  <c r="J56" i="11"/>
  <c r="I57" i="11"/>
  <c r="I56" i="11"/>
  <c r="I54" i="11"/>
  <c r="H58" i="11"/>
  <c r="H54" i="11"/>
  <c r="J44" i="11"/>
  <c r="J43" i="11"/>
  <c r="J52" i="11"/>
  <c r="J48" i="11"/>
  <c r="I48" i="11"/>
  <c r="J47" i="11"/>
  <c r="I52" i="11"/>
  <c r="J51" i="11"/>
  <c r="I49" i="11"/>
  <c r="I45" i="11"/>
  <c r="I41" i="11"/>
  <c r="I51" i="11"/>
  <c r="H49" i="11"/>
  <c r="I47" i="11"/>
  <c r="H45" i="11"/>
  <c r="I43" i="11"/>
  <c r="H41" i="11"/>
  <c r="I46" i="11"/>
  <c r="I42" i="11"/>
  <c r="I50" i="11"/>
  <c r="H27" i="11"/>
  <c r="H50" i="11"/>
  <c r="H46" i="11"/>
  <c r="H42" i="11"/>
  <c r="H26" i="11"/>
  <c r="J31" i="11"/>
  <c r="I31" i="11"/>
  <c r="J30" i="11"/>
  <c r="J27" i="11"/>
  <c r="J34" i="11"/>
  <c r="J16" i="11"/>
  <c r="I27" i="11"/>
  <c r="I36" i="11"/>
  <c r="J35" i="11"/>
  <c r="J23" i="11"/>
  <c r="I32" i="11"/>
  <c r="I28" i="11"/>
  <c r="I35" i="11"/>
  <c r="I23" i="11"/>
  <c r="J22" i="11"/>
  <c r="J17" i="11"/>
  <c r="I16" i="11"/>
  <c r="J36" i="11"/>
  <c r="I34" i="11"/>
  <c r="I33" i="11"/>
  <c r="J32" i="11"/>
  <c r="I30" i="11"/>
  <c r="I29" i="11"/>
  <c r="J28" i="11"/>
  <c r="I26" i="11"/>
  <c r="I25" i="11"/>
  <c r="J24" i="11"/>
  <c r="I22" i="11"/>
  <c r="I21" i="11"/>
  <c r="I24" i="11"/>
  <c r="I17" i="11"/>
  <c r="J26" i="11"/>
  <c r="H33" i="11"/>
  <c r="H29" i="11"/>
  <c r="H25" i="11"/>
  <c r="H21" i="11"/>
  <c r="K55" i="11" l="1"/>
  <c r="K81" i="11"/>
  <c r="K84" i="11"/>
  <c r="K87" i="11"/>
  <c r="K98" i="11"/>
  <c r="K157" i="11"/>
  <c r="K171" i="11"/>
  <c r="K148" i="11"/>
  <c r="K149" i="11"/>
  <c r="K85" i="11"/>
  <c r="K89" i="11"/>
  <c r="K92" i="11"/>
  <c r="K93" i="11"/>
  <c r="K91" i="11"/>
  <c r="K100" i="11"/>
  <c r="K101" i="11"/>
  <c r="K80" i="11"/>
  <c r="K168" i="11"/>
  <c r="K173" i="11"/>
  <c r="K150" i="11"/>
  <c r="K97" i="11"/>
  <c r="K161" i="11"/>
  <c r="K169" i="11"/>
  <c r="K83" i="11"/>
  <c r="K88" i="11"/>
  <c r="K86" i="11"/>
  <c r="K82" i="11"/>
  <c r="K90" i="11"/>
  <c r="K99" i="11"/>
  <c r="K94" i="11"/>
  <c r="K155" i="11"/>
  <c r="K118" i="11"/>
  <c r="K156" i="11"/>
  <c r="K167" i="11"/>
  <c r="K135" i="11"/>
  <c r="K151" i="11"/>
  <c r="K165" i="11"/>
  <c r="K160" i="11"/>
  <c r="K172" i="11"/>
  <c r="K158" i="11"/>
  <c r="K175" i="11"/>
  <c r="K147" i="11"/>
  <c r="K136" i="11"/>
  <c r="K138" i="11"/>
  <c r="K154" i="11"/>
  <c r="K163" i="11"/>
  <c r="K123" i="11"/>
  <c r="K162" i="11"/>
  <c r="K159" i="11"/>
  <c r="K164" i="11"/>
  <c r="K176" i="11"/>
  <c r="K133" i="11"/>
  <c r="K152" i="11"/>
  <c r="K170" i="11"/>
  <c r="K153" i="11"/>
  <c r="K132" i="11"/>
  <c r="K142" i="11"/>
  <c r="K125" i="11"/>
  <c r="K174" i="11"/>
  <c r="K140" i="11"/>
  <c r="K119" i="11"/>
  <c r="K124" i="11"/>
  <c r="K121" i="11"/>
  <c r="K127" i="11"/>
  <c r="K122" i="11"/>
  <c r="K129" i="11"/>
  <c r="K144" i="11"/>
  <c r="K120" i="11"/>
  <c r="K139" i="11"/>
  <c r="K137" i="11"/>
  <c r="K131" i="11"/>
  <c r="K78" i="11"/>
  <c r="K146" i="11"/>
  <c r="K128" i="11"/>
  <c r="K143" i="11"/>
  <c r="K145" i="11"/>
  <c r="K126" i="11"/>
  <c r="K134" i="11"/>
  <c r="K141" i="11"/>
  <c r="K130" i="11"/>
  <c r="K76" i="11"/>
  <c r="K66" i="11"/>
  <c r="K61" i="11"/>
  <c r="K79" i="11"/>
  <c r="K62" i="11"/>
  <c r="K60" i="11"/>
  <c r="K65" i="11"/>
  <c r="K77" i="11"/>
  <c r="K59" i="11"/>
  <c r="K63" i="11"/>
  <c r="K54" i="11"/>
  <c r="K53" i="11"/>
  <c r="K50" i="11"/>
  <c r="K57" i="11"/>
  <c r="K44" i="11"/>
  <c r="K51" i="11"/>
  <c r="K58" i="11"/>
  <c r="K56" i="11"/>
  <c r="K48" i="11"/>
  <c r="K41" i="11"/>
  <c r="K43" i="11"/>
  <c r="K52" i="11"/>
  <c r="K49" i="11"/>
  <c r="K45" i="11"/>
  <c r="K31" i="11"/>
  <c r="K42" i="11"/>
  <c r="K47" i="11"/>
  <c r="K46" i="11"/>
  <c r="K16" i="11"/>
  <c r="K23" i="11"/>
  <c r="K27" i="11"/>
  <c r="K35" i="11"/>
  <c r="K30" i="11"/>
  <c r="K21" i="11"/>
  <c r="K22" i="11"/>
  <c r="K28" i="11"/>
  <c r="K34" i="11"/>
  <c r="K36" i="11"/>
  <c r="K25" i="11"/>
  <c r="K29" i="11"/>
  <c r="K24" i="11"/>
  <c r="K17" i="11"/>
  <c r="K32" i="11"/>
  <c r="K33" i="11"/>
  <c r="K26" i="11"/>
  <c r="D21" i="59" l="1"/>
  <c r="K6" i="60"/>
  <c r="D37" i="11"/>
  <c r="H37" i="11" s="1"/>
  <c r="E37" i="11"/>
  <c r="G37" i="11"/>
  <c r="D38" i="11"/>
  <c r="H38" i="11" s="1"/>
  <c r="E38" i="11"/>
  <c r="G38" i="11"/>
  <c r="D39" i="11"/>
  <c r="E39" i="11"/>
  <c r="G39" i="11"/>
  <c r="D40" i="11"/>
  <c r="H40" i="11" s="1"/>
  <c r="E40" i="11"/>
  <c r="G40" i="11"/>
  <c r="J39" i="11" l="1"/>
  <c r="J38" i="11"/>
  <c r="I40" i="11"/>
  <c r="I38" i="11"/>
  <c r="J37" i="11"/>
  <c r="I37" i="11"/>
  <c r="J40" i="11"/>
  <c r="I39" i="11"/>
  <c r="H39" i="11"/>
  <c r="K37" i="11" l="1"/>
  <c r="K38" i="11"/>
  <c r="K39" i="11"/>
  <c r="K40" i="11"/>
  <c r="D15" i="11" l="1"/>
  <c r="H15" i="11" s="1"/>
  <c r="E15" i="11"/>
  <c r="G15" i="11"/>
  <c r="D16" i="60"/>
  <c r="J15" i="11" l="1"/>
  <c r="I15" i="11"/>
  <c r="K15" i="11" l="1"/>
  <c r="D14" i="11" l="1"/>
  <c r="J14" i="11" s="1"/>
  <c r="J177" i="11" s="1"/>
  <c r="E14" i="11"/>
  <c r="G14" i="11"/>
  <c r="K19" i="60"/>
  <c r="D19" i="60"/>
  <c r="H14" i="11" l="1"/>
  <c r="H177" i="11" s="1"/>
  <c r="I14" i="11"/>
  <c r="I177" i="11" s="1"/>
  <c r="K177" i="11" l="1"/>
  <c r="K14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3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7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77" i="11"/>
  <c r="D178" i="11"/>
  <c r="H178" i="11" s="1"/>
  <c r="E17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7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85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22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7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78" i="11"/>
  <c r="I178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94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78" i="11"/>
  <c r="F278" i="29" l="1"/>
  <c r="E236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80" i="11"/>
  <c r="H181" i="11" s="1"/>
  <c r="I180" i="11"/>
  <c r="I181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82" i="11"/>
  <c r="I18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80" i="11"/>
  <c r="K181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80" i="11"/>
  <c r="J18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82" i="11"/>
  <c r="B183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8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3" i="41" l="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<sst xmlns="http://schemas.openxmlformats.org/spreadsheetml/2006/main" count="4853" uniqueCount="1647">
  <si>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</si>
  <si>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</si>
  <si>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</si>
  <si>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</si>
  <si>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</si>
  <si>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</si>
  <si>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</si>
  <si>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</si>
  <si>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</si>
  <si>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</si>
  <si>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</si>
  <si>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</si>
  <si>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</si>
  <si>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</si>
  <si>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</si>
  <si>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</si>
  <si>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</si>
  <si>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</si>
  <si>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</si>
  <si>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</si>
  <si>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</si>
  <si>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</si>
  <si>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</si>
  <si>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</si>
  <si>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</si>
  <si>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</si>
  <si>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</si>
  <si>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</si>
  <si>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</si>
  <si>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</si>
  <si>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</si>
  <si>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</si>
  <si>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</si>
  <si>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</si>
  <si>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</si>
  <si>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</si>
  <si>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</si>
  <si>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</si>
  <si>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</si>
  <si>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</si>
  <si>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</si>
  <si>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</si>
  <si>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</si>
  <si>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</si>
  <si>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</si>
  <si>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</si>
  <si>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</si>
  <si>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</si>
  <si>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</si>
  <si>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</si>
  <si>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</si>
  <si>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</si>
  <si>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</si>
  <si>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</si>
  <si>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</si>
  <si>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</si>
  <si>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</si>
  <si>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</si>
  <si>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</si>
  <si>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</si>
  <si>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</si>
  <si>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</si>
  <si>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</si>
  <si>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</si>
  <si>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</si>
  <si>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</si>
  <si>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</si>
  <si>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</si>
  <si>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</si>
  <si>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</si>
  <si>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</si>
  <si>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</si>
  <si>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</si>
  <si>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</si>
  <si>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</si>
  <si>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</si>
  <si>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</si>
  <si>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</si>
  <si>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</si>
  <si>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</si>
  <si>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</si>
  <si>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</si>
  <si>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</si>
  <si>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</si>
  <si>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</si>
  <si>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</si>
  <si>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</si>
  <si>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</si>
  <si>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</si>
  <si>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</si>
  <si>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</si>
  <si>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</si>
  <si>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</si>
  <si>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</si>
  <si>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</si>
  <si>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</si>
  <si>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</si>
  <si>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</si>
  <si>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</si>
  <si>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</si>
  <si>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</si>
  <si>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</si>
  <si>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</si>
  <si>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</si>
  <si>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</si>
  <si>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</si>
  <si>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</si>
  <si>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</si>
  <si>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</si>
  <si>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</si>
  <si>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</si>
  <si>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</si>
  <si>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</si>
  <si>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</si>
  <si>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</si>
  <si>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</si>
  <si>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</si>
  <si>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</si>
  <si>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</si>
  <si>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</si>
  <si>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</si>
  <si>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</si>
  <si>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</si>
  <si>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</si>
  <si>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</si>
  <si>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</si>
  <si>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</si>
  <si>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</si>
  <si>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</si>
  <si>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</si>
  <si>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</si>
  <si>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</si>
  <si>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</si>
  <si>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</si>
  <si>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</si>
  <si>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</si>
  <si>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</si>
  <si>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</si>
  <si>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</si>
  <si>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</si>
  <si>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</si>
  <si>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</si>
  <si>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</si>
  <si>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</si>
  <si>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</si>
  <si>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</si>
  <si>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</si>
  <si>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</si>
  <si>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</si>
  <si>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</si>
  <si>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</si>
  <si>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</si>
  <si>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</si>
  <si>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</si>
  <si>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</si>
  <si>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</si>
  <si>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</si>
  <si>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</si>
  <si>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</si>
  <si>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</si>
  <si>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</si>
  <si>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</si>
  <si>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</si>
  <si>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</si>
  <si>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</si>
  <si>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</si>
  <si>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</si>
  <si>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</si>
  <si>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</si>
  <si>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</si>
  <si>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</si>
  <si>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</si>
  <si>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</si>
  <si>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</si>
  <si>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</si>
  <si>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</si>
  <si>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</si>
  <si>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</si>
  <si>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</si>
  <si>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</si>
  <si>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</si>
  <si>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</si>
  <si>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</si>
  <si>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</si>
  <si>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</si>
  <si>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</si>
  <si>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</si>
  <si>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</si>
  <si>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</si>
  <si>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</si>
  <si>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</si>
  <si>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</si>
  <si>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</si>
  <si>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</si>
  <si>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</si>
  <si>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</si>
  <si>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</si>
  <si>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</si>
  <si>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</si>
  <si>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</si>
  <si>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</si>
  <si>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</si>
  <si>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</si>
  <si>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</si>
  <si>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</si>
  <si>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</si>
  <si>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</si>
  <si>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</si>
  <si>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</si>
  <si>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</si>
  <si>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</si>
  <si>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</si>
  <si>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</si>
  <si>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</si>
  <si>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</si>
  <si>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</si>
  <si>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</si>
  <si>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</si>
  <si>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</si>
  <si>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</si>
  <si>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</si>
  <si>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</si>
  <si>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</si>
  <si>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</si>
  <si>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</si>
  <si>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</si>
  <si>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</si>
  <si>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</si>
  <si>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</si>
  <si>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</si>
  <si>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</si>
  <si>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</si>
  <si>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</si>
  <si>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</si>
  <si>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</si>
  <si>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</si>
  <si>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</si>
  <si>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</si>
  <si>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</si>
  <si>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</si>
  <si>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</si>
  <si>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</si>
  <si>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</si>
  <si>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</si>
  <si>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</si>
  <si>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</si>
  <si>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</si>
  <si>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</si>
  <si>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</si>
  <si>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</si>
  <si>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</si>
  <si>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</si>
  <si>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</si>
  <si>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</si>
  <si>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</si>
  <si>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</si>
  <si>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</si>
  <si>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</si>
  <si>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</si>
  <si>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</si>
  <si>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</si>
  <si>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</si>
  <si>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</si>
  <si>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</si>
  <si>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</si>
  <si>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</si>
  <si>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</si>
  <si>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</si>
  <si>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</si>
  <si>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</si>
  <si>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</si>
  <si>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</si>
  <si>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</si>
  <si>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</si>
  <si>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</si>
  <si>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</si>
  <si>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</si>
  <si>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</si>
  <si>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</si>
  <si>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</si>
  <si>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</si>
  <si>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</si>
  <si>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</si>
  <si>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</si>
  <si>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</si>
  <si>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</si>
  <si>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</si>
  <si>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</si>
  <si>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</si>
  <si>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</si>
  <si>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</si>
  <si>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</si>
  <si>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</si>
  <si>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</si>
  <si>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</si>
  <si>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</si>
  <si>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</si>
  <si>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</si>
  <si>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</si>
  <si>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</si>
  <si>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</si>
  <si>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</si>
  <si>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</si>
  <si>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</si>
  <si>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</si>
  <si>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</si>
  <si>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</si>
  <si>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</si>
  <si>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</si>
  <si>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</si>
  <si>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</si>
  <si>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</si>
  <si>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</si>
  <si>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</si>
  <si>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</si>
  <si>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</si>
  <si>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</si>
  <si>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</si>
  <si>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</si>
  <si>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</si>
  <si>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</si>
  <si>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</si>
  <si>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</si>
  <si>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</si>
  <si>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</si>
  <si>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</si>
  <si>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</si>
  <si>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</si>
  <si>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</si>
  <si>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</si>
  <si>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</si>
  <si>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</si>
  <si>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</si>
  <si>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</si>
  <si>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</si>
  <si>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</si>
  <si>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</si>
  <si>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</si>
  <si>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</si>
  <si>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</si>
  <si>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</si>
  <si>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</si>
  <si>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</si>
  <si>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</si>
  <si>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</si>
  <si>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</si>
  <si>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</si>
  <si>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</si>
  <si>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</si>
  <si>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</si>
  <si>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</si>
  <si>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</si>
  <si>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</si>
  <si>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</si>
  <si>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</si>
  <si>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</si>
  <si>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</si>
  <si>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</si>
  <si>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</si>
  <si>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</si>
  <si>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</si>
  <si>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</si>
  <si>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</si>
  <si>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</si>
  <si>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</si>
  <si>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</si>
  <si>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</si>
  <si>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</si>
  <si>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</si>
  <si>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</si>
  <si>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</si>
  <si>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</si>
  <si>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</si>
  <si>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</si>
  <si>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</si>
  <si>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</si>
  <si>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</si>
  <si>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</si>
  <si>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</si>
  <si>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</si>
  <si>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</si>
  <si>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</si>
  <si>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</si>
  <si>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</si>
  <si>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</si>
  <si>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</si>
  <si>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</si>
  <si>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</si>
  <si>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</si>
  <si>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</si>
  <si>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</si>
  <si>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</si>
  <si>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</si>
  <si>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</si>
  <si>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</si>
  <si>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</si>
  <si>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</si>
  <si>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</si>
  <si>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</si>
  <si>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</si>
  <si>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</si>
  <si>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</si>
  <si>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</si>
  <si>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</si>
  <si>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</si>
  <si>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</si>
  <si>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</si>
  <si>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</si>
  <si>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</si>
  <si>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</si>
  <si>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</si>
  <si>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</si>
  <si>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</si>
  <si>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</si>
  <si>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</si>
  <si>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</si>
  <si>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</si>
  <si>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</si>
  <si>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</si>
  <si>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</si>
  <si>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</si>
  <si>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</si>
  <si>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</si>
  <si>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</si>
  <si>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</si>
  <si>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</si>
  <si>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</si>
  <si>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</si>
  <si>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</si>
  <si>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</si>
  <si>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</si>
  <si>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</si>
  <si>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</si>
  <si>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</si>
  <si>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</si>
  <si>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</si>
  <si>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</si>
  <si>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</si>
  <si>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</si>
  <si>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</si>
  <si>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</si>
  <si>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</si>
  <si>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</si>
  <si>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</si>
  <si>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</si>
  <si>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</si>
  <si>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</si>
  <si>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</si>
  <si>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</si>
  <si>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</si>
  <si>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</si>
  <si>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</si>
  <si>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</si>
  <si>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</si>
  <si>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</si>
  <si>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</si>
  <si>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</si>
  <si>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</si>
  <si>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</si>
  <si>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</si>
  <si>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</si>
  <si>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</si>
  <si>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</si>
  <si>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</si>
  <si>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</si>
  <si>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</si>
  <si>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</si>
  <si>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</si>
  <si>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</si>
  <si>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</si>
  <si>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</si>
  <si>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</si>
  <si>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</si>
  <si>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</si>
  <si>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</si>
  <si>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</si>
  <si>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</si>
  <si>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</si>
  <si>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</si>
  <si>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</si>
  <si>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</si>
  <si>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</si>
  <si>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</si>
  <si>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</si>
  <si>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</si>
  <si>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</si>
  <si>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</si>
  <si>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</si>
  <si>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</si>
  <si>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</si>
  <si>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</si>
  <si>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</si>
  <si>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</si>
  <si>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</si>
  <si>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</si>
  <si>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</si>
  <si>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</si>
  <si>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</si>
  <si>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</si>
  <si>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</si>
  <si>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</si>
  <si>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</si>
  <si>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</si>
  <si>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</si>
  <si>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</si>
  <si>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</si>
  <si>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</si>
  <si>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</si>
  <si>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</si>
  <si>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</si>
  <si>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</si>
  <si>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</si>
  <si>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</si>
  <si>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</si>
  <si>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</si>
  <si>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</si>
  <si>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</si>
  <si>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</si>
  <si>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</si>
  <si>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</si>
  <si>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</si>
  <si>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</si>
  <si>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</si>
  <si>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</si>
  <si>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</si>
  <si>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</si>
  <si>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</si>
  <si>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</si>
  <si>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</si>
  <si>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</si>
  <si>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</si>
  <si>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</si>
  <si>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</si>
  <si>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</si>
  <si>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</si>
  <si>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</si>
  <si>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</si>
  <si>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</si>
  <si>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</si>
  <si>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</si>
  <si>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</si>
  <si>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</si>
  <si>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</si>
  <si>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</si>
  <si>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</si>
  <si>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</si>
  <si>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</si>
  <si>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</si>
  <si>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</si>
  <si>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</si>
  <si>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</si>
  <si>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</si>
  <si>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</si>
  <si>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</si>
  <si>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</si>
  <si>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</si>
  <si>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</si>
  <si>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</si>
  <si>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</si>
  <si>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</si>
  <si>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</si>
  <si>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</si>
  <si>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</si>
  <si>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</si>
  <si>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</si>
  <si>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</si>
  <si>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</si>
  <si>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</si>
  <si>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</si>
  <si>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</si>
  <si>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</si>
  <si>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</si>
  <si>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</si>
  <si>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</si>
  <si>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</si>
  <si>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</si>
  <si>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</si>
  <si>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</si>
  <si>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</si>
  <si>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</si>
  <si>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</si>
  <si>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</si>
  <si>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</si>
  <si>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</si>
  <si>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</si>
  <si>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</si>
  <si>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</si>
  <si>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</si>
  <si>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</si>
  <si>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</si>
  <si>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</si>
  <si>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</si>
  <si>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</si>
  <si>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</si>
  <si>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</si>
  <si>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</si>
  <si>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</si>
  <si>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</si>
  <si>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</si>
  <si>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</si>
  <si>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</si>
  <si>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</si>
  <si>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</si>
  <si>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</si>
  <si>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</si>
  <si>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</si>
  <si>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</si>
  <si>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</si>
  <si>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</si>
  <si>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</si>
  <si>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</si>
  <si>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</si>
  <si>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</si>
  <si>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</si>
  <si>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</si>
  <si>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</si>
  <si>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</si>
  <si>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</si>
  <si>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</si>
  <si>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</si>
  <si>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</si>
  <si>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</si>
  <si>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</si>
  <si>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</si>
  <si>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</si>
  <si>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</si>
  <si>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</si>
  <si>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</si>
  <si>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</si>
  <si>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</si>
  <si>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</si>
  <si>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</si>
  <si>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</si>
  <si>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</si>
  <si>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</si>
  <si>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</si>
  <si>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</si>
  <si>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</si>
  <si>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</si>
  <si>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</si>
  <si>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</si>
  <si>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</si>
  <si>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</si>
  <si>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</si>
  <si>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</si>
  <si>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</si>
  <si>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</si>
  <si>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</si>
  <si>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</si>
  <si>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</si>
  <si>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</si>
  <si>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</si>
  <si>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</si>
  <si>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</si>
  <si>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</si>
  <si>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</si>
  <si>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</si>
  <si>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</si>
  <si>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</si>
  <si>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</si>
  <si>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</si>
  <si>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</si>
  <si>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</si>
  <si>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</si>
  <si>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</si>
  <si>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</si>
  <si>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</si>
  <si>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</si>
  <si>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</si>
  <si>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</si>
  <si>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</si>
  <si>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</si>
  <si>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</si>
  <si>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</si>
  <si>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</si>
  <si>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</si>
  <si>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</si>
  <si>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</si>
  <si>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</si>
  <si>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</si>
  <si>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</si>
  <si>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</si>
  <si>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</si>
  <si>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</si>
  <si>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</si>
  <si>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</si>
  <si>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</si>
  <si>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</si>
  <si>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</si>
  <si>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</si>
  <si>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</si>
  <si>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</si>
  <si>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</si>
  <si>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</si>
  <si>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</si>
  <si>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</si>
  <si>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</si>
  <si>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</si>
  <si>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</si>
  <si>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</si>
  <si>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</si>
  <si>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</si>
  <si>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</si>
  <si>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</si>
  <si>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</si>
  <si>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</si>
  <si>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</si>
  <si>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</si>
  <si>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</si>
  <si>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</si>
  <si>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</si>
  <si>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</si>
  <si>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</si>
  <si>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</si>
  <si>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</si>
  <si>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</si>
  <si>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</si>
  <si>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</si>
  <si>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</si>
  <si>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</si>
  <si>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</si>
  <si>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</si>
  <si>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</si>
  <si>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</si>
  <si>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</si>
  <si>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</si>
  <si>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</si>
  <si>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</si>
  <si>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</si>
  <si>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</si>
  <si>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</si>
  <si>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</si>
  <si>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</si>
  <si>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</si>
  <si>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</si>
  <si>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</si>
  <si>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</si>
  <si>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</si>
  <si>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</si>
  <si>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</si>
  <si>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</si>
  <si>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</si>
  <si>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</si>
  <si>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</si>
  <si>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</si>
  <si>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</si>
  <si>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</si>
  <si>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</si>
  <si>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</si>
  <si>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</si>
  <si>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</si>
  <si>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</si>
  <si>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</si>
  <si>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</si>
  <si>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</si>
  <si>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</si>
  <si>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</si>
  <si>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</si>
  <si>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</si>
  <si>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</si>
  <si>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</si>
  <si>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</si>
  <si>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</si>
  <si>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</si>
  <si>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</si>
  <si>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</si>
  <si>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</si>
  <si>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</si>
  <si>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</si>
  <si>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</si>
  <si>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</si>
  <si>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</si>
  <si>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</si>
  <si>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</si>
  <si>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</si>
  <si>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</si>
  <si>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</si>
  <si>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</si>
  <si>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</si>
  <si>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</si>
  <si>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</si>
  <si>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</si>
  <si>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</si>
  <si>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</si>
  <si>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</si>
  <si>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</si>
  <si>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</si>
  <si>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</si>
  <si>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</si>
  <si>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</si>
  <si>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</si>
  <si>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</si>
  <si>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</si>
  <si>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</si>
  <si>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</si>
  <si>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</si>
  <si>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</si>
  <si>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</si>
  <si>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</si>
  <si>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</si>
  <si>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</si>
  <si>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</si>
  <si>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</si>
  <si>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</si>
  <si>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</si>
  <si>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</si>
  <si>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</si>
  <si>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</si>
  <si>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</si>
  <si>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</si>
  <si>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</si>
  <si>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</si>
  <si>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</si>
  <si>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</si>
  <si>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</si>
  <si>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</si>
  <si>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</si>
  <si>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</si>
  <si>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</si>
  <si>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</si>
  <si>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</si>
  <si>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</si>
  <si>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</si>
  <si>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</si>
  <si>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</si>
  <si>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</si>
  <si>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</si>
  <si>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</si>
  <si>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</si>
  <si>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</si>
  <si>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</si>
  <si>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</si>
  <si>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</si>
  <si>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</si>
  <si>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</si>
  <si>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</si>
  <si>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</si>
  <si>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</si>
  <si>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</si>
  <si>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</si>
  <si>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</si>
  <si>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</si>
  <si>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</si>
  <si>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</si>
  <si>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</si>
  <si>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</si>
  <si>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</si>
  <si>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</si>
  <si>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</si>
  <si>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</si>
  <si>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</si>
  <si>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</si>
  <si>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</si>
  <si>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</si>
  <si>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</si>
  <si>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</si>
  <si>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</si>
  <si>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</si>
  <si>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</si>
  <si>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</si>
  <si>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</si>
  <si>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</si>
  <si>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</si>
  <si>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</si>
  <si>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</si>
  <si>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</si>
  <si>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</si>
  <si>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</si>
  <si>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</si>
  <si>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</si>
  <si>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</si>
  <si>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</si>
  <si>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</si>
  <si>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</si>
  <si>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</si>
  <si>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</si>
  <si>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</si>
  <si>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</si>
  <si>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</si>
  <si>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</si>
  <si>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</si>
  <si>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</si>
  <si>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</si>
  <si>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</si>
  <si>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</si>
  <si>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</si>
  <si>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</si>
  <si>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</si>
  <si>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</si>
  <si>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</si>
  <si>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</si>
  <si>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</si>
  <si>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</si>
  <si>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</si>
  <si>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</si>
  <si>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</si>
  <si>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</si>
  <si>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</si>
  <si>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</si>
  <si>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</si>
  <si>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</si>
  <si>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</si>
  <si>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</si>
  <si>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</si>
  <si>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</si>
  <si>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</si>
  <si>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</si>
  <si>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</si>
  <si>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</si>
  <si>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</si>
  <si>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</si>
  <si>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</si>
  <si>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</si>
  <si>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</si>
  <si>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</si>
  <si>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</si>
  <si>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</si>
  <si>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</si>
  <si>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</si>
  <si>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</si>
  <si>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</si>
  <si>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</si>
  <si>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</si>
  <si>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</si>
  <si>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</si>
  <si>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</si>
  <si>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</si>
  <si>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</si>
  <si>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</si>
  <si>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</si>
  <si>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</si>
  <si>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</si>
  <si>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</si>
  <si>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</si>
  <si>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</si>
  <si>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</si>
  <si>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</si>
  <si>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</si>
  <si>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</si>
  <si>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</si>
  <si>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</si>
  <si>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</si>
  <si>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</si>
  <si>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</si>
  <si>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</si>
  <si>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</si>
  <si>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</si>
  <si>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</si>
  <si>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</si>
  <si>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</si>
  <si>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</si>
  <si>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</si>
  <si>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</si>
  <si>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</si>
  <si>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</si>
  <si>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</si>
  <si>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</si>
  <si>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</si>
  <si>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</si>
  <si>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</si>
  <si>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</si>
  <si>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</si>
  <si>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</si>
  <si>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</si>
  <si>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</si>
  <si>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</si>
  <si>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</si>
  <si>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</si>
  <si>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</si>
  <si>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</si>
  <si>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</si>
  <si>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</si>
  <si>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</si>
  <si>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</si>
  <si>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</si>
  <si>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</si>
  <si>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</si>
  <si>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</si>
  <si>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</si>
  <si>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</si>
  <si>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</si>
  <si>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</si>
  <si>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</si>
  <si>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</si>
  <si>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</si>
  <si>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</si>
  <si>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</si>
  <si>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</si>
  <si>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</si>
  <si>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</si>
  <si>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</si>
  <si>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</si>
  <si>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</si>
  <si>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</si>
  <si>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</si>
  <si>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</si>
  <si>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</si>
  <si>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</si>
  <si>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</si>
  <si>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</si>
  <si>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</si>
  <si>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</si>
  <si>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</si>
  <si>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</si>
  <si>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</si>
  <si>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</si>
  <si>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</si>
  <si>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</si>
  <si>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</si>
  <si>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</si>
  <si>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</si>
  <si>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</si>
  <si>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</si>
  <si>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</si>
  <si>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</si>
  <si>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</si>
  <si>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</si>
  <si>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</si>
  <si>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</si>
  <si>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</si>
  <si>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</si>
  <si>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</si>
  <si>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</si>
  <si>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</si>
  <si>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</si>
  <si>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</si>
  <si>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</si>
  <si>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</si>
  <si>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</si>
  <si>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</si>
  <si>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</si>
  <si>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</si>
  <si>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</si>
  <si>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</si>
  <si>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</si>
  <si>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</si>
  <si>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</si>
  <si>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</si>
  <si>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</si>
  <si>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</si>
  <si>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</si>
  <si>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</si>
  <si>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</si>
  <si>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</si>
  <si>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</si>
  <si>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</si>
  <si>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</si>
  <si>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</si>
  <si>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</si>
  <si>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</si>
  <si>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</si>
  <si>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</si>
  <si>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</si>
  <si>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</si>
  <si>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</si>
  <si>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</si>
  <si>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</si>
  <si>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</si>
  <si>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</si>
  <si>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</si>
  <si>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</si>
  <si>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</si>
  <si>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</si>
  <si>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</si>
  <si>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</si>
  <si>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</si>
  <si>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</si>
  <si>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</si>
  <si>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</si>
  <si>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</si>
  <si>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</si>
  <si>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</si>
  <si>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</si>
  <si>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</si>
  <si>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</si>
  <si>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</si>
  <si>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</si>
  <si>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</si>
  <si>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</si>
  <si>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</si>
  <si>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</si>
  <si>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</si>
  <si>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</si>
  <si>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</si>
  <si>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</si>
  <si>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</si>
  <si>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</si>
  <si>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</si>
  <si>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</si>
  <si>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</si>
  <si>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</si>
  <si>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</si>
  <si>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</si>
  <si>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</si>
  <si>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</si>
  <si>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</si>
  <si>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</si>
  <si>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</si>
  <si>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</si>
  <si>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</si>
  <si>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</si>
  <si>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</si>
  <si>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</si>
  <si>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</si>
  <si>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</si>
  <si>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</si>
  <si>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</si>
  <si>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</si>
  <si>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</si>
  <si>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</si>
  <si>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</si>
  <si>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</si>
  <si>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</si>
  <si>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</si>
  <si>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</si>
  <si>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</si>
  <si>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</si>
  <si>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</si>
  <si>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</si>
  <si>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</si>
  <si>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</si>
  <si>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</si>
  <si>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</si>
  <si>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</si>
  <si>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</si>
  <si>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</si>
  <si>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</si>
  <si>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</si>
  <si>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</si>
  <si>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</si>
  <si>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</si>
  <si>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</si>
  <si>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</si>
  <si>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</si>
  <si>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</si>
  <si>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</si>
  <si>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</si>
  <si>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</si>
  <si>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</si>
  <si>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</si>
  <si>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</si>
  <si>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</si>
  <si>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</si>
  <si>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</si>
  <si>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</si>
  <si>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</si>
  <si>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</si>
  <si>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</si>
  <si>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</si>
  <si>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</si>
  <si>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</si>
  <si>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</si>
  <si>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</si>
  <si>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</si>
  <si>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</si>
  <si>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</si>
  <si>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</si>
  <si>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</si>
  <si>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</si>
  <si>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</si>
  <si>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</si>
  <si>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</si>
  <si>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</si>
  <si>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</si>
  <si>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</si>
  <si>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</si>
  <si>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</si>
  <si>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</si>
  <si>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</si>
  <si>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</si>
  <si>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</si>
  <si>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</si>
  <si>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</si>
  <si>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</si>
  <si>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</si>
  <si>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</si>
  <si>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</si>
  <si>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</si>
  <si>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</si>
  <si>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</si>
  <si>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</si>
  <si>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</si>
  <si>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</si>
  <si>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</si>
  <si>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</si>
  <si>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</si>
  <si>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</si>
  <si>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</si>
  <si>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</si>
  <si>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</si>
  <si>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</si>
  <si>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</si>
  <si>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</si>
  <si>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</si>
  <si>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</si>
  <si>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</si>
  <si>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</si>
  <si>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</si>
  <si>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</si>
  <si>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</si>
  <si>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</si>
  <si>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</si>
  <si>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</si>
  <si>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</si>
  <si>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</si>
  <si>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</si>
  <si>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</si>
  <si>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</si>
  <si>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</si>
  <si>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</si>
  <si>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</si>
  <si>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</si>
  <si>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</si>
  <si>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</si>
  <si>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</si>
  <si>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</si>
  <si>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</si>
  <si>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</si>
  <si>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</si>
  <si>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</si>
  <si>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</si>
  <si>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</si>
  <si>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</si>
  <si>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</si>
  <si>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</si>
  <si>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</si>
  <si>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</si>
  <si>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</si>
  <si>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</si>
  <si>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</si>
  <si>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</si>
  <si>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</si>
  <si>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</si>
  <si>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</si>
  <si>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</si>
  <si>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</si>
  <si>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</si>
  <si>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</si>
  <si>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</si>
  <si>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</si>
  <si>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</si>
  <si>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</si>
  <si>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</si>
  <si>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</si>
  <si>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</si>
  <si>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</si>
  <si>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</si>
  <si>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</si>
  <si>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</si>
  <si>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</si>
  <si>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</si>
  <si>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</si>
  <si>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</si>
  <si>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</si>
  <si>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</si>
  <si>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</si>
  <si>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</si>
  <si>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</si>
  <si>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</si>
  <si>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</si>
  <si>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</si>
  <si>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</si>
  <si>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</si>
  <si>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</si>
  <si>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</si>
  <si>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</si>
  <si>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</si>
  <si>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</si>
  <si>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</si>
  <si>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</si>
  <si>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</si>
  <si>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</si>
  <si>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</si>
  <si>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</si>
  <si>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</si>
  <si>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</si>
  <si>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</si>
  <si>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</si>
  <si>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</si>
  <si>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</si>
  <si>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</si>
  <si>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</si>
  <si>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</si>
  <si>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</si>
  <si>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</si>
  <si>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</si>
  <si>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</si>
  <si>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</si>
  <si>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</si>
  <si>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</si>
  <si>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</si>
  <si>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</si>
  <si>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</si>
  <si>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</si>
  <si>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</si>
  <si>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</si>
  <si>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</si>
  <si>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</si>
  <si>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</si>
  <si>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</si>
  <si>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</si>
  <si>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</si>
  <si>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</si>
  <si>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</si>
  <si>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</si>
  <si>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</si>
  <si>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</si>
  <si>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</si>
  <si>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</si>
  <si>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</si>
  <si>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</si>
  <si>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</si>
  <si>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</si>
  <si>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</si>
  <si>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</si>
  <si>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</si>
  <si>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</si>
  <si>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</si>
  <si>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</si>
  <si>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</si>
  <si>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</si>
  <si>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</si>
  <si>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</si>
  <si>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</si>
  <si>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</si>
  <si>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</si>
  <si>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</si>
  <si>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</si>
  <si>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</si>
  <si>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</si>
  <si>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</si>
  <si>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</si>
  <si>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</si>
  <si>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</si>
  <si>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</si>
  <si>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</si>
  <si>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</si>
  <si>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</si>
  <si>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</si>
  <si>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</si>
  <si>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</si>
  <si>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</si>
  <si>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</si>
  <si>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</si>
  <si>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</si>
  <si>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</si>
  <si>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</si>
  <si>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</si>
  <si>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</si>
  <si>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</si>
  <si>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</si>
  <si>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</si>
  <si>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</si>
  <si>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</si>
  <si>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</si>
  <si>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</si>
  <si>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</si>
  <si>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</si>
  <si>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</si>
  <si>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</si>
  <si>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</si>
  <si>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</si>
  <si>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</si>
  <si>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</si>
  <si>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</si>
  <si>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</si>
  <si>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</si>
  <si>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</si>
  <si>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</si>
  <si>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</si>
  <si>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</si>
  <si>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</si>
  <si>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</si>
  <si>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</si>
  <si>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</si>
  <si>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</si>
  <si>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</si>
  <si>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</si>
  <si>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</si>
  <si>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</si>
  <si>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</si>
  <si>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</si>
  <si>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</si>
  <si>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</si>
  <si>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</si>
  <si>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</si>
  <si>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</si>
  <si>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</si>
  <si>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</si>
  <si>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</si>
  <si>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</si>
  <si>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</si>
  <si>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</si>
  <si>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</si>
  <si>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</si>
  <si>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</si>
  <si>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</si>
  <si>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</si>
  <si>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</si>
  <si>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</si>
  <si>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</si>
  <si>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</si>
  <si>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</si>
  <si>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</si>
  <si>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</si>
  <si>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</si>
  <si>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</si>
  <si>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</si>
  <si>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</si>
  <si>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</si>
  <si>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</si>
  <si>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</si>
  <si>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</si>
  <si>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</si>
  <si>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</si>
  <si>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</si>
  <si>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</si>
  <si>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</si>
  <si>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</si>
  <si>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</si>
  <si>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</si>
  <si>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</si>
  <si>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</si>
  <si>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</si>
  <si>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</si>
  <si>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</si>
  <si>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</si>
  <si>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</si>
  <si>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</si>
  <si>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</si>
  <si>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</si>
  <si>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</si>
  <si>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</si>
  <si>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</si>
  <si>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</si>
  <si>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</si>
  <si>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</si>
  <si>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</si>
  <si>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</si>
  <si>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</si>
  <si>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</si>
  <si>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</si>
  <si>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</si>
  <si>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</si>
  <si>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</si>
  <si>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</si>
  <si>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</si>
  <si>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</si>
  <si>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</si>
  <si>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</si>
  <si>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</si>
  <si>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</si>
  <si>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</si>
  <si>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</si>
  <si>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</si>
  <si>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</si>
  <si>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</si>
  <si>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</si>
  <si>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</si>
  <si>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</si>
  <si>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</si>
  <si>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</si>
  <si>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</si>
  <si>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</si>
  <si>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</si>
  <si>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</si>
  <si>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</si>
  <si>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</si>
  <si>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</si>
  <si>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</si>
  <si>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</si>
  <si>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</si>
  <si>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</si>
  <si>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</si>
  <si>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</si>
  <si>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</si>
  <si>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</si>
  <si>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</si>
  <si>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</si>
  <si>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</si>
  <si>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</si>
  <si>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</si>
  <si>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</si>
  <si>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</si>
  <si>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</si>
  <si>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</si>
  <si>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</si>
  <si>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</si>
  <si>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</si>
  <si>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</si>
  <si>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</si>
  <si>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</si>
  <si>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</si>
  <si>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</si>
  <si>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</si>
  <si>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</si>
  <si>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</si>
  <si>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</si>
  <si>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</si>
  <si>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</si>
  <si>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</si>
  <si>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</si>
  <si>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</si>
  <si>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</si>
  <si>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</si>
  <si>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</si>
  <si>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</si>
  <si>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</si>
  <si>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</si>
  <si>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</si>
  <si>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</si>
  <si>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</si>
  <si>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</si>
  <si>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</si>
  <si>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</si>
  <si>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</si>
  <si>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</si>
  <si>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</si>
  <si>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</si>
  <si>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</si>
  <si>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</si>
  <si>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</si>
  <si>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</si>
  <si>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</si>
  <si>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</si>
  <si>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</si>
  <si>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</si>
  <si>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</si>
  <si>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</si>
  <si>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</si>
  <si>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</si>
  <si>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</si>
  <si>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</si>
  <si>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</si>
  <si>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</si>
  <si>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</si>
  <si>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</si>
  <si>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</si>
  <si>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</si>
  <si>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</si>
  <si>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</si>
  <si>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</si>
  <si>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</si>
  <si>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</si>
  <si>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</si>
  <si>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</si>
  <si>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</si>
  <si>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</si>
  <si>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</si>
  <si>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</si>
  <si>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</si>
  <si>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</si>
  <si>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</si>
  <si>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</si>
  <si>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</si>
  <si>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</si>
  <si>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</si>
  <si>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</si>
  <si>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</si>
  <si>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</si>
  <si>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</si>
  <si>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</si>
  <si>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</si>
  <si>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</si>
  <si>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</si>
  <si>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</si>
  <si>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</si>
  <si>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</si>
  <si>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</si>
  <si>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</si>
  <si>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</si>
  <si>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</si>
  <si>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</si>
  <si>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</si>
  <si>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</si>
  <si>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</si>
  <si>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</si>
  <si>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</si>
  <si>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</si>
  <si>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</si>
  <si>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</si>
  <si>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</si>
  <si>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</si>
  <si>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</si>
  <si>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</si>
  <si>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</si>
  <si>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</si>
  <si>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</si>
  <si>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</si>
  <si>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</si>
  <si>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</si>
  <si>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</si>
  <si>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</si>
  <si>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</si>
  <si>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</si>
  <si>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</si>
  <si>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</si>
  <si>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</si>
  <si>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</si>
  <si>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</si>
  <si>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</si>
  <si>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</si>
  <si>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</si>
  <si>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</si>
  <si>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</si>
  <si>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</si>
  <si>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</si>
  <si>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</si>
  <si>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</si>
  <si>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</si>
  <si>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</si>
  <si>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</si>
  <si>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</si>
  <si>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</si>
  <si>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</si>
  <si>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</si>
  <si>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</si>
  <si>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</si>
  <si>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</si>
  <si>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</si>
  <si>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</si>
  <si>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CC1-A</t>
  </si>
  <si>
    <t>CC7</t>
  </si>
  <si>
    <t>CM2-12</t>
  </si>
  <si>
    <t>CONDUKTOR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</si>
  <si>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</si>
  <si>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</si>
  <si>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</si>
  <si>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</si>
  <si>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</si>
  <si>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</si>
  <si>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</si>
  <si>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</si>
  <si>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</si>
  <si>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Trafo 3 Fasa 100 KVA 2 Tiang (G313)</t>
  </si>
  <si>
    <t>C12-350</t>
  </si>
  <si>
    <t>CG313</t>
  </si>
  <si>
    <t>PABRIK ES MOMO MRANAK</t>
  </si>
  <si>
    <t>DS MRANAK KEC WONOSALAM</t>
  </si>
  <si>
    <t>KOORDINAT : -6.885402, 110.666358</t>
  </si>
  <si>
    <t>PEMBANGUNAN JARINGAN TM 3 PH</t>
  </si>
  <si>
    <t>Daya 53.000 VA</t>
  </si>
  <si>
    <t>PENARIKAN JTR</t>
  </si>
  <si>
    <t>CJ6-T</t>
  </si>
  <si>
    <t>CM5-5</t>
  </si>
  <si>
    <t>ATB</t>
  </si>
  <si>
    <t>PENJUMPERAN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</si>
</sst>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</borders>
  <cellStyleXfs count="2681">
    <xf numFmtId="0" fontId="0" fillId="0" borderId="0"/>
    <xf numFmtId="170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177" fontId="23" fillId="0" borderId="0" applyFont="0" applyFill="0" applyBorder="0" applyAlignment="0" applyProtection="0"/>
    <xf numFmtId="177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7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67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7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180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4" fontId="37" fillId="0" borderId="3"/>
    <xf numFmtId="184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23" fillId="0" borderId="0" applyFont="0" applyFill="0" applyBorder="0" applyAlignment="0" applyProtection="0"/>
    <xf numFmtId="185" fontId="71" fillId="0" borderId="0" applyFont="0" applyFill="0" applyBorder="0" applyAlignment="0" applyProtection="0"/>
    <xf numFmtId="186" fontId="73" fillId="0" borderId="0">
      <protection locked="0"/>
    </xf>
    <xf numFmtId="14" fontId="65" fillId="0" borderId="0" applyFill="0" applyBorder="0" applyAlignment="0"/>
    <xf numFmtId="187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8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89" fontId="78" fillId="0" borderId="0">
      <protection locked="0"/>
    </xf>
    <xf numFmtId="189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0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1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37" fillId="0" borderId="0"/>
    <xf numFmtId="191" fontId="23" fillId="0" borderId="0"/>
    <xf numFmtId="191" fontId="23" fillId="0" borderId="0"/>
    <xf numFmtId="191" fontId="37" fillId="0" borderId="0"/>
    <xf numFmtId="170" fontId="84" fillId="0" borderId="0"/>
    <xf numFmtId="170" fontId="85" fillId="0" borderId="0"/>
    <xf numFmtId="170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2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0" fontId="85" fillId="0" borderId="0"/>
    <xf numFmtId="0" fontId="85" fillId="0" borderId="0"/>
    <xf numFmtId="193" fontId="85" fillId="0" borderId="0"/>
    <xf numFmtId="194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3" fontId="85" fillId="0" borderId="0"/>
    <xf numFmtId="0" fontId="85" fillId="0" borderId="0"/>
    <xf numFmtId="0" fontId="37" fillId="0" borderId="0"/>
    <xf numFmtId="0" fontId="23" fillId="0" borderId="0"/>
    <xf numFmtId="180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6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5" fontId="85" fillId="0" borderId="0"/>
    <xf numFmtId="195" fontId="85" fillId="0" borderId="0"/>
    <xf numFmtId="195" fontId="85" fillId="0" borderId="0"/>
    <xf numFmtId="195" fontId="85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2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2" fontId="44" fillId="0" borderId="0"/>
    <xf numFmtId="192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4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7" fillId="27" borderId="12" applyNumberFormat="0" applyFont="0" applyAlignment="0" applyProtection="0"/>
    <xf numFmtId="192" fontId="44" fillId="28" borderId="12" applyAlignment="0" applyProtection="0"/>
    <xf numFmtId="192" fontId="44" fillId="28" borderId="12" applyAlignment="0" applyProtection="0"/>
    <xf numFmtId="0" fontId="23" fillId="27" borderId="12" applyNumberFormat="0" applyFont="0" applyAlignment="0" applyProtection="0"/>
    <xf numFmtId="192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4" fontId="37" fillId="0" borderId="0" applyFont="0" applyFill="0" applyBorder="0" applyAlignment="0" applyProtection="0"/>
    <xf numFmtId="174" fontId="23" fillId="0" borderId="0" applyFont="0" applyFill="0" applyBorder="0" applyAlignment="0" applyProtection="0"/>
    <xf numFmtId="198" fontId="37" fillId="0" borderId="0" applyFont="0" applyFill="0" applyBorder="0" applyAlignment="0" applyProtection="0"/>
    <xf numFmtId="198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5" fontId="37" fillId="0" borderId="0" applyFill="0" applyBorder="0" applyAlignment="0"/>
    <xf numFmtId="175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1" fontId="37" fillId="0" borderId="0" applyFill="0" applyBorder="0" applyAlignment="0"/>
    <xf numFmtId="171" fontId="23" fillId="0" borderId="0" applyFill="0" applyBorder="0" applyAlignment="0"/>
    <xf numFmtId="0" fontId="75" fillId="0" borderId="0"/>
    <xf numFmtId="199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0" fontId="37" fillId="0" borderId="0" applyFill="0" applyBorder="0" applyAlignment="0"/>
    <xf numFmtId="200" fontId="23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4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4" fontId="176" fillId="0" borderId="0" applyFont="0" applyFill="0" applyBorder="0" applyAlignment="0" applyProtection="0"/>
    <xf numFmtId="0" fontId="23" fillId="0" borderId="0"/>
    <xf numFmtId="0" fontId="177" fillId="0" borderId="0" applyNumberFormat="0" applyFill="0" applyBorder="0" applyAlignment="0" applyProtection="0"/>
    <xf numFmtId="0" fontId="3" fillId="0" borderId="0"/>
    <xf numFmtId="0" fontId="3" fillId="0" borderId="0"/>
  </cellStyleXfs>
  <cellXfs count="734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7" fontId="46" fillId="0" borderId="0" xfId="714" applyFont="1" applyFill="1" applyAlignment="1">
      <alignment horizontal="center" wrapText="1"/>
    </xf>
    <xf numFmtId="167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7" fontId="46" fillId="0" borderId="21" xfId="715" applyNumberFormat="1" applyFont="1" applyFill="1" applyBorder="1" applyAlignment="1">
      <alignment horizontal="center" vertical="center" wrapText="1"/>
    </xf>
    <xf numFmtId="167" fontId="46" fillId="0" borderId="21" xfId="714" applyFont="1" applyFill="1" applyBorder="1" applyAlignment="1">
      <alignment horizontal="center" vertical="center" wrapText="1"/>
    </xf>
    <xf numFmtId="167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5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7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7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7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7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7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7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7" fontId="114" fillId="29" borderId="3" xfId="1538" applyNumberFormat="1" applyFill="1" applyBorder="1" applyAlignment="1">
      <alignment horizontal="right"/>
    </xf>
    <xf numFmtId="165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8" fillId="0" borderId="20" xfId="1653" applyFont="1" applyBorder="1" applyAlignment="1">
      <alignment horizontal="center" vertical="center"/>
    </xf>
    <xf numFmtId="0" fontId="158" fillId="0" borderId="21" xfId="1653" applyFont="1" applyBorder="1" applyAlignment="1">
      <alignment vertical="center" wrapText="1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5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37" fontId="154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0" xfId="1614" applyNumberFormat="1" applyFont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51" fillId="0" borderId="0" xfId="1614" applyFont="1" applyAlignment="1">
      <alignment horizontal="center" vertic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7" fontId="143" fillId="40" borderId="87" xfId="2672" applyNumberFormat="1" applyFont="1" applyFill="1" applyBorder="1" applyAlignment="1" applyProtection="1">
      <alignment horizontal="right" vertical="center"/>
      <protection locked="0"/>
    </xf>
    <xf numFmtId="167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2" fillId="0" borderId="21" xfId="1614" applyFont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164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5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7" fontId="147" fillId="47" borderId="0" xfId="2672" applyNumberFormat="1" applyFont="1" applyFill="1" applyBorder="1" applyAlignment="1" applyProtection="1">
      <alignment horizontal="right" vertical="center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6" fillId="0" borderId="20" xfId="1652" applyFont="1" applyBorder="1" applyAlignment="1">
      <alignment horizontal="center" vertical="center"/>
    </xf>
    <xf numFmtId="0" fontId="177" fillId="33" borderId="0" xfId="2678" applyFill="1"/>
    <xf numFmtId="0" fontId="5" fillId="0" borderId="21" xfId="1652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46" fillId="0" borderId="21" xfId="1450" applyFont="1" applyBorder="1" applyAlignment="1">
      <alignment vertical="center" wrapText="1"/>
    </xf>
    <xf numFmtId="0" fontId="158" fillId="48" borderId="21" xfId="1652" applyFont="1" applyFill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left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8" fillId="33" borderId="0" xfId="2679" applyFont="1" applyFill="1" applyAlignment="1">
      <alignment horizontal="left"/>
    </xf>
    <xf numFmtId="0" fontId="94" fillId="0" borderId="40" xfId="1450" applyFont="1" applyBorder="1" applyAlignment="1">
      <alignment horizontal="center" vertical="center"/>
    </xf>
    <xf numFmtId="0" fontId="94" fillId="0" borderId="47" xfId="1450" applyFont="1" applyBorder="1" applyAlignment="1">
      <alignment horizontal="center" vertical="center"/>
    </xf>
    <xf numFmtId="0" fontId="94" fillId="33" borderId="40" xfId="2680" applyFont="1" applyFill="1" applyBorder="1" applyAlignment="1">
      <alignment horizontal="center" vertical="center"/>
    </xf>
    <xf numFmtId="0" fontId="94" fillId="33" borderId="47" xfId="2680" applyFont="1" applyFill="1" applyBorder="1" applyAlignment="1">
      <alignment horizontal="center" vertical="center"/>
    </xf>
    <xf numFmtId="0" fontId="121" fillId="33" borderId="69" xfId="2680" applyFont="1" applyFill="1" applyBorder="1" applyAlignment="1">
      <alignment horizontal="center" vertical="center"/>
    </xf>
    <xf numFmtId="0" fontId="94" fillId="33" borderId="68" xfId="2680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7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5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5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5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0" fontId="94" fillId="0" borderId="99" xfId="1450" applyFont="1" applyBorder="1" applyAlignment="1">
      <alignment horizontal="left" vertical="center"/>
    </xf>
    <xf numFmtId="0" fontId="94" fillId="0" borderId="100" xfId="1450" applyFont="1" applyBorder="1" applyAlignment="1">
      <alignment horizontal="left" vertical="center"/>
    </xf>
    <xf numFmtId="0" fontId="94" fillId="0" borderId="60" xfId="1450" applyFont="1" applyBorder="1" applyAlignment="1">
      <alignment horizontal="left" vertical="center"/>
    </xf>
    <xf numFmtId="0" fontId="94" fillId="0" borderId="61" xfId="1450" applyFont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60" xfId="2680" applyFont="1" applyFill="1" applyBorder="1" applyAlignment="1">
      <alignment horizontal="left" vertical="center"/>
    </xf>
    <xf numFmtId="0" fontId="94" fillId="33" borderId="61" xfId="268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0" fontId="121" fillId="33" borderId="60" xfId="2680" applyFont="1" applyFill="1" applyBorder="1" applyAlignment="1">
      <alignment horizontal="left" vertical="center"/>
    </xf>
    <xf numFmtId="0" fontId="121" fillId="33" borderId="79" xfId="268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 wrapText="1"/>
    </xf>
    <xf numFmtId="0" fontId="152" fillId="48" borderId="21" xfId="1614" applyFont="1" applyFill="1" applyBorder="1" applyAlignment="1">
      <alignment horizontal="center" vertical="center" wrapText="1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9" xr:uid="{7A623178-A344-40B1-818F-4B823CF1A5E6}"/>
    <cellStyle name="Normal 139" xfId="2680" xr:uid="{B7FF059C-040C-4C5A-BC38-CBAD5EB99CEF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0.35333333333333339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2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2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192</xdr:row>
      <xdr:rowOff>81642</xdr:rowOff>
    </xdr:from>
    <xdr:to>
      <xdr:col>11</xdr:col>
      <xdr:colOff>93061</xdr:colOff>
      <xdr:row>195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276649</xdr:colOff>
      <xdr:row>6</xdr:row>
      <xdr:rowOff>53131</xdr:rowOff>
    </xdr:from>
    <xdr:to>
      <xdr:col>14</xdr:col>
      <xdr:colOff>281610</xdr:colOff>
      <xdr:row>6</xdr:row>
      <xdr:rowOff>57978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25AEA3DE-E7C8-4C72-8EAB-AE993CA1B982}"/>
            </a:ext>
          </a:extLst>
        </xdr:cNvPr>
        <xdr:cNvCxnSpPr/>
      </xdr:nvCxnSpPr>
      <xdr:spPr>
        <a:xfrm flipH="1" flipV="1">
          <a:off x="2496388" y="980783"/>
          <a:ext cx="2671961" cy="4847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148805</xdr:colOff>
      <xdr:row>2</xdr:row>
      <xdr:rowOff>1</xdr:rowOff>
    </xdr:from>
    <xdr:to>
      <xdr:col>21</xdr:col>
      <xdr:colOff>241640</xdr:colOff>
      <xdr:row>5</xdr:row>
      <xdr:rowOff>20984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68F165E-1437-44C5-B3E8-CD92BEF9E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54850" y="311728"/>
          <a:ext cx="854835" cy="488574"/>
        </a:xfrm>
        <a:prstGeom prst="rect">
          <a:avLst/>
        </a:prstGeom>
      </xdr:spPr>
    </xdr:pic>
    <xdr:clientData/>
  </xdr:twoCellAnchor>
  <xdr:twoCellAnchor>
    <xdr:from>
      <xdr:col>26</xdr:col>
      <xdr:colOff>93747</xdr:colOff>
      <xdr:row>5</xdr:row>
      <xdr:rowOff>34776</xdr:rowOff>
    </xdr:from>
    <xdr:to>
      <xdr:col>29</xdr:col>
      <xdr:colOff>274911</xdr:colOff>
      <xdr:row>17</xdr:row>
      <xdr:rowOff>11604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B7FF0761-C4B4-48C1-84BB-47332AB2B67F}"/>
            </a:ext>
          </a:extLst>
        </xdr:cNvPr>
        <xdr:cNvGrpSpPr/>
      </xdr:nvGrpSpPr>
      <xdr:grpSpPr>
        <a:xfrm>
          <a:off x="9582112" y="818757"/>
          <a:ext cx="1382780" cy="1830539"/>
          <a:chOff x="9713886" y="808452"/>
          <a:chExt cx="1342558" cy="1766630"/>
        </a:xfrm>
      </xdr:grpSpPr>
      <xdr:grpSp>
        <xdr:nvGrpSpPr>
          <xdr:cNvPr id="108" name="Group 13">
            <a:extLst>
              <a:ext uri="{FF2B5EF4-FFF2-40B4-BE49-F238E27FC236}">
                <a16:creationId xmlns:a16="http://schemas.microsoft.com/office/drawing/2014/main" id="{98FED52B-CE74-42AA-95CE-46E05FEBFF7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7" name="Oval 1">
              <a:extLst>
                <a:ext uri="{FF2B5EF4-FFF2-40B4-BE49-F238E27FC236}">
                  <a16:creationId xmlns:a16="http://schemas.microsoft.com/office/drawing/2014/main" id="{8BD35245-66F3-4DBB-802A-7207556D885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8" name="Straight Connector 3">
              <a:extLst>
                <a:ext uri="{FF2B5EF4-FFF2-40B4-BE49-F238E27FC236}">
                  <a16:creationId xmlns:a16="http://schemas.microsoft.com/office/drawing/2014/main" id="{213029BE-3EFF-4B56-92F4-ACC82B8CD70A}"/>
                </a:ext>
              </a:extLst>
            </xdr:cNvPr>
            <xdr:cNvCxnSpPr>
              <a:stCxn id="134" idx="1"/>
              <a:endCxn id="13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9" name="Straight Connector 7">
              <a:extLst>
                <a:ext uri="{FF2B5EF4-FFF2-40B4-BE49-F238E27FC236}">
                  <a16:creationId xmlns:a16="http://schemas.microsoft.com/office/drawing/2014/main" id="{599FE580-E645-45FD-A475-01DEAEC3670F}"/>
                </a:ext>
              </a:extLst>
            </xdr:cNvPr>
            <xdr:cNvCxnSpPr>
              <a:stCxn id="134" idx="3"/>
              <a:endCxn id="13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03A3A069-369A-4B70-8D17-78C0422037EC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0" name="Group 14">
            <a:extLst>
              <a:ext uri="{FF2B5EF4-FFF2-40B4-BE49-F238E27FC236}">
                <a16:creationId xmlns:a16="http://schemas.microsoft.com/office/drawing/2014/main" id="{6E85F0F8-C985-4C80-8F60-EB1A2CC3B678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4" name="Oval 173">
              <a:extLst>
                <a:ext uri="{FF2B5EF4-FFF2-40B4-BE49-F238E27FC236}">
                  <a16:creationId xmlns:a16="http://schemas.microsoft.com/office/drawing/2014/main" id="{9271A688-A4A2-419E-8629-DAE26A8CB71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4811B642-A77F-4F95-A30F-F7F04827BE24}"/>
                </a:ext>
              </a:extLst>
            </xdr:cNvPr>
            <xdr:cNvCxnSpPr>
              <a:stCxn id="174" idx="1"/>
              <a:endCxn id="17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175">
              <a:extLst>
                <a:ext uri="{FF2B5EF4-FFF2-40B4-BE49-F238E27FC236}">
                  <a16:creationId xmlns:a16="http://schemas.microsoft.com/office/drawing/2014/main" id="{9F67E899-2A00-49B8-AA50-CFB690C1F2F9}"/>
                </a:ext>
              </a:extLst>
            </xdr:cNvPr>
            <xdr:cNvCxnSpPr>
              <a:stCxn id="174" idx="3"/>
              <a:endCxn id="17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AB8A562C-373D-4D00-912C-205EE9900E75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925147B0-8C26-4F1A-A973-36DB8E1292D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F471F30B-FE42-4F25-A7A2-D4047FEFEEC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612F4E06-F739-4219-B0CD-7774979F3ECF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90037CE7-1ABD-4AF9-B7DA-3C16660A4A2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D8999A5B-9FC3-4482-ACC0-677B9F9170B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52495BB4-4BA0-4B8A-9C02-CE115926B0C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E51E323-29B0-45ED-8F2E-11B8FC684B2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29E79E23-211F-44FC-A28E-BE7524A9BF4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40B6F75C-5283-4268-AC8D-71281EB94ED3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00E57E01-FA53-4198-8FFA-5FFE6599B0A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02BD488E-C430-41DC-A78D-D1DBC0A3775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5D39C56A-826B-4503-B524-A38AD536350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50">
            <a:extLst>
              <a:ext uri="{FF2B5EF4-FFF2-40B4-BE49-F238E27FC236}">
                <a16:creationId xmlns:a16="http://schemas.microsoft.com/office/drawing/2014/main" id="{3E4E1904-B467-4E3D-B134-EB7ED693649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6E0085C7-CAEA-4392-B8C9-0D7C329969A3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52">
            <a:extLst>
              <a:ext uri="{FF2B5EF4-FFF2-40B4-BE49-F238E27FC236}">
                <a16:creationId xmlns:a16="http://schemas.microsoft.com/office/drawing/2014/main" id="{8C3FB0B6-5FD0-479D-A4AD-23AED69F350C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E0E0452C-4292-4408-8072-49892DE0373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062A369-6C11-43C8-8F1F-9DCE6E80B60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2FBCDA7D-25CB-49F2-B59C-8BFC935A0A57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68A51269-E182-4BEC-BAC8-B49ABBC0AE8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1413FF7B-078C-4B7A-9C6C-98332D95CDE5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3970896F-DFAB-4A1F-8212-B220B1EB7F7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1A0E6E3C-9ED1-45E5-97A4-28B16FEAE837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F39CCC98-FE11-49FA-99DB-8794C7FA078C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41D81C96-D90F-4046-B585-210179B6110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6" name="Group 73">
            <a:extLst>
              <a:ext uri="{FF2B5EF4-FFF2-40B4-BE49-F238E27FC236}">
                <a16:creationId xmlns:a16="http://schemas.microsoft.com/office/drawing/2014/main" id="{A974F9EC-0B61-4D0B-A007-BF32EDFE230C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72" name="TextBox 171">
              <a:extLst>
                <a:ext uri="{FF2B5EF4-FFF2-40B4-BE49-F238E27FC236}">
                  <a16:creationId xmlns:a16="http://schemas.microsoft.com/office/drawing/2014/main" id="{D8B3DD4B-1335-4B02-B4C6-04AA2FD0D4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73" name="Straight Connector 172">
              <a:extLst>
                <a:ext uri="{FF2B5EF4-FFF2-40B4-BE49-F238E27FC236}">
                  <a16:creationId xmlns:a16="http://schemas.microsoft.com/office/drawing/2014/main" id="{55B32DBB-57E9-41BE-A26F-86B172196CC2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7" name="Group 74">
            <a:extLst>
              <a:ext uri="{FF2B5EF4-FFF2-40B4-BE49-F238E27FC236}">
                <a16:creationId xmlns:a16="http://schemas.microsoft.com/office/drawing/2014/main" id="{7ABE865A-A4DB-4752-8A17-440C540370C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4FE431B3-A27E-4202-933A-548D82F98FA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BA65C171-B634-4AB0-9EC0-D2930CBE66E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8" name="Group 89">
            <a:extLst>
              <a:ext uri="{FF2B5EF4-FFF2-40B4-BE49-F238E27FC236}">
                <a16:creationId xmlns:a16="http://schemas.microsoft.com/office/drawing/2014/main" id="{E6D96379-0C05-4CD3-B692-370B5C6946DD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6" name="Straight Connector 165">
              <a:extLst>
                <a:ext uri="{FF2B5EF4-FFF2-40B4-BE49-F238E27FC236}">
                  <a16:creationId xmlns:a16="http://schemas.microsoft.com/office/drawing/2014/main" id="{D979CDF1-7487-423B-B8C0-B1A091C2209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7" name="Straight Connector 79">
              <a:extLst>
                <a:ext uri="{FF2B5EF4-FFF2-40B4-BE49-F238E27FC236}">
                  <a16:creationId xmlns:a16="http://schemas.microsoft.com/office/drawing/2014/main" id="{93B62ABA-EDBA-46F2-ABA4-6DE90B69BCAD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Connector 80">
              <a:extLst>
                <a:ext uri="{FF2B5EF4-FFF2-40B4-BE49-F238E27FC236}">
                  <a16:creationId xmlns:a16="http://schemas.microsoft.com/office/drawing/2014/main" id="{239AC7EB-F186-4C4D-8B98-83DEE562F8F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9" name="Straight Connector 88">
              <a:extLst>
                <a:ext uri="{FF2B5EF4-FFF2-40B4-BE49-F238E27FC236}">
                  <a16:creationId xmlns:a16="http://schemas.microsoft.com/office/drawing/2014/main" id="{70F3E726-792D-4116-AAE0-66124D29D646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9" name="Group 90">
            <a:extLst>
              <a:ext uri="{FF2B5EF4-FFF2-40B4-BE49-F238E27FC236}">
                <a16:creationId xmlns:a16="http://schemas.microsoft.com/office/drawing/2014/main" id="{21A32E18-36F1-4A6B-9F27-C668D92A15EC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787C4236-0495-4EB8-8A88-A3EA4A9B97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162">
              <a:extLst>
                <a:ext uri="{FF2B5EF4-FFF2-40B4-BE49-F238E27FC236}">
                  <a16:creationId xmlns:a16="http://schemas.microsoft.com/office/drawing/2014/main" id="{92D86E93-FC1F-4727-9149-C5B867CE0F6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163">
              <a:extLst>
                <a:ext uri="{FF2B5EF4-FFF2-40B4-BE49-F238E27FC236}">
                  <a16:creationId xmlns:a16="http://schemas.microsoft.com/office/drawing/2014/main" id="{48510598-84FA-49D4-B5ED-3B8952DD37A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164">
              <a:extLst>
                <a:ext uri="{FF2B5EF4-FFF2-40B4-BE49-F238E27FC236}">
                  <a16:creationId xmlns:a16="http://schemas.microsoft.com/office/drawing/2014/main" id="{54D75BB0-4534-4A90-BDE7-ADF4444B55B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8CD9883-890E-4EF2-A7F0-4D8D3A038B8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225186B-7FFF-4635-94E4-DA4D8325B7F8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D398D916-CC12-4BE6-A7A4-85715C79BAF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Arrow Connector 152">
            <a:extLst>
              <a:ext uri="{FF2B5EF4-FFF2-40B4-BE49-F238E27FC236}">
                <a16:creationId xmlns:a16="http://schemas.microsoft.com/office/drawing/2014/main" id="{A7056771-212F-46FD-9868-4F9C9FE6AF0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4" name="Group 155">
            <a:extLst>
              <a:ext uri="{FF2B5EF4-FFF2-40B4-BE49-F238E27FC236}">
                <a16:creationId xmlns:a16="http://schemas.microsoft.com/office/drawing/2014/main" id="{1739A949-7916-443A-8614-CB40A70A8B73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59" name="Isosceles Triangle 158">
              <a:extLst>
                <a:ext uri="{FF2B5EF4-FFF2-40B4-BE49-F238E27FC236}">
                  <a16:creationId xmlns:a16="http://schemas.microsoft.com/office/drawing/2014/main" id="{820B5EEA-368C-4EB6-B79C-9DB330BF6E5B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0" name="Isosceles Triangle 159">
              <a:extLst>
                <a:ext uri="{FF2B5EF4-FFF2-40B4-BE49-F238E27FC236}">
                  <a16:creationId xmlns:a16="http://schemas.microsoft.com/office/drawing/2014/main" id="{E3B1D78E-63BF-46F1-A186-840535E1D2FC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1" name="Isosceles Triangle 160">
              <a:extLst>
                <a:ext uri="{FF2B5EF4-FFF2-40B4-BE49-F238E27FC236}">
                  <a16:creationId xmlns:a16="http://schemas.microsoft.com/office/drawing/2014/main" id="{BA9CF643-019B-44DA-868A-D322D165945C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5" name="Group 134">
            <a:extLst>
              <a:ext uri="{FF2B5EF4-FFF2-40B4-BE49-F238E27FC236}">
                <a16:creationId xmlns:a16="http://schemas.microsoft.com/office/drawing/2014/main" id="{81BB2085-AF7E-49EB-A18B-595FF7739401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97CA324B-2277-4D90-AA70-C03C397239A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A5CAE80E-9EDB-428F-8320-443F16B484C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8" name="Isosceles Triangle 157">
              <a:extLst>
                <a:ext uri="{FF2B5EF4-FFF2-40B4-BE49-F238E27FC236}">
                  <a16:creationId xmlns:a16="http://schemas.microsoft.com/office/drawing/2014/main" id="{C6183362-231B-4929-8958-2330B692C9E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</xdr:col>
      <xdr:colOff>84331</xdr:colOff>
      <xdr:row>38</xdr:row>
      <xdr:rowOff>99390</xdr:rowOff>
    </xdr:from>
    <xdr:to>
      <xdr:col>8</xdr:col>
      <xdr:colOff>198782</xdr:colOff>
      <xdr:row>43</xdr:row>
      <xdr:rowOff>138548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731D002-5CD2-4B30-B2A1-D15C860D082A}"/>
            </a:ext>
          </a:extLst>
        </xdr:cNvPr>
        <xdr:cNvSpPr txBox="1"/>
      </xdr:nvSpPr>
      <xdr:spPr>
        <a:xfrm>
          <a:off x="1923070" y="5839238"/>
          <a:ext cx="876451" cy="7845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PABRIK </a:t>
          </a:r>
        </a:p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ES BATU</a:t>
          </a:r>
        </a:p>
      </xdr:txBody>
    </xdr:sp>
    <xdr:clientData/>
  </xdr:twoCellAnchor>
  <xdr:twoCellAnchor>
    <xdr:from>
      <xdr:col>11</xdr:col>
      <xdr:colOff>241541</xdr:colOff>
      <xdr:row>8</xdr:row>
      <xdr:rowOff>18296</xdr:rowOff>
    </xdr:from>
    <xdr:to>
      <xdr:col>11</xdr:col>
      <xdr:colOff>249968</xdr:colOff>
      <xdr:row>30</xdr:row>
      <xdr:rowOff>41413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E392DC72-8DF3-4230-91AC-79B283039166}"/>
            </a:ext>
          </a:extLst>
        </xdr:cNvPr>
        <xdr:cNvCxnSpPr>
          <a:stCxn id="15" idx="0"/>
          <a:endCxn id="183" idx="4"/>
        </xdr:cNvCxnSpPr>
      </xdr:nvCxnSpPr>
      <xdr:spPr>
        <a:xfrm flipV="1">
          <a:off x="3985280" y="1244122"/>
          <a:ext cx="8427" cy="331131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188689</xdr:colOff>
      <xdr:row>12</xdr:row>
      <xdr:rowOff>92849</xdr:rowOff>
    </xdr:from>
    <xdr:to>
      <xdr:col>11</xdr:col>
      <xdr:colOff>299207</xdr:colOff>
      <xdr:row>13</xdr:row>
      <xdr:rowOff>58484</xdr:rowOff>
    </xdr:to>
    <xdr:grpSp>
      <xdr:nvGrpSpPr>
        <xdr:cNvPr id="188" name="Group 187">
          <a:extLst>
            <a:ext uri="{FF2B5EF4-FFF2-40B4-BE49-F238E27FC236}">
              <a16:creationId xmlns:a16="http://schemas.microsoft.com/office/drawing/2014/main" id="{120840A8-2783-4E9F-8517-55412743510E}"/>
            </a:ext>
          </a:extLst>
        </xdr:cNvPr>
        <xdr:cNvGrpSpPr/>
      </xdr:nvGrpSpPr>
      <xdr:grpSpPr>
        <a:xfrm>
          <a:off x="3925420" y="1953887"/>
          <a:ext cx="110518" cy="1268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9" name="Oval 188">
            <a:extLst>
              <a:ext uri="{FF2B5EF4-FFF2-40B4-BE49-F238E27FC236}">
                <a16:creationId xmlns:a16="http://schemas.microsoft.com/office/drawing/2014/main" id="{79EA69E6-E4F1-44C8-AEA6-E8674965196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8C8ECF7A-DEA5-4970-9F42-64890B1083D9}"/>
              </a:ext>
            </a:extLst>
          </xdr:cNvPr>
          <xdr:cNvCxnSpPr>
            <a:stCxn id="189" idx="1"/>
            <a:endCxn id="1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7FBA6403-FBE6-4CBB-BB9F-00FDFFFFB2C4}"/>
              </a:ext>
            </a:extLst>
          </xdr:cNvPr>
          <xdr:cNvCxnSpPr>
            <a:stCxn id="189" idx="3"/>
            <a:endCxn id="1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180689</xdr:colOff>
      <xdr:row>18</xdr:row>
      <xdr:rowOff>18090</xdr:rowOff>
    </xdr:from>
    <xdr:to>
      <xdr:col>11</xdr:col>
      <xdr:colOff>299332</xdr:colOff>
      <xdr:row>19</xdr:row>
      <xdr:rowOff>6916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E6BAEF2D-1406-44B1-84BC-3559B806BAA8}"/>
            </a:ext>
          </a:extLst>
        </xdr:cNvPr>
        <xdr:cNvGrpSpPr/>
      </xdr:nvGrpSpPr>
      <xdr:grpSpPr>
        <a:xfrm>
          <a:off x="3917420" y="2809648"/>
          <a:ext cx="118643" cy="14269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DC070AC2-DDF8-4D18-807B-6D65F39B90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4C4A6112-8096-4191-A8B5-734695C9F096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7C19F7F0-898B-4CFA-8A9F-17363CF854EA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240197</xdr:colOff>
      <xdr:row>44</xdr:row>
      <xdr:rowOff>117716</xdr:rowOff>
    </xdr:from>
    <xdr:to>
      <xdr:col>11</xdr:col>
      <xdr:colOff>241008</xdr:colOff>
      <xdr:row>46</xdr:row>
      <xdr:rowOff>16566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A7F8AA29-8444-45CA-A691-A8C9EE874D5E}"/>
            </a:ext>
          </a:extLst>
        </xdr:cNvPr>
        <xdr:cNvCxnSpPr/>
      </xdr:nvCxnSpPr>
      <xdr:spPr>
        <a:xfrm flipH="1">
          <a:off x="3983936" y="6752086"/>
          <a:ext cx="811" cy="1970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329243</xdr:colOff>
      <xdr:row>47</xdr:row>
      <xdr:rowOff>61484</xdr:rowOff>
    </xdr:from>
    <xdr:to>
      <xdr:col>21</xdr:col>
      <xdr:colOff>258970</xdr:colOff>
      <xdr:row>54</xdr:row>
      <xdr:rowOff>49864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5C1E3C-DAFC-4910-809C-CBE67096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1974" y="7322465"/>
          <a:ext cx="1453727" cy="1175341"/>
        </a:xfrm>
        <a:prstGeom prst="rect">
          <a:avLst/>
        </a:prstGeom>
      </xdr:spPr>
    </xdr:pic>
    <xdr:clientData/>
  </xdr:twoCellAnchor>
  <xdr:twoCellAnchor>
    <xdr:from>
      <xdr:col>10</xdr:col>
      <xdr:colOff>306457</xdr:colOff>
      <xdr:row>6</xdr:row>
      <xdr:rowOff>39880</xdr:rowOff>
    </xdr:from>
    <xdr:to>
      <xdr:col>10</xdr:col>
      <xdr:colOff>346223</xdr:colOff>
      <xdr:row>50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D1A7E11-4DB5-46FD-88DE-319D9D526C26}"/>
            </a:ext>
          </a:extLst>
        </xdr:cNvPr>
        <xdr:cNvCxnSpPr/>
      </xdr:nvCxnSpPr>
      <xdr:spPr>
        <a:xfrm flipV="1">
          <a:off x="3669196" y="967532"/>
          <a:ext cx="39766" cy="65779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158860</xdr:colOff>
      <xdr:row>7</xdr:row>
      <xdr:rowOff>101122</xdr:rowOff>
    </xdr:from>
    <xdr:to>
      <xdr:col>13</xdr:col>
      <xdr:colOff>165654</xdr:colOff>
      <xdr:row>7</xdr:row>
      <xdr:rowOff>107674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68036E39-A2C6-43E4-A16F-5BB4FBC7DACC}"/>
            </a:ext>
          </a:extLst>
        </xdr:cNvPr>
        <xdr:cNvCxnSpPr/>
      </xdr:nvCxnSpPr>
      <xdr:spPr>
        <a:xfrm>
          <a:off x="3140599" y="1177861"/>
          <a:ext cx="1530794" cy="655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173936</xdr:colOff>
      <xdr:row>24</xdr:row>
      <xdr:rowOff>41414</xdr:rowOff>
    </xdr:from>
    <xdr:to>
      <xdr:col>11</xdr:col>
      <xdr:colOff>292579</xdr:colOff>
      <xdr:row>25</xdr:row>
      <xdr:rowOff>30240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8F94F86-7150-4698-A903-34C7CED3E97B}"/>
            </a:ext>
          </a:extLst>
        </xdr:cNvPr>
        <xdr:cNvGrpSpPr/>
      </xdr:nvGrpSpPr>
      <xdr:grpSpPr>
        <a:xfrm>
          <a:off x="3910667" y="3756164"/>
          <a:ext cx="118643" cy="14269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F1EB466-4849-E81C-3851-2FC67E0105E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23E70819-0E2B-D8A4-708A-68929E07EEF8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80B436F6-81CC-E4BE-DC96-3BB2EC1EDDA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182219</xdr:colOff>
      <xdr:row>30</xdr:row>
      <xdr:rowOff>41413</xdr:rowOff>
    </xdr:from>
    <xdr:to>
      <xdr:col>11</xdr:col>
      <xdr:colOff>300862</xdr:colOff>
      <xdr:row>31</xdr:row>
      <xdr:rowOff>30239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79707B7F-514D-41FC-82FC-889D896948C5}"/>
            </a:ext>
          </a:extLst>
        </xdr:cNvPr>
        <xdr:cNvGrpSpPr/>
      </xdr:nvGrpSpPr>
      <xdr:grpSpPr>
        <a:xfrm>
          <a:off x="3918950" y="4672028"/>
          <a:ext cx="118643" cy="142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33DAC1C0-3DD7-9509-DBD3-F33D4C64710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952805BF-7AA4-A54B-A22A-C73BC93DADA7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1739901D-3756-BFB3-2BD6-F75F2A6BB9EA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24849</xdr:colOff>
      <xdr:row>32</xdr:row>
      <xdr:rowOff>0</xdr:rowOff>
    </xdr:from>
    <xdr:to>
      <xdr:col>15</xdr:col>
      <xdr:colOff>247237</xdr:colOff>
      <xdr:row>32</xdr:row>
      <xdr:rowOff>53502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86C8BA95-7B4F-4072-B50B-B89AB6B60466}"/>
            </a:ext>
          </a:extLst>
        </xdr:cNvPr>
        <xdr:cNvCxnSpPr/>
      </xdr:nvCxnSpPr>
      <xdr:spPr>
        <a:xfrm flipH="1" flipV="1">
          <a:off x="3768588" y="4812196"/>
          <a:ext cx="1746388" cy="53502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173935</xdr:colOff>
      <xdr:row>37</xdr:row>
      <xdr:rowOff>41413</xdr:rowOff>
    </xdr:from>
    <xdr:to>
      <xdr:col>11</xdr:col>
      <xdr:colOff>292578</xdr:colOff>
      <xdr:row>38</xdr:row>
      <xdr:rowOff>13674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450E38DE-48A1-4838-A68E-77708E591D94}"/>
            </a:ext>
          </a:extLst>
        </xdr:cNvPr>
        <xdr:cNvGrpSpPr/>
      </xdr:nvGrpSpPr>
      <xdr:grpSpPr>
        <a:xfrm>
          <a:off x="3910666" y="5756413"/>
          <a:ext cx="118643" cy="1334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" name="Oval 27">
            <a:extLst>
              <a:ext uri="{FF2B5EF4-FFF2-40B4-BE49-F238E27FC236}">
                <a16:creationId xmlns:a16="http://schemas.microsoft.com/office/drawing/2014/main" id="{199C2425-96B3-22AE-3E55-3D6F696397B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AA31389B-5317-9888-4EAE-DBD40208A126}"/>
              </a:ext>
            </a:extLst>
          </xdr:cNvPr>
          <xdr:cNvCxnSpPr>
            <a:stCxn id="28" idx="1"/>
            <a:endCxn id="2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4CB52EDF-A77D-88C7-CA9C-82264DEECFBC}"/>
              </a:ext>
            </a:extLst>
          </xdr:cNvPr>
          <xdr:cNvCxnSpPr>
            <a:stCxn id="28" idx="3"/>
            <a:endCxn id="2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233257</xdr:colOff>
      <xdr:row>31</xdr:row>
      <xdr:rowOff>30239</xdr:rowOff>
    </xdr:from>
    <xdr:to>
      <xdr:col>11</xdr:col>
      <xdr:colOff>241541</xdr:colOff>
      <xdr:row>37</xdr:row>
      <xdr:rowOff>41413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5900428-EB66-42D3-8307-F046A848502A}"/>
            </a:ext>
          </a:extLst>
        </xdr:cNvPr>
        <xdr:cNvCxnSpPr>
          <a:stCxn id="15" idx="4"/>
          <a:endCxn id="28" idx="0"/>
        </xdr:cNvCxnSpPr>
      </xdr:nvCxnSpPr>
      <xdr:spPr>
        <a:xfrm flipH="1">
          <a:off x="3976996" y="4693348"/>
          <a:ext cx="8284" cy="92226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233257</xdr:colOff>
      <xdr:row>38</xdr:row>
      <xdr:rowOff>13674</xdr:rowOff>
    </xdr:from>
    <xdr:to>
      <xdr:col>11</xdr:col>
      <xdr:colOff>249822</xdr:colOff>
      <xdr:row>44</xdr:row>
      <xdr:rowOff>0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CB2EDFDB-8AE8-481E-AE6D-FE050FB10DCC}"/>
            </a:ext>
          </a:extLst>
        </xdr:cNvPr>
        <xdr:cNvCxnSpPr>
          <a:stCxn id="28" idx="4"/>
          <a:endCxn id="7" idx="0"/>
        </xdr:cNvCxnSpPr>
      </xdr:nvCxnSpPr>
      <xdr:spPr>
        <a:xfrm>
          <a:off x="3976996" y="5753522"/>
          <a:ext cx="16565" cy="880848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207066</xdr:colOff>
      <xdr:row>44</xdr:row>
      <xdr:rowOff>68956</xdr:rowOff>
    </xdr:from>
    <xdr:to>
      <xdr:col>9</xdr:col>
      <xdr:colOff>115957</xdr:colOff>
      <xdr:row>44</xdr:row>
      <xdr:rowOff>74544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168D950E-E32A-46F0-9B83-535EE8E89FA9}"/>
            </a:ext>
          </a:extLst>
        </xdr:cNvPr>
        <xdr:cNvCxnSpPr>
          <a:stCxn id="24" idx="2"/>
        </xdr:cNvCxnSpPr>
      </xdr:nvCxnSpPr>
      <xdr:spPr>
        <a:xfrm flipH="1">
          <a:off x="2807805" y="6703326"/>
          <a:ext cx="289891" cy="55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234600</xdr:colOff>
      <xdr:row>44</xdr:row>
      <xdr:rowOff>68956</xdr:rowOff>
    </xdr:from>
    <xdr:to>
      <xdr:col>11</xdr:col>
      <xdr:colOff>190500</xdr:colOff>
      <xdr:row>44</xdr:row>
      <xdr:rowOff>68957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B215F51D-AF4E-491C-A722-24F168EA150F}"/>
            </a:ext>
          </a:extLst>
        </xdr:cNvPr>
        <xdr:cNvCxnSpPr>
          <a:stCxn id="7" idx="2"/>
          <a:endCxn id="24" idx="6"/>
        </xdr:cNvCxnSpPr>
      </xdr:nvCxnSpPr>
      <xdr:spPr>
        <a:xfrm flipH="1" flipV="1">
          <a:off x="3216339" y="6703326"/>
          <a:ext cx="717900" cy="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306457</xdr:colOff>
      <xdr:row>43</xdr:row>
      <xdr:rowOff>107673</xdr:rowOff>
    </xdr:from>
    <xdr:to>
      <xdr:col>11</xdr:col>
      <xdr:colOff>8283</xdr:colOff>
      <xdr:row>45</xdr:row>
      <xdr:rowOff>35131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F7EBCA1-E393-4C99-8B31-5CC8CB567FF0}"/>
            </a:ext>
          </a:extLst>
        </xdr:cNvPr>
        <xdr:cNvSpPr txBox="1"/>
      </xdr:nvSpPr>
      <xdr:spPr>
        <a:xfrm>
          <a:off x="3288196" y="6592956"/>
          <a:ext cx="463826" cy="2256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11</xdr:col>
      <xdr:colOff>281609</xdr:colOff>
      <xdr:row>42</xdr:row>
      <xdr:rowOff>82826</xdr:rowOff>
    </xdr:from>
    <xdr:to>
      <xdr:col>12</xdr:col>
      <xdr:colOff>74544</xdr:colOff>
      <xdr:row>43</xdr:row>
      <xdr:rowOff>124239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87BC7CE4-289E-4035-9F91-F08C5CBD723B}"/>
            </a:ext>
          </a:extLst>
        </xdr:cNvPr>
        <xdr:cNvSpPr/>
      </xdr:nvSpPr>
      <xdr:spPr>
        <a:xfrm>
          <a:off x="4025348" y="6419022"/>
          <a:ext cx="173935" cy="19050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314739</xdr:colOff>
      <xdr:row>41</xdr:row>
      <xdr:rowOff>132521</xdr:rowOff>
    </xdr:from>
    <xdr:to>
      <xdr:col>12</xdr:col>
      <xdr:colOff>223630</xdr:colOff>
      <xdr:row>43</xdr:row>
      <xdr:rowOff>26849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1094C0EA-31B3-4464-8699-077362266EB8}"/>
            </a:ext>
          </a:extLst>
        </xdr:cNvPr>
        <xdr:cNvSpPr txBox="1"/>
      </xdr:nvSpPr>
      <xdr:spPr>
        <a:xfrm>
          <a:off x="4058478" y="6319630"/>
          <a:ext cx="289891" cy="1925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3P</a:t>
          </a:r>
        </a:p>
      </xdr:txBody>
    </xdr:sp>
    <xdr:clientData/>
  </xdr:twoCellAnchor>
  <xdr:twoCellAnchor>
    <xdr:from>
      <xdr:col>11</xdr:col>
      <xdr:colOff>320127</xdr:colOff>
      <xdr:row>44</xdr:row>
      <xdr:rowOff>65691</xdr:rowOff>
    </xdr:from>
    <xdr:to>
      <xdr:col>13</xdr:col>
      <xdr:colOff>59979</xdr:colOff>
      <xdr:row>50</xdr:row>
      <xdr:rowOff>160799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316C193C-C7F8-416F-8A24-0BF42D5B3941}"/>
            </a:ext>
          </a:extLst>
        </xdr:cNvPr>
        <xdr:cNvSpPr txBox="1"/>
      </xdr:nvSpPr>
      <xdr:spPr>
        <a:xfrm>
          <a:off x="4057868" y="6772605"/>
          <a:ext cx="501852" cy="10147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/6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CI2-350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363666</xdr:colOff>
      <xdr:row>22</xdr:row>
      <xdr:rowOff>129402</xdr:rowOff>
    </xdr:from>
    <xdr:to>
      <xdr:col>13</xdr:col>
      <xdr:colOff>35218</xdr:colOff>
      <xdr:row>26</xdr:row>
      <xdr:rowOff>142540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B9AB3394-0B58-4A69-86B8-EEE5F5813B33}"/>
            </a:ext>
          </a:extLst>
        </xdr:cNvPr>
        <xdr:cNvSpPr txBox="1"/>
      </xdr:nvSpPr>
      <xdr:spPr>
        <a:xfrm>
          <a:off x="4107405" y="3459011"/>
          <a:ext cx="433552" cy="60948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/3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378320</xdr:colOff>
      <xdr:row>17</xdr:row>
      <xdr:rowOff>978</xdr:rowOff>
    </xdr:from>
    <xdr:to>
      <xdr:col>13</xdr:col>
      <xdr:colOff>49872</xdr:colOff>
      <xdr:row>21</xdr:row>
      <xdr:rowOff>14115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4211FDC3-A595-4F20-973A-98E88CF43FA7}"/>
            </a:ext>
          </a:extLst>
        </xdr:cNvPr>
        <xdr:cNvSpPr txBox="1"/>
      </xdr:nvSpPr>
      <xdr:spPr>
        <a:xfrm>
          <a:off x="4122059" y="2585152"/>
          <a:ext cx="433552" cy="60948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377561</xdr:colOff>
      <xdr:row>11</xdr:row>
      <xdr:rowOff>60999</xdr:rowOff>
    </xdr:from>
    <xdr:to>
      <xdr:col>13</xdr:col>
      <xdr:colOff>49113</xdr:colOff>
      <xdr:row>15</xdr:row>
      <xdr:rowOff>57572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C75A199-D2CC-48DF-AC58-6D7730AFD639}"/>
            </a:ext>
          </a:extLst>
        </xdr:cNvPr>
        <xdr:cNvSpPr txBox="1"/>
      </xdr:nvSpPr>
      <xdr:spPr>
        <a:xfrm>
          <a:off x="4121300" y="1734086"/>
          <a:ext cx="433552" cy="60948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229223</xdr:colOff>
      <xdr:row>1</xdr:row>
      <xdr:rowOff>144659</xdr:rowOff>
    </xdr:from>
    <xdr:to>
      <xdr:col>11</xdr:col>
      <xdr:colOff>295165</xdr:colOff>
      <xdr:row>6</xdr:row>
      <xdr:rowOff>6569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1186BFF-A3FE-45FF-AA97-2D3B9F5AB783}"/>
            </a:ext>
          </a:extLst>
        </xdr:cNvPr>
        <xdr:cNvSpPr txBox="1"/>
      </xdr:nvSpPr>
      <xdr:spPr>
        <a:xfrm>
          <a:off x="3585964" y="308883"/>
          <a:ext cx="446942" cy="63047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/1</a:t>
          </a:r>
        </a:p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CI</a:t>
          </a:r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  <a:r>
            <a:rPr lang="id-ID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id-ID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190646</xdr:colOff>
      <xdr:row>7</xdr:row>
      <xdr:rowOff>29470</xdr:rowOff>
    </xdr:from>
    <xdr:to>
      <xdr:col>11</xdr:col>
      <xdr:colOff>309289</xdr:colOff>
      <xdr:row>8</xdr:row>
      <xdr:rowOff>18296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AB97539F-B694-4A97-AC52-AFDF9BE2D3D2}"/>
            </a:ext>
          </a:extLst>
        </xdr:cNvPr>
        <xdr:cNvGrpSpPr/>
      </xdr:nvGrpSpPr>
      <xdr:grpSpPr>
        <a:xfrm>
          <a:off x="3927377" y="1121182"/>
          <a:ext cx="118643" cy="14269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A45FB9D0-C1D7-440B-96FF-3481487D7E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D49A27C0-AE67-411A-A8F3-671B0B379189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B2D1FF5C-3C6D-46D4-9E1C-C54047B10F64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332590</xdr:colOff>
      <xdr:row>45</xdr:row>
      <xdr:rowOff>19202</xdr:rowOff>
    </xdr:from>
    <xdr:to>
      <xdr:col>10</xdr:col>
      <xdr:colOff>72442</xdr:colOff>
      <xdr:row>50</xdr:row>
      <xdr:rowOff>59736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C86F9F24-7A55-4A22-B0E5-A5AF12FB920F}"/>
            </a:ext>
          </a:extLst>
        </xdr:cNvPr>
        <xdr:cNvSpPr txBox="1"/>
      </xdr:nvSpPr>
      <xdr:spPr>
        <a:xfrm>
          <a:off x="2927331" y="6877202"/>
          <a:ext cx="501852" cy="80910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44</xdr:row>
      <xdr:rowOff>0</xdr:rowOff>
    </xdr:from>
    <xdr:to>
      <xdr:col>11</xdr:col>
      <xdr:colOff>309143</xdr:colOff>
      <xdr:row>44</xdr:row>
      <xdr:rowOff>137913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FBD5C9DA-F54B-4D2C-96DE-087A1F07F6F6}"/>
            </a:ext>
          </a:extLst>
        </xdr:cNvPr>
        <xdr:cNvGrpSpPr/>
      </xdr:nvGrpSpPr>
      <xdr:grpSpPr>
        <a:xfrm>
          <a:off x="3927231" y="6799385"/>
          <a:ext cx="118643" cy="13791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4D67DA6E-BCDE-A864-F9C9-B8EE861252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E99E0560-4423-78C2-B20C-5A4085C50F6D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8D6AA7C-E57C-D1FC-3319-90D1E058AA85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115957</xdr:colOff>
      <xdr:row>43</xdr:row>
      <xdr:rowOff>149086</xdr:rowOff>
    </xdr:from>
    <xdr:to>
      <xdr:col>9</xdr:col>
      <xdr:colOff>234600</xdr:colOff>
      <xdr:row>44</xdr:row>
      <xdr:rowOff>137912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2EF37529-5A1D-4209-85DB-D17EC9E9D85B}"/>
            </a:ext>
          </a:extLst>
        </xdr:cNvPr>
        <xdr:cNvGrpSpPr/>
      </xdr:nvGrpSpPr>
      <xdr:grpSpPr>
        <a:xfrm>
          <a:off x="3090688" y="6794605"/>
          <a:ext cx="118643" cy="1426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9F677FEE-0018-8A37-5B31-628F555477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62485688-7022-3D23-FBEF-E6B273891C4C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60B87FB-2FD1-5A3D-BA9C-26076DFC4C46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198782</xdr:colOff>
      <xdr:row>8</xdr:row>
      <xdr:rowOff>16565</xdr:rowOff>
    </xdr:from>
    <xdr:to>
      <xdr:col>11</xdr:col>
      <xdr:colOff>309300</xdr:colOff>
      <xdr:row>8</xdr:row>
      <xdr:rowOff>147852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E0880E30-C321-4234-9CED-42D54E4655A1}"/>
            </a:ext>
          </a:extLst>
        </xdr:cNvPr>
        <xdr:cNvGrpSpPr/>
      </xdr:nvGrpSpPr>
      <xdr:grpSpPr>
        <a:xfrm>
          <a:off x="3935513" y="1262142"/>
          <a:ext cx="110518" cy="13128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950485BD-7D28-AB89-5B3D-2CAF2D4CDAA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141EA44F-856F-AB9E-BA0D-A5710435608E}"/>
              </a:ext>
            </a:extLst>
          </xdr:cNvPr>
          <xdr:cNvCxnSpPr>
            <a:stCxn id="47" idx="1"/>
            <a:endCxn id="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43F6848E-2D2D-F030-4801-027940385DB9}"/>
              </a:ext>
            </a:extLst>
          </xdr:cNvPr>
          <xdr:cNvCxnSpPr>
            <a:stCxn id="47" idx="3"/>
            <a:endCxn id="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234043</xdr:colOff>
      <xdr:row>41</xdr:row>
      <xdr:rowOff>130628</xdr:rowOff>
    </xdr:from>
    <xdr:to>
      <xdr:col>9</xdr:col>
      <xdr:colOff>174171</xdr:colOff>
      <xdr:row>44</xdr:row>
      <xdr:rowOff>43543</xdr:rowOff>
    </xdr:to>
    <xdr:sp macro="" textlink="">
      <xdr:nvSpPr>
        <xdr:cNvPr id="51" name="Freeform: Shape 50">
          <a:extLst>
            <a:ext uri="{FF2B5EF4-FFF2-40B4-BE49-F238E27FC236}">
              <a16:creationId xmlns:a16="http://schemas.microsoft.com/office/drawing/2014/main" id="{219936B9-DF77-85F8-295B-F6B55CE77BBC}"/>
            </a:ext>
          </a:extLst>
        </xdr:cNvPr>
        <xdr:cNvSpPr/>
      </xdr:nvSpPr>
      <xdr:spPr>
        <a:xfrm>
          <a:off x="2830286" y="6422571"/>
          <a:ext cx="321128" cy="370115"/>
        </a:xfrm>
        <a:custGeom>
          <a:avLst/>
          <a:gdLst>
            <a:gd name="connsiteX0" fmla="*/ 0 w 321128"/>
            <a:gd name="connsiteY0" fmla="*/ 0 h 370115"/>
            <a:gd name="connsiteX1" fmla="*/ 0 w 321128"/>
            <a:gd name="connsiteY1" fmla="*/ 293915 h 370115"/>
            <a:gd name="connsiteX2" fmla="*/ 321128 w 321128"/>
            <a:gd name="connsiteY2" fmla="*/ 293915 h 370115"/>
            <a:gd name="connsiteX3" fmla="*/ 315685 w 321128"/>
            <a:gd name="connsiteY3" fmla="*/ 370115 h 370115"/>
            <a:gd name="connsiteX4" fmla="*/ 315685 w 321128"/>
            <a:gd name="connsiteY4" fmla="*/ 370115 h 3701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321128" h="370115">
              <a:moveTo>
                <a:pt x="0" y="0"/>
              </a:moveTo>
              <a:lnTo>
                <a:pt x="0" y="293915"/>
              </a:lnTo>
              <a:lnTo>
                <a:pt x="321128" y="293915"/>
              </a:lnTo>
              <a:lnTo>
                <a:pt x="315685" y="370115"/>
              </a:lnTo>
              <a:lnTo>
                <a:pt x="315685" y="370115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32845</xdr:colOff>
      <xdr:row>29</xdr:row>
      <xdr:rowOff>39414</xdr:rowOff>
    </xdr:from>
    <xdr:to>
      <xdr:col>11</xdr:col>
      <xdr:colOff>85397</xdr:colOff>
      <xdr:row>33</xdr:row>
      <xdr:rowOff>59121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1AF8DDE3-0A9B-4216-AA20-E00D7B2C1E57}"/>
            </a:ext>
          </a:extLst>
        </xdr:cNvPr>
        <xdr:cNvSpPr txBox="1"/>
      </xdr:nvSpPr>
      <xdr:spPr>
        <a:xfrm>
          <a:off x="3389586" y="4460328"/>
          <a:ext cx="433552" cy="61748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/4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65690</xdr:colOff>
      <xdr:row>35</xdr:row>
      <xdr:rowOff>72259</xdr:rowOff>
    </xdr:from>
    <xdr:to>
      <xdr:col>11</xdr:col>
      <xdr:colOff>118242</xdr:colOff>
      <xdr:row>39</xdr:row>
      <xdr:rowOff>59121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97570B30-9375-4194-8907-1835C66469F1}"/>
            </a:ext>
          </a:extLst>
        </xdr:cNvPr>
        <xdr:cNvSpPr txBox="1"/>
      </xdr:nvSpPr>
      <xdr:spPr>
        <a:xfrm>
          <a:off x="3422431" y="5393121"/>
          <a:ext cx="433552" cy="61748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/5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CI2-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164224</xdr:colOff>
      <xdr:row>7</xdr:row>
      <xdr:rowOff>6568</xdr:rowOff>
    </xdr:from>
    <xdr:to>
      <xdr:col>11</xdr:col>
      <xdr:colOff>341586</xdr:colOff>
      <xdr:row>8</xdr:row>
      <xdr:rowOff>19706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3003464A-8A6F-E2CD-0E43-72B235A858CC}"/>
            </a:ext>
          </a:extLst>
        </xdr:cNvPr>
        <xdr:cNvGrpSpPr/>
      </xdr:nvGrpSpPr>
      <xdr:grpSpPr>
        <a:xfrm>
          <a:off x="3900955" y="1098280"/>
          <a:ext cx="177362" cy="167003"/>
          <a:chOff x="5471948" y="1379482"/>
          <a:chExt cx="177362" cy="164225"/>
        </a:xfrm>
      </xdr:grpSpPr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045E2CA5-C530-4429-B4C6-05D7FF2F2CAB}"/>
              </a:ext>
            </a:extLst>
          </xdr:cNvPr>
          <xdr:cNvCxnSpPr/>
        </xdr:nvCxnSpPr>
        <xdr:spPr>
          <a:xfrm flipH="1">
            <a:off x="5471948" y="1386052"/>
            <a:ext cx="170793" cy="157655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735BB12D-3051-4F77-8110-798487D20481}"/>
              </a:ext>
            </a:extLst>
          </xdr:cNvPr>
          <xdr:cNvCxnSpPr/>
        </xdr:nvCxnSpPr>
        <xdr:spPr>
          <a:xfrm>
            <a:off x="5478518" y="1379482"/>
            <a:ext cx="170792" cy="164225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105103</xdr:colOff>
      <xdr:row>6</xdr:row>
      <xdr:rowOff>59121</xdr:rowOff>
    </xdr:from>
    <xdr:to>
      <xdr:col>13</xdr:col>
      <xdr:colOff>157655</xdr:colOff>
      <xdr:row>10</xdr:row>
      <xdr:rowOff>68832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5AB59F8-3E42-444D-A4DC-885E427DAC8B}"/>
            </a:ext>
          </a:extLst>
        </xdr:cNvPr>
        <xdr:cNvSpPr txBox="1"/>
      </xdr:nvSpPr>
      <xdr:spPr>
        <a:xfrm>
          <a:off x="4223844" y="991914"/>
          <a:ext cx="433552" cy="61405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K3-267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CI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</a:t>
          </a:r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</a:t>
          </a:r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id-ID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id-ID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10</xdr:col>
      <xdr:colOff>295603</xdr:colOff>
      <xdr:row>2</xdr:row>
      <xdr:rowOff>72259</xdr:rowOff>
    </xdr:from>
    <xdr:to>
      <xdr:col>11</xdr:col>
      <xdr:colOff>236483</xdr:colOff>
      <xdr:row>5</xdr:row>
      <xdr:rowOff>91966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160193F3-667E-4B79-AA64-D0AFA47B64B4}"/>
            </a:ext>
          </a:extLst>
        </xdr:cNvPr>
        <xdr:cNvGrpSpPr/>
      </xdr:nvGrpSpPr>
      <xdr:grpSpPr>
        <a:xfrm>
          <a:off x="3651334" y="394644"/>
          <a:ext cx="321880" cy="481303"/>
          <a:chOff x="5471948" y="1379482"/>
          <a:chExt cx="177362" cy="164225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02C16210-66C1-D7FB-8B1B-A93BAD6EA5D1}"/>
              </a:ext>
            </a:extLst>
          </xdr:cNvPr>
          <xdr:cNvCxnSpPr/>
        </xdr:nvCxnSpPr>
        <xdr:spPr>
          <a:xfrm flipH="1">
            <a:off x="5471948" y="1386052"/>
            <a:ext cx="170793" cy="157655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81CB44AE-BB79-C4FB-617E-957118EC740C}"/>
              </a:ext>
            </a:extLst>
          </xdr:cNvPr>
          <xdr:cNvCxnSpPr/>
        </xdr:nvCxnSpPr>
        <xdr:spPr>
          <a:xfrm>
            <a:off x="5478518" y="1379482"/>
            <a:ext cx="170792" cy="164225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435427</xdr:colOff>
      <xdr:row>12</xdr:row>
      <xdr:rowOff>1</xdr:rowOff>
    </xdr:from>
    <xdr:to>
      <xdr:col>20</xdr:col>
      <xdr:colOff>544285</xdr:colOff>
      <xdr:row>56</xdr:row>
      <xdr:rowOff>162963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92B28A-F1CA-457D-D375-90B7A51C5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8177" y="1918608"/>
          <a:ext cx="8069037" cy="7347534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14</xdr:col>
      <xdr:colOff>228849</xdr:colOff>
      <xdr:row>38</xdr:row>
      <xdr:rowOff>21029</xdr:rowOff>
    </xdr:from>
    <xdr:to>
      <xdr:col>14</xdr:col>
      <xdr:colOff>488621</xdr:colOff>
      <xdr:row>39</xdr:row>
      <xdr:rowOff>107619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 rot="10800000">
          <a:off x="7467849" y="6185065"/>
          <a:ext cx="259772" cy="2498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350077</xdr:colOff>
      <xdr:row>34</xdr:row>
      <xdr:rowOff>21028</xdr:rowOff>
    </xdr:from>
    <xdr:to>
      <xdr:col>14</xdr:col>
      <xdr:colOff>358735</xdr:colOff>
      <xdr:row>39</xdr:row>
      <xdr:rowOff>3709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 flipH="1">
          <a:off x="7589077" y="5531921"/>
          <a:ext cx="8658" cy="79910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102053</xdr:colOff>
      <xdr:row>8</xdr:row>
      <xdr:rowOff>50907</xdr:rowOff>
    </xdr:from>
    <xdr:to>
      <xdr:col>18</xdr:col>
      <xdr:colOff>462642</xdr:colOff>
      <xdr:row>52</xdr:row>
      <xdr:rowOff>62340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AF46F9-754E-8483-EC3D-8B07A4B7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1303" y="1506871"/>
          <a:ext cx="8933089" cy="71960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1134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42</v>
      </c>
      <c r="E7" s="537" t="s">
        <v>43</v>
      </c>
      <c r="F7" s="537" t="s">
        <v>1135</v>
      </c>
      <c r="G7" s="538" t="s">
        <v>41</v>
      </c>
      <c r="H7" s="534" t="s">
        <v>1042</v>
      </c>
      <c r="I7" s="534" t="s">
        <v>1137</v>
      </c>
      <c r="J7" s="534" t="s">
        <v>1026</v>
      </c>
      <c r="K7" s="528" t="s">
        <v>1024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20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1269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50</v>
      </c>
      <c r="G21" s="41">
        <f ca="1">IF(ISERROR(OFFSET('HARGA SATUAN'!$I$6,MATCH(C21,'HARGA SATUAN'!$C$7:$C$1492,0),0)),"",OFFSET('HARGA SATUAN'!$I$6,MATCH(C21,'HARGA SATUAN'!$C$7:$C$1492,0),0))</f>
        <v>54500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SUMIFS(RAB!$F$14:$F$176,RAB!$C$14:$C$176,C714)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SUMIFS(RAB!$F$14:$F$176,RAB!$C$14:$C$176,C715)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SUMIFS(RAB!$F$14:$F$176,RAB!$C$14:$C$176,C716)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SUMIFS(RAB!$F$14:$F$176,RAB!$C$14:$C$176,C717)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SUMIFS(RAB!$F$14:$F$176,RAB!$C$14:$C$176,C718)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SUMIFS(RAB!$F$14:$F$176,RAB!$C$14:$C$176,C719)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SUMIFS(RAB!$F$14:$F$176,RAB!$C$14:$C$176,C720)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SUMIFS(RAB!$F$14:$F$176,RAB!$C$14:$C$176,C721)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SUMIFS(RAB!$F$14:$F$176,RAB!$C$14:$C$176,C722)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SUMIFS(RAB!$F$14:$F$176,RAB!$C$14:$C$176,C723)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SUMIFS(RAB!$F$14:$F$176,RAB!$C$14:$C$176,C724)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SUMIFS(RAB!$F$14:$F$176,RAB!$C$14:$C$176,C725)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SUMIFS(RAB!$F$14:$F$176,RAB!$C$14:$C$176,C726)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SUMIFS(RAB!$F$14:$F$176,RAB!$C$14:$C$176,C727)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SUMIFS(RAB!$F$14:$F$176,RAB!$C$14:$C$176,C728)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SUMIFS(RAB!$F$14:$F$176,RAB!$C$14:$C$176,C729)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SUMIFS(RAB!$F$14:$F$176,RAB!$C$14:$C$176,C730)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SUMIFS(RAB!$F$14:$F$176,RAB!$C$14:$C$176,C731)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SUMIFS(RAB!$F$14:$F$176,RAB!$C$14:$C$176,C732)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SUMIFS(RAB!$F$14:$F$176,RAB!$C$14:$C$176,C733)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SUMIFS(RAB!$F$14:$F$176,RAB!$C$14:$C$176,C734)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SUMIFS(RAB!$F$14:$F$176,RAB!$C$14:$C$176,C735)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SUMIFS(RAB!$F$14:$F$176,RAB!$C$14:$C$176,C736)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SUMIFS(RAB!$F$14:$F$176,RAB!$C$14:$C$176,C737)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SUMIFS(RAB!$F$14:$F$176,RAB!$C$14:$C$176,C738)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SUMIFS(RAB!$F$14:$F$176,RAB!$C$14:$C$176,C739)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SUMIFS(RAB!$F$14:$F$176,RAB!$C$14:$C$176,C740)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SUMIFS(RAB!$F$14:$F$176,RAB!$C$14:$C$176,C741)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SUMIFS(RAB!$F$14:$F$176,RAB!$C$14:$C$176,C742)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SUMIFS(RAB!$F$14:$F$176,RAB!$C$14:$C$176,C743)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SUMIFS(RAB!$F$14:$F$176,RAB!$C$14:$C$176,C744)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SUMIFS(RAB!$F$14:$F$176,RAB!$C$14:$C$176,C745)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SUMIFS(RAB!$F$14:$F$176,RAB!$C$14:$C$176,C746)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SUMIFS(RAB!$F$14:$F$176,RAB!$C$14:$C$176,C747)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SUMIFS(RAB!$F$14:$F$176,RAB!$C$14:$C$176,C748)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SUMIFS(RAB!$F$14:$F$176,RAB!$C$14:$C$176,C749)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SUMIFS(RAB!$F$14:$F$176,RAB!$C$14:$C$176,C750)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SUMIFS(RAB!$F$14:$F$176,RAB!$C$14:$C$176,C751)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SUMIFS(RAB!$F$14:$F$176,RAB!$C$14:$C$176,C752)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SUMIFS(RAB!$F$14:$F$176,RAB!$C$14:$C$176,C753)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SUMIFS(RAB!$F$14:$F$176,RAB!$C$14:$C$176,C754)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SUMIFS(RAB!$F$14:$F$176,RAB!$C$14:$C$176,C755)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SUMIFS(RAB!$F$14:$F$176,RAB!$C$14:$C$176,C756)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SUMIFS(RAB!$F$14:$F$176,RAB!$C$14:$C$176,C757)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SUMIFS(RAB!$F$14:$F$176,RAB!$C$14:$C$176,C758)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SUMIFS(RAB!$F$14:$F$176,RAB!$C$14:$C$176,C759)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SUMIFS(RAB!$F$14:$F$176,RAB!$C$14:$C$176,C760)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SUMIFS(RAB!$F$14:$F$176,RAB!$C$14:$C$176,C761)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SUMIFS(RAB!$F$14:$F$176,RAB!$C$14:$C$176,C762)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SUMIFS(RAB!$F$14:$F$176,RAB!$C$14:$C$176,C763)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SUMIFS(RAB!$F$14:$F$176,RAB!$C$14:$C$176,C764)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SUMIFS(RAB!$F$14:$F$176,RAB!$C$14:$C$176,C765)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SUMIFS(RAB!$F$14:$F$176,RAB!$C$14:$C$176,C766)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SUMIFS(RAB!$F$14:$F$176,RAB!$C$14:$C$176,C767)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SUMIFS(RAB!$F$14:$F$176,RAB!$C$14:$C$176,C768)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SUMIFS(RAB!$F$14:$F$176,RAB!$C$14:$C$176,C769)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SUMIFS(RAB!$F$14:$F$176,RAB!$C$14:$C$176,C770)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SUMIFS(RAB!$F$14:$F$176,RAB!$C$14:$C$176,C771)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SUMIFS(RAB!$F$14:$F$176,RAB!$C$14:$C$176,C772)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SUMIFS(RAB!$F$14:$F$176,RAB!$C$14:$C$176,C773)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SUMIFS(RAB!$F$14:$F$176,RAB!$C$14:$C$176,C774)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SUMIFS(RAB!$F$14:$F$176,RAB!$C$14:$C$176,C775)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SUMIFS(RAB!$F$14:$F$176,RAB!$C$14:$C$176,C776)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SUMIFS(RAB!$F$14:$F$176,RAB!$C$14:$C$176,C777)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SUMIFS(RAB!$F$14:$F$176,RAB!$C$14:$C$176,C778)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SUMIFS(RAB!$F$14:$F$176,RAB!$C$14:$C$176,C779)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SUMIFS(RAB!$F$14:$F$176,RAB!$C$14:$C$176,C780)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SUMIFS(RAB!$F$14:$F$176,RAB!$C$14:$C$176,C781)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SUMIFS(RAB!$F$14:$F$176,RAB!$C$14:$C$176,C782)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SUMIFS(RAB!$F$14:$F$176,RAB!$C$14:$C$176,C783)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SUMIFS(RAB!$F$14:$F$176,RAB!$C$14:$C$176,C784)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SUMIFS(RAB!$F$14:$F$176,RAB!$C$14:$C$176,C785)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SUMIFS(RAB!$F$14:$F$176,RAB!$C$14:$C$176,C786)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SUMIFS(RAB!$F$14:$F$176,RAB!$C$14:$C$176,C787)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SUMIFS(RAB!$F$14:$F$176,RAB!$C$14:$C$176,C788)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SUMIFS(RAB!$F$14:$F$176,RAB!$C$14:$C$176,C789)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SUMIFS(RAB!$F$14:$F$176,RAB!$C$14:$C$176,C790)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SUMIFS(RAB!$F$14:$F$176,RAB!$C$14:$C$176,C791)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SUMIFS(RAB!$F$14:$F$176,RAB!$C$14:$C$176,C792)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SUMIFS(RAB!$F$14:$F$176,RAB!$C$14:$C$176,C793)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SUMIFS(RAB!$F$14:$F$176,RAB!$C$14:$C$176,C794)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SUMIFS(RAB!$F$14:$F$176,RAB!$C$14:$C$176,C795)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SUMIFS(RAB!$F$14:$F$176,RAB!$C$14:$C$176,C796)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SUMIFS(RAB!$F$14:$F$176,RAB!$C$14:$C$176,C797)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SUMIFS(RAB!$F$14:$F$176,RAB!$C$14:$C$176,C798)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SUMIFS(RAB!$F$14:$F$176,RAB!$C$14:$C$176,C799)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SUMIFS(RAB!$F$14:$F$176,RAB!$C$14:$C$176,C800)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SUMIFS(RAB!$F$14:$F$176,RAB!$C$14:$C$176,C801)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SUMIFS(RAB!$F$14:$F$176,RAB!$C$14:$C$176,C802)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SUMIFS(RAB!$F$14:$F$176,RAB!$C$14:$C$176,C803)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SUMIFS(RAB!$F$14:$F$176,RAB!$C$14:$C$176,C804)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SUMIFS(RAB!$F$14:$F$176,RAB!$C$14:$C$176,C805)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SUMIFS(RAB!$F$14:$F$176,RAB!$C$14:$C$176,C806)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SUMIFS(RAB!$F$14:$F$176,RAB!$C$14:$C$176,C807)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SUMIFS(RAB!$F$14:$F$176,RAB!$C$14:$C$176,C808)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SUMIFS(RAB!$F$14:$F$176,RAB!$C$14:$C$176,C809)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SUMIFS(RAB!$F$14:$F$176,RAB!$C$14:$C$176,C810)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SUMIFS(RAB!$F$14:$F$176,RAB!$C$14:$C$176,C811)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SUMIFS(RAB!$F$14:$F$176,RAB!$C$14:$C$176,C812)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SUMIFS(RAB!$F$14:$F$176,RAB!$C$14:$C$176,C813)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SUMIFS(RAB!$F$14:$F$176,RAB!$C$14:$C$176,C814)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SUMIFS(RAB!$F$14:$F$176,RAB!$C$14:$C$176,C815)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SUMIFS(RAB!$F$14:$F$176,RAB!$C$14:$C$176,C816)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SUMIFS(RAB!$F$14:$F$176,RAB!$C$14:$C$176,C817)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SUMIFS(RAB!$F$14:$F$176,RAB!$C$14:$C$176,C818)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SUMIFS(RAB!$F$14:$F$176,RAB!$C$14:$C$176,C819)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SUMIFS(RAB!$F$14:$F$176,RAB!$C$14:$C$176,C820)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SUMIFS(RAB!$F$14:$F$176,RAB!$C$14:$C$176,C821)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SUMIFS(RAB!$F$14:$F$176,RAB!$C$14:$C$176,C822)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SUMIFS(RAB!$F$14:$F$176,RAB!$C$14:$C$176,C823)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SUMIFS(RAB!$F$14:$F$176,RAB!$C$14:$C$176,C824)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SUMIFS(RAB!$F$14:$F$176,RAB!$C$14:$C$176,C825)</f>
        <v>20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SUMIFS(RAB!$F$14:$F$176,RAB!$C$14:$C$176,C826)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SUMIFS(RAB!$F$14:$F$176,RAB!$C$14:$C$176,C827)</f>
        <v>6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SUMIFS(RAB!$F$14:$F$176,RAB!$C$14:$C$176,C828)</f>
        <v>1269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SUMIFS(RAB!$F$14:$F$176,RAB!$C$14:$C$176,C829)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SUMIFS(RAB!$F$14:$F$176,RAB!$C$14:$C$176,C830)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SUMIFS(RAB!$F$14:$F$176,RAB!$C$14:$C$176,C831)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SUMIFS(RAB!$F$14:$F$176,RAB!$C$14:$C$176,C832)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SUMIFS(RAB!$F$14:$F$176,RAB!$C$14:$C$176,C833)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SUMIFS(RAB!$F$14:$F$176,RAB!$C$14:$C$176,C834)</f>
        <v>3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SUMIFS(RAB!$F$14:$F$176,RAB!$C$14:$C$176,C835)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SUMIFS(RAB!$F$14:$F$176,RAB!$C$14:$C$176,C836)</f>
        <v>50</v>
      </c>
      <c r="E836" s="26">
        <f t="shared" ca="1" si="34"/>
        <v>1</v>
      </c>
      <c r="F836" s="26">
        <f ca="1">IF(D836=0,0,SUM($E$713:E836))</f>
        <v>10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SUMIFS(RAB!$F$14:$F$176,RAB!$C$14:$C$176,C837)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SUMIFS(RAB!$F$14:$F$176,RAB!$C$14:$C$176,C838)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SUMIFS(RAB!$F$14:$F$176,RAB!$C$14:$C$176,C839)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SUMIFS(RAB!$F$14:$F$176,RAB!$C$14:$C$176,C840)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SUMIFS(RAB!$F$14:$F$176,RAB!$C$14:$C$176,C841)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SUMIFS(RAB!$F$14:$F$176,RAB!$C$14:$C$176,C842)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SUMIFS(RAB!$F$14:$F$176,RAB!$C$14:$C$176,C843)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SUMIFS(RAB!$F$14:$F$176,RAB!$C$14:$C$176,C844)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SUMIFS(RAB!$F$14:$F$176,RAB!$C$14:$C$176,C845)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SUMIFS(RAB!$F$14:$F$176,RAB!$C$14:$C$176,C846)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SUMIFS(RAB!$F$14:$F$176,RAB!$C$14:$C$176,C847)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SUMIFS(RAB!$F$14:$F$176,RAB!$C$14:$C$176,C848)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SUMIFS(RAB!$F$14:$F$176,RAB!$C$14:$C$176,C849)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SUMIFS(RAB!$F$14:$F$176,RAB!$C$14:$C$176,C850)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SUMIFS(RAB!$F$14:$F$176,RAB!$C$14:$C$176,C851)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SUMIFS(RAB!$F$14:$F$176,RAB!$C$14:$C$176,C852)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SUMIFS(RAB!$F$14:$F$176,RAB!$C$14:$C$176,C853)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SUMIFS(RAB!$F$14:$F$176,RAB!$C$14:$C$176,C854)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SUMIFS(RAB!$F$14:$F$176,RAB!$C$14:$C$176,C855)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SUMIFS(RAB!$F$14:$F$176,RAB!$C$14:$C$176,C856)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SUMIFS(RAB!$F$14:$F$176,RAB!$C$14:$C$176,C857)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SUMIFS(RAB!$F$14:$F$176,RAB!$C$14:$C$176,C858)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SUMIFS(RAB!$F$14:$F$176,RAB!$C$14:$C$176,C859)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SUMIFS(RAB!$F$14:$F$176,RAB!$C$14:$C$176,C860)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SUMIFS(RAB!$F$14:$F$176,RAB!$C$14:$C$176,C861)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SUMIFS(RAB!$F$14:$F$176,RAB!$C$14:$C$176,C862)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SUMIFS(RAB!$F$14:$F$176,RAB!$C$14:$C$176,C863)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SUMIFS(RAB!$F$14:$F$176,RAB!$C$14:$C$176,C864)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SUMIFS(RAB!$F$14:$F$176,RAB!$C$14:$C$176,C865)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SUMIFS(RAB!$F$14:$F$176,RAB!$C$14:$C$176,C866)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SUMIFS(RAB!$F$14:$F$176,RAB!$C$14:$C$176,C867)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SUMIFS(RAB!$F$14:$F$176,RAB!$C$14:$C$176,C868)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SUMIFS(RAB!$F$14:$F$176,RAB!$C$14:$C$176,C869)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SUMIFS(RAB!$F$14:$F$176,RAB!$C$14:$C$176,C870)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SUMIFS(RAB!$F$14:$F$176,RAB!$C$14:$C$176,C871)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SUMIFS(RAB!$F$14:$F$176,RAB!$C$14:$C$176,C872)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SUMIFS(RAB!$F$14:$F$176,RAB!$C$14:$C$176,C873)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SUMIFS(RAB!$F$14:$F$176,RAB!$C$14:$C$176,C874)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SUMIFS(RAB!$F$14:$F$176,RAB!$C$14:$C$176,C875)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SUMIFS(RAB!$F$14:$F$176,RAB!$C$14:$C$176,C876)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SUMIFS(RAB!$F$14:$F$176,RAB!$C$14:$C$176,C877)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SUMIFS(RAB!$F$14:$F$176,RAB!$C$14:$C$176,C878)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SUMIFS(RAB!$F$14:$F$176,RAB!$C$14:$C$176,C879)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SUMIFS(RAB!$F$14:$F$176,RAB!$C$14:$C$176,C880)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SUMIFS(RAB!$F$14:$F$176,RAB!$C$14:$C$176,C881)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SUMIFS(RAB!$F$14:$F$176,RAB!$C$14:$C$176,C882)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SUMIFS(RAB!$F$14:$F$176,RAB!$C$14:$C$176,C883)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SUMIFS(RAB!$F$14:$F$176,RAB!$C$14:$C$176,C884)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SUMIFS(RAB!$F$14:$F$176,RAB!$C$14:$C$176,C885)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SUMIFS(RAB!$F$14:$F$176,RAB!$C$14:$C$176,C886)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SUMIFS(RAB!$F$14:$F$176,RAB!$C$14:$C$176,C887)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SUMIFS(RAB!$F$14:$F$176,RAB!$C$14:$C$176,C888)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SUMIFS(RAB!$F$14:$F$176,RAB!$C$14:$C$176,C889)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SUMIFS(RAB!$F$14:$F$176,RAB!$C$14:$C$176,C890)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SUMIFS(RAB!$F$14:$F$176,RAB!$C$14:$C$176,C891)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SUMIFS(RAB!$F$14:$F$176,RAB!$C$14:$C$176,C892)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SUMIFS(RAB!$F$14:$F$176,RAB!$C$14:$C$176,C893)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SUMIFS(RAB!$F$14:$F$176,RAB!$C$14:$C$176,C894)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SUMIFS(RAB!$F$14:$F$176,RAB!$C$14:$C$176,C895)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SUMIFS(RAB!$F$14:$F$176,RAB!$C$14:$C$176,C896)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SUMIFS(RAB!$F$14:$F$176,RAB!$C$14:$C$176,C897)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SUMIFS(RAB!$F$14:$F$176,RAB!$C$14:$C$176,C898)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SUMIFS(RAB!$F$14:$F$176,RAB!$C$14:$C$176,C899)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SUMIFS(RAB!$F$14:$F$176,RAB!$C$14:$C$176,C900)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SUMIFS(RAB!$F$14:$F$176,RAB!$C$14:$C$176,C901)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SUMIFS(RAB!$F$14:$F$176,RAB!$C$14:$C$176,C902)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SUMIFS(RAB!$F$14:$F$176,RAB!$C$14:$C$176,C903)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SUMIFS(RAB!$F$14:$F$176,RAB!$C$14:$C$176,C904)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SUMIFS(RAB!$F$14:$F$176,RAB!$C$14:$C$176,C905)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SUMIFS(RAB!$F$14:$F$176,RAB!$C$14:$C$176,C906)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SUMIFS(RAB!$F$14:$F$176,RAB!$C$14:$C$176,C907)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SUMIFS(RAB!$F$14:$F$176,RAB!$C$14:$C$176,C908)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SUMIFS(RAB!$F$14:$F$176,RAB!$C$14:$C$176,C909)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SUMIFS(RAB!$F$14:$F$176,RAB!$C$14:$C$176,C910)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SUMIFS(RAB!$F$14:$F$176,RAB!$C$14:$C$176,C911)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SUMIFS(RAB!$F$14:$F$176,RAB!$C$14:$C$176,C912)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SUMIFS(RAB!$F$14:$F$176,RAB!$C$14:$C$176,C913)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SUMIFS(RAB!$F$14:$F$176,RAB!$C$14:$C$176,C914)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SUMIFS(RAB!$F$14:$F$176,RAB!$C$14:$C$176,C915)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SUMIFS(RAB!$F$14:$F$176,RAB!$C$14:$C$176,C916)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SUMIFS(RAB!$F$14:$F$176,RAB!$C$14:$C$176,C917)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SUMIFS(RAB!$F$14:$F$176,RAB!$C$14:$C$176,C918)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SUMIFS(RAB!$F$14:$F$176,RAB!$C$14:$C$176,C919)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SUMIFS(RAB!$F$14:$F$176,RAB!$C$14:$C$176,C920)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SUMIFS(RAB!$F$14:$F$176,RAB!$C$14:$C$176,C921)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SUMIFS(RAB!$F$14:$F$176,RAB!$C$14:$C$176,C922)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SUMIFS(RAB!$F$14:$F$176,RAB!$C$14:$C$176,C923)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SUMIFS(RAB!$F$14:$F$176,RAB!$C$14:$C$176,C924)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SUMIFS(RAB!$F$14:$F$176,RAB!$C$14:$C$176,C925)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SUMIFS(RAB!$F$14:$F$176,RAB!$C$14:$C$176,C926)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SUMIFS(RAB!$F$14:$F$176,RAB!$C$14:$C$176,C927)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SUMIFS(RAB!$F$14:$F$176,RAB!$C$14:$C$176,C928)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SUMIFS(RAB!$F$14:$F$176,RAB!$C$14:$C$176,C929)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SUMIFS(RAB!$F$14:$F$176,RAB!$C$14:$C$176,C930)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SUMIFS(RAB!$F$14:$F$176,RAB!$C$14:$C$176,C931)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SUMIFS(RAB!$F$14:$F$176,RAB!$C$14:$C$176,C932)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SUMIFS(RAB!$F$14:$F$176,RAB!$C$14:$C$176,C933)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SUMIFS(RAB!$F$14:$F$176,RAB!$C$14:$C$176,C934)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SUMIFS(RAB!$F$14:$F$176,RAB!$C$14:$C$176,C935)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SUMIFS(RAB!$F$14:$F$176,RAB!$C$14:$C$176,C936)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SUMIFS(RAB!$F$14:$F$176,RAB!$C$14:$C$176,C937)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SUMIFS(RAB!$F$14:$F$176,RAB!$C$14:$C$176,C938)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SUMIFS(RAB!$F$14:$F$176,RAB!$C$14:$C$176,C939)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SUMIFS(RAB!$F$14:$F$176,RAB!$C$14:$C$176,C940)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SUMIFS(RAB!$F$14:$F$176,RAB!$C$14:$C$176,C941)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SUMIFS(RAB!$F$14:$F$176,RAB!$C$14:$C$176,C942)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SUMIFS(RAB!$F$14:$F$176,RAB!$C$14:$C$176,C943)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SUMIFS(RAB!$F$14:$F$176,RAB!$C$14:$C$176,C944)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SUMIFS(RAB!$F$14:$F$176,RAB!$C$14:$C$176,C945)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SUMIFS(RAB!$F$14:$F$176,RAB!$C$14:$C$176,C946)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SUMIFS(RAB!$F$14:$F$176,RAB!$C$14:$C$176,C947)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SUMIFS(RAB!$F$14:$F$176,RAB!$C$14:$C$176,C948)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SUMIFS(RAB!$F$14:$F$176,RAB!$C$14:$C$176,C949)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SUMIFS(RAB!$F$14:$F$176,RAB!$C$14:$C$176,C950)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SUMIFS(RAB!$F$14:$F$176,RAB!$C$14:$C$176,C951)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SUMIFS(RAB!$F$14:$F$176,RAB!$C$14:$C$176,C952)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SUMIFS(RAB!$F$14:$F$176,RAB!$C$14:$C$176,C953)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SUMIFS(RAB!$F$14:$F$176,RAB!$C$14:$C$176,C954)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SUMIFS(RAB!$F$14:$F$176,RAB!$C$14:$C$176,C955)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SUMIFS(RAB!$F$14:$F$176,RAB!$C$14:$C$176,C956)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SUMIFS(RAB!$F$14:$F$176,RAB!$C$14:$C$176,C957)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SUMIFS(RAB!$F$14:$F$176,RAB!$C$14:$C$176,C958)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SUMIFS(RAB!$F$14:$F$176,RAB!$C$14:$C$176,C959)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SUMIFS(RAB!$F$14:$F$176,RAB!$C$14:$C$176,C960)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SUMIFS(RAB!$F$14:$F$176,RAB!$C$14:$C$176,C961)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SUMIFS(RAB!$F$14:$F$176,RAB!$C$14:$C$176,C962)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SUMIFS(RAB!$F$14:$F$176,RAB!$C$14:$C$176,C963)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SUMIFS(RAB!$F$14:$F$176,RAB!$C$14:$C$176,C964)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SUMIFS(RAB!$F$14:$F$176,RAB!$C$14:$C$176,C965)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SUMIFS(RAB!$F$14:$F$176,RAB!$C$14:$C$176,C966)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SUMIFS(RAB!$F$14:$F$176,RAB!$C$14:$C$176,C967)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SUMIFS(RAB!$F$14:$F$176,RAB!$C$14:$C$176,C968)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SUMIFS(RAB!$F$14:$F$176,RAB!$C$14:$C$176,C969)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SUMIFS(RAB!$F$14:$F$176,RAB!$C$14:$C$176,C970)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SUMIFS(RAB!$F$14:$F$176,RAB!$C$14:$C$176,C971)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SUMIFS(RAB!$F$14:$F$176,RAB!$C$14:$C$176,C972)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SUMIFS(RAB!$F$14:$F$176,RAB!$C$14:$C$176,C973)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SUMIFS(RAB!$F$14:$F$176,RAB!$C$14:$C$176,C974)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SUMIFS(RAB!$F$14:$F$176,RAB!$C$14:$C$176,C975)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SUMIFS(RAB!$F$14:$F$176,RAB!$C$14:$C$176,C976)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SUMIFS(RAB!$F$14:$F$176,RAB!$C$14:$C$176,C977)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SUMIFS(RAB!$F$14:$F$176,RAB!$C$14:$C$176,C978)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SUMIFS(RAB!$F$14:$F$176,RAB!$C$14:$C$176,C979)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SUMIFS(RAB!$F$14:$F$176,RAB!$C$14:$C$176,C980)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SUMIFS(RAB!$F$14:$F$176,RAB!$C$14:$C$176,C981)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SUMIFS(RAB!$F$14:$F$176,RAB!$C$14:$C$176,C982)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SUMIFS(RAB!$F$14:$F$176,RAB!$C$14:$C$176,C983)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SUMIFS(RAB!$F$14:$F$176,RAB!$C$14:$C$176,C984)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SUMIFS(RAB!$F$14:$F$176,RAB!$C$14:$C$176,C985)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SUMIFS(RAB!$F$14:$F$176,RAB!$C$14:$C$176,C986)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SUMIFS(RAB!$F$14:$F$176,RAB!$C$14:$C$176,C987)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SUMIFS(RAB!$F$14:$F$176,RAB!$C$14:$C$176,C988)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SUMIFS(RAB!$F$14:$F$176,RAB!$C$14:$C$176,C989)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SUMIFS(RAB!$F$14:$F$176,RAB!$C$14:$C$176,C990)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SUMIFS(RAB!$F$14:$F$176,RAB!$C$14:$C$176,C991)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SUMIFS(RAB!$F$14:$F$176,RAB!$C$14:$C$176,C992)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SUMIFS(RAB!$F$14:$F$176,RAB!$C$14:$C$176,C993)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SUMIFS(RAB!$F$14:$F$176,RAB!$C$14:$C$176,C994)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SUMIFS(RAB!$F$14:$F$176,RAB!$C$14:$C$176,C995)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SUMIFS(RAB!$F$14:$F$176,RAB!$C$14:$C$176,C996)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SUMIFS(RAB!$F$14:$F$176,RAB!$C$14:$C$176,C997)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SUMIFS(RAB!$F$14:$F$176,RAB!$C$14:$C$176,C998)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SUMIFS(RAB!$F$14:$F$176,RAB!$C$14:$C$176,C999)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SUMIFS(RAB!$F$14:$F$176,RAB!$C$14:$C$176,C1000)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SUMIFS(RAB!$F$14:$F$176,RAB!$C$14:$C$176,C1001)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SUMIFS(RAB!$F$14:$F$176,RAB!$C$14:$C$176,C1002)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SUMIFS(RAB!$F$14:$F$176,RAB!$C$14:$C$176,C1003)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SUMIFS(RAB!$F$14:$F$176,RAB!$C$14:$C$176,C1004)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SUMIFS(RAB!$F$14:$F$176,RAB!$C$14:$C$176,C1005)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SUMIFS(RAB!$F$14:$F$176,RAB!$C$14:$C$176,C1006)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SUMIFS(RAB!$F$14:$F$176,RAB!$C$14:$C$176,C1007)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SUMIFS(RAB!$F$14:$F$176,RAB!$C$14:$C$176,C1008)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SUMIFS(RAB!$F$14:$F$176,RAB!$C$14:$C$176,C1009)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SUMIFS(RAB!$F$14:$F$176,RAB!$C$14:$C$176,C1010)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SUMIFS(RAB!$F$14:$F$176,RAB!$C$14:$C$176,C1011)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SUMIFS(RAB!$F$14:$F$176,RAB!$C$14:$C$176,C1012)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SUMIFS(RAB!$F$14:$F$176,RAB!$C$14:$C$176,C1013)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SUMIFS(RAB!$F$14:$F$176,RAB!$C$14:$C$176,C1014)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SUMIFS(RAB!$F$14:$F$176,RAB!$C$14:$C$176,C1015)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SUMIFS(RAB!$F$14:$F$176,RAB!$C$14:$C$176,C1016)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SUMIFS(RAB!$F$14:$F$176,RAB!$C$14:$C$176,C1017)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SUMIFS(RAB!$F$14:$F$176,RAB!$C$14:$C$176,C1018)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SUMIFS(RAB!$F$14:$F$176,RAB!$C$14:$C$176,C1019)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SUMIFS(RAB!$F$14:$F$176,RAB!$C$14:$C$176,C1020)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SUMIFS(RAB!$F$14:$F$176,RAB!$C$14:$C$176,C1021)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SUMIFS(RAB!$F$14:$F$176,RAB!$C$14:$C$176,C1022)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SUMIFS(RAB!$F$14:$F$176,RAB!$C$14:$C$176,C1023)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SUMIFS(RAB!$F$14:$F$176,RAB!$C$14:$C$176,C1024)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SUMIFS(RAB!$F$14:$F$176,RAB!$C$14:$C$176,C1025)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SUMIFS(RAB!$F$14:$F$176,RAB!$C$14:$C$176,C1026)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SUMIFS(RAB!$F$14:$F$176,RAB!$C$14:$C$176,C1027)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SUMIFS(RAB!$F$14:$F$176,RAB!$C$14:$C$176,C1028)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SUMIFS(RAB!$F$14:$F$176,RAB!$C$14:$C$176,C1029)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SUMIFS(RAB!$F$14:$F$176,RAB!$C$14:$C$176,C1030)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SUMIFS(RAB!$F$14:$F$176,RAB!$C$14:$C$176,C1031)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SUMIFS(RAB!$F$14:$F$176,RAB!$C$14:$C$176,C1032)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SUMIFS(RAB!$F$14:$F$176,RAB!$C$14:$C$176,C1033)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SUMIFS(RAB!$F$14:$F$176,RAB!$C$14:$C$176,C1034)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SUMIFS(RAB!$F$14:$F$176,RAB!$C$14:$C$176,C1035)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SUMIFS(RAB!$F$14:$F$176,RAB!$C$14:$C$176,C1036)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SUMIFS(RAB!$F$14:$F$176,RAB!$C$14:$C$176,C1037)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SUMIFS(RAB!$F$14:$F$176,RAB!$C$14:$C$176,C1038)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SUMIFS(RAB!$F$14:$F$176,RAB!$C$14:$C$176,C1039)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SUMIFS(RAB!$F$14:$F$176,RAB!$C$14:$C$176,C1040)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SUMIFS(RAB!$F$14:$F$176,RAB!$C$14:$C$176,C1041)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SUMIFS(RAB!$F$14:$F$176,RAB!$C$14:$C$176,C1042)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SUMIFS(RAB!$F$14:$F$176,RAB!$C$14:$C$176,C1043)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SUMIFS(RAB!$F$14:$F$176,RAB!$C$14:$C$176,C1044)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SUMIFS(RAB!$F$14:$F$176,RAB!$C$14:$C$176,C1045)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SUMIFS(RAB!$F$14:$F$176,RAB!$C$14:$C$176,C1046)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SUMIFS(RAB!$F$14:$F$176,RAB!$C$14:$C$176,C1047)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SUMIFS(RAB!$F$14:$F$176,RAB!$C$14:$C$176,C1048)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SUMIFS(RAB!$F$14:$F$176,RAB!$C$14:$C$176,C1049)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SUMIFS(RAB!$F$14:$F$176,RAB!$C$14:$C$176,C1050)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SUMIFS(RAB!$F$14:$F$176,RAB!$C$14:$C$176,C1051)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SUMIFS(RAB!$F$14:$F$176,RAB!$C$14:$C$176,C1052)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SUMIFS(RAB!$F$14:$F$176,RAB!$C$14:$C$176,C1053)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SUMIFS(RAB!$F$14:$F$176,RAB!$C$14:$C$176,C1054)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SUMIFS(RAB!$F$14:$F$176,RAB!$C$14:$C$176,C1055)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SUMIFS(RAB!$F$14:$F$176,RAB!$C$14:$C$176,C1056)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SUMIFS(RAB!$F$14:$F$176,RAB!$C$14:$C$176,C1057)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SUMIFS(RAB!$F$14:$F$176,RAB!$C$14:$C$176,C1058)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SUMIFS(RAB!$F$14:$F$176,RAB!$C$14:$C$176,C1059)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SUMIFS(RAB!$F$14:$F$176,RAB!$C$14:$C$176,C1060)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SUMIFS(RAB!$F$14:$F$176,RAB!$C$14:$C$176,C1061)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SUMIFS(RAB!$F$14:$F$176,RAB!$C$14:$C$176,C1062)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SUMIFS(RAB!$F$14:$F$176,RAB!$C$14:$C$176,C1063)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SUMIFS(RAB!$F$14:$F$176,RAB!$C$14:$C$176,C1064)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SUMIFS(RAB!$F$14:$F$176,RAB!$C$14:$C$176,C1065)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SUMIFS(RAB!$F$14:$F$176,RAB!$C$14:$C$176,C1066)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SUMIFS(RAB!$F$14:$F$176,RAB!$C$14:$C$176,C1067)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SUMIFS(RAB!$F$14:$F$176,RAB!$C$14:$C$176,C1068)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SUMIFS(RAB!$F$14:$F$176,RAB!$C$14:$C$176,C1069)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SUMIFS(RAB!$F$14:$F$176,RAB!$C$14:$C$176,C1070)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SUMIFS(RAB!$F$14:$F$176,RAB!$C$14:$C$176,C1071)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SUMIFS(RAB!$F$14:$F$176,RAB!$C$14:$C$176,C1072)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SUMIFS(RAB!$F$14:$F$176,RAB!$C$14:$C$176,C1073)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SUMIFS(RAB!$F$14:$F$176,RAB!$C$14:$C$176,C1074)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SUMIFS(RAB!$F$14:$F$176,RAB!$C$14:$C$176,C1075)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SUMIFS(RAB!$F$14:$F$176,RAB!$C$14:$C$176,C1076)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SUMIFS(RAB!$F$14:$F$176,RAB!$C$14:$C$176,C1077)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SUMIFS(RAB!$F$14:$F$176,RAB!$C$14:$C$176,C1078)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SUMIFS(RAB!$F$14:$F$176,RAB!$C$14:$C$176,C1079)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SUMIFS(RAB!$F$14:$F$176,RAB!$C$14:$C$176,C1080)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SUMIFS(RAB!$F$14:$F$176,RAB!$C$14:$C$176,C1081)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SUMIFS(RAB!$F$14:$F$176,RAB!$C$14:$C$176,C1082)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SUMIFS(RAB!$F$14:$F$176,RAB!$C$14:$C$176,C1083)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SUMIFS(RAB!$F$14:$F$176,RAB!$C$14:$C$176,C1084)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SUMIFS(RAB!$F$14:$F$176,RAB!$C$14:$C$176,C1085)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SUMIFS(RAB!$F$14:$F$176,RAB!$C$14:$C$176,C1086)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SUMIFS(RAB!$F$14:$F$176,RAB!$C$14:$C$176,C1087)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SUMIFS(RAB!$F$14:$F$176,RAB!$C$14:$C$176,C1088)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SUMIFS(RAB!$F$14:$F$176,RAB!$C$14:$C$176,C1089)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SUMIFS(RAB!$F$14:$F$176,RAB!$C$14:$C$176,C1090)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SUMIFS(RAB!$F$14:$F$176,RAB!$C$14:$C$176,C1091)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SUMIFS(RAB!$F$14:$F$176,RAB!$C$14:$C$176,C1092)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SUMIFS(RAB!$F$14:$F$176,RAB!$C$14:$C$176,C1093)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SUMIFS(RAB!$F$14:$F$176,RAB!$C$14:$C$176,C1094)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SUMIFS(RAB!$F$14:$F$176,RAB!$C$14:$C$176,C1095)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SUMIFS(RAB!$F$14:$F$176,RAB!$C$14:$C$176,C1096)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SUMIFS(RAB!$F$14:$F$176,RAB!$C$14:$C$176,C1097)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SUMIFS(RAB!$F$14:$F$176,RAB!$C$14:$C$176,C1098)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SUMIFS(RAB!$F$14:$F$176,RAB!$C$14:$C$176,C1099)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SUMIFS(RAB!$F$14:$F$176,RAB!$C$14:$C$176,C1100)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SUMIFS(RAB!$F$14:$F$176,RAB!$C$14:$C$176,C1101)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SUMIFS(RAB!$F$14:$F$176,RAB!$C$14:$C$176,C1102)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SUMIFS(RAB!$F$14:$F$176,RAB!$C$14:$C$176,C1103)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SUMIFS(RAB!$F$14:$F$176,RAB!$C$14:$C$176,C1104)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SUMIFS(RAB!$F$14:$F$176,RAB!$C$14:$C$176,C1105)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SUMIFS(RAB!$F$14:$F$176,RAB!$C$14:$C$176,C1106)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SUMIFS(RAB!$F$14:$F$176,RAB!$C$14:$C$176,C1107)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SUMIFS(RAB!$F$14:$F$176,RAB!$C$14:$C$176,C1108)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SUMIFS(RAB!$F$14:$F$176,RAB!$C$14:$C$176,C1109)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SUMIFS(RAB!$F$14:$F$176,RAB!$C$14:$C$176,C1110)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SUMIFS(RAB!$F$14:$F$176,RAB!$C$14:$C$176,C1111)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SUMIFS(RAB!$F$14:$F$176,RAB!$C$14:$C$176,C1112)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SUMIFS(RAB!$F$14:$F$176,RAB!$C$14:$C$176,C1113)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SUMIFS(RAB!$F$14:$F$176,RAB!$C$14:$C$176,C1114)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SUMIFS(RAB!$F$14:$F$176,RAB!$C$14:$C$176,C1115)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SUMIFS(RAB!$F$14:$F$176,RAB!$C$14:$C$176,C1116)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SUMIFS(RAB!$F$14:$F$176,RAB!$C$14:$C$176,C1117)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SUMIFS(RAB!$F$14:$F$176,RAB!$C$14:$C$176,C1118)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SUMIFS(RAB!$F$14:$F$176,RAB!$C$14:$C$176,C1119)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SUMIFS(RAB!$F$14:$F$176,RAB!$C$14:$C$176,C1120)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SUMIFS(RAB!$F$14:$F$176,RAB!$C$14:$C$176,C1121)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SUMIFS(RAB!$F$14:$F$176,RAB!$C$14:$C$176,C1122)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SUMIFS(RAB!$F$14:$F$176,RAB!$C$14:$C$176,C1123)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SUMIFS(RAB!$F$14:$F$176,RAB!$C$14:$C$176,C1124)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SUMIFS(RAB!$F$14:$F$176,RAB!$C$14:$C$176,C1125)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SUMIFS(RAB!$F$14:$F$176,RAB!$C$14:$C$176,C1126)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SUMIFS(RAB!$F$14:$F$176,RAB!$C$14:$C$176,C1127)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SUMIFS(RAB!$F$14:$F$176,RAB!$C$14:$C$176,C1128)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SUMIFS(RAB!$F$14:$F$176,RAB!$C$14:$C$176,C1129)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SUMIFS(RAB!$F$14:$F$176,RAB!$C$14:$C$176,C1130)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SUMIFS(RAB!$F$14:$F$176,RAB!$C$14:$C$176,C1131)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SUMIFS(RAB!$F$14:$F$176,RAB!$C$14:$C$176,C1132)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SUMIFS(RAB!$F$14:$F$176,RAB!$C$14:$C$176,C1133)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SUMIFS(RAB!$F$14:$F$176,RAB!$C$14:$C$176,C1134)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SUMIFS(RAB!$F$14:$F$176,RAB!$C$14:$C$176,C1135)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SUMIFS(RAB!$F$14:$F$176,RAB!$C$14:$C$176,C1136)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SUMIFS(RAB!$F$14:$F$176,RAB!$C$14:$C$176,C1137)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SUMIFS(RAB!$F$14:$F$176,RAB!$C$14:$C$176,C1138)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SUMIFS(RAB!$F$14:$F$176,RAB!$C$14:$C$176,C1139)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SUMIFS(RAB!$F$14:$F$176,RAB!$C$14:$C$176,C1140)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SUMIFS(RAB!$F$14:$F$176,RAB!$C$14:$C$176,C1141)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SUMIFS(RAB!$F$14:$F$176,RAB!$C$14:$C$176,C1142)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SUMIFS(RAB!$F$14:$F$176,RAB!$C$14:$C$176,C1143)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SUMIFS(RAB!$F$14:$F$176,RAB!$C$14:$C$176,C1144)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SUMIFS(RAB!$F$14:$F$176,RAB!$C$14:$C$176,C1145)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SUMIFS(RAB!$F$14:$F$176,RAB!$C$14:$C$176,C1146)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SUMIFS(RAB!$F$14:$F$176,RAB!$C$14:$C$176,C1147)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SUMIFS(RAB!$F$14:$F$176,RAB!$C$14:$C$176,C1148)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SUMIFS(RAB!$F$14:$F$176,RAB!$C$14:$C$176,C1149)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SUMIFS(RAB!$F$14:$F$176,RAB!$C$14:$C$176,C1150)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SUMIFS(RAB!$F$14:$F$176,RAB!$C$14:$C$176,C1151)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SUMIFS(RAB!$F$14:$F$176,RAB!$C$14:$C$176,C1152)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SUMIFS(RAB!$F$14:$F$176,RAB!$C$14:$C$176,C1153)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SUMIFS(RAB!$F$14:$F$176,RAB!$C$14:$C$176,C1154)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SUMIFS(RAB!$F$14:$F$176,RAB!$C$14:$C$176,C1155)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SUMIFS(RAB!$F$14:$F$176,RAB!$C$14:$C$176,C1156)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SUMIFS(RAB!$F$14:$F$176,RAB!$C$14:$C$176,C1157)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SUMIFS(RAB!$F$14:$F$176,RAB!$C$14:$C$176,C1158)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SUMIFS(RAB!$F$14:$F$176,RAB!$C$14:$C$176,C1159)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SUMIFS(RAB!$F$14:$F$176,RAB!$C$14:$C$176,C1160)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SUMIFS(RAB!$F$14:$F$176,RAB!$C$14:$C$176,C1161)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SUMIFS(RAB!$F$14:$F$176,RAB!$C$14:$C$176,C1162)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SUMIFS(RAB!$F$14:$F$176,RAB!$C$14:$C$176,C1163)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SUMIFS(RAB!$F$14:$F$176,RAB!$C$14:$C$176,C1164)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SUMIFS(RAB!$F$14:$F$176,RAB!$C$14:$C$176,C1165)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SUMIFS(RAB!$F$14:$F$176,RAB!$C$14:$C$176,C1166)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SUMIFS(RAB!$F$14:$F$176,RAB!$C$14:$C$176,C1167)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SUMIFS(RAB!$F$14:$F$176,RAB!$C$14:$C$176,C1168)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SUMIFS(RAB!$F$14:$F$176,RAB!$C$14:$C$176,C1169)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SUMIFS(RAB!$F$14:$F$176,RAB!$C$14:$C$176,C1170)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SUMIFS(RAB!$F$14:$F$176,RAB!$C$14:$C$176,C1171)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SUMIFS(RAB!$F$14:$F$176,RAB!$C$14:$C$176,C1172)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SUMIFS(RAB!$F$14:$F$176,RAB!$C$14:$C$176,C1173)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SUMIFS(RAB!$F$14:$F$176,RAB!$C$14:$C$176,C1174)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SUMIFS(RAB!$F$14:$F$176,RAB!$C$14:$C$176,C1175)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SUMIFS(RAB!$F$14:$F$176,RAB!$C$14:$C$176,C1176)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SUMIFS(RAB!$F$14:$F$176,RAB!$C$14:$C$176,C1177)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SUMIFS(RAB!$F$14:$F$176,RAB!$C$14:$C$176,C1178)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SUMIFS(RAB!$F$14:$F$176,RAB!$C$14:$C$176,C1179)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SUMIFS(RAB!$F$14:$F$176,RAB!$C$14:$C$176,C1180)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SUMIFS(RAB!$F$14:$F$176,RAB!$C$14:$C$176,C1181)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SUMIFS(RAB!$F$14:$F$176,RAB!$C$14:$C$176,C1182)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SUMIFS(RAB!$F$14:$F$176,RAB!$C$14:$C$176,C1183)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SUMIFS(RAB!$F$14:$F$176,RAB!$C$14:$C$176,C1184)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SUMIFS(RAB!$F$14:$F$176,RAB!$C$14:$C$176,C1185)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SUMIFS(RAB!$F$14:$F$176,RAB!$C$14:$C$176,C1186)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SUMIFS(RAB!$F$14:$F$176,RAB!$C$14:$C$176,C1187)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SUMIFS(RAB!$F$14:$F$176,RAB!$C$14:$C$176,C1188)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SUMIFS(RAB!$F$14:$F$176,RAB!$C$14:$C$176,C1189)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SUMIFS(RAB!$F$14:$F$176,RAB!$C$14:$C$176,C1190)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SUMIFS(RAB!$F$14:$F$176,RAB!$C$14:$C$176,C1191)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SUMIFS(RAB!$F$14:$F$176,RAB!$C$14:$C$176,C1192)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SUMIFS(RAB!$F$14:$F$176,RAB!$C$14:$C$176,C1193)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SUMIFS(RAB!$F$14:$F$176,RAB!$C$14:$C$176,C1194)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SUMIFS(RAB!$F$14:$F$176,RAB!$C$14:$C$176,C1195)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SUMIFS(RAB!$F$14:$F$176,RAB!$C$14:$C$176,C1196)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SUMIFS(RAB!$F$14:$F$176,RAB!$C$14:$C$176,C1197)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SUMIFS(RAB!$F$14:$F$176,RAB!$C$14:$C$176,C1198)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SUMIFS(RAB!$F$14:$F$176,RAB!$C$14:$C$176,C1199)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SUMIFS(RAB!$F$14:$F$176,RAB!$C$14:$C$176,C1200)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SUMIFS(RAB!$F$14:$F$176,RAB!$C$14:$C$176,C1201)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SUMIFS(RAB!$F$14:$F$176,RAB!$C$14:$C$176,C1202)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SUMIFS(RAB!$F$14:$F$176,RAB!$C$14:$C$176,C1203)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SUMIFS(RAB!$F$14:$F$176,RAB!$C$14:$C$176,C1204)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SUMIFS(RAB!$F$14:$F$176,RAB!$C$14:$C$176,C1205)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SUMIFS(RAB!$F$14:$F$176,RAB!$C$14:$C$176,C1206)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SUMIFS(RAB!$F$14:$F$176,RAB!$C$14:$C$176,C1207)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SUMIFS(RAB!$F$14:$F$176,RAB!$C$14:$C$176,C1208)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SUMIFS(RAB!$F$14:$F$176,RAB!$C$14:$C$176,C1209)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SUMIFS(RAB!$F$14:$F$176,RAB!$C$14:$C$176,C1210)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SUMIFS(RAB!$F$14:$F$176,RAB!$C$14:$C$176,C1211)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SUMIFS(RAB!$F$14:$F$176,RAB!$C$14:$C$176,C1212)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SUMIFS(RAB!$F$14:$F$176,RAB!$C$14:$C$176,C1213)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SUMIFS(RAB!$F$14:$F$176,RAB!$C$14:$C$176,C1214)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SUMIFS(RAB!$F$14:$F$176,RAB!$C$14:$C$176,C1215)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SUMIFS(RAB!$F$14:$F$176,RAB!$C$14:$C$176,C1216)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SUMIFS(RAB!$F$14:$F$176,RAB!$C$14:$C$176,C1217)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SUMIFS(RAB!$F$14:$F$176,RAB!$C$14:$C$176,C1218)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SUMIFS(RAB!$F$14:$F$176,RAB!$C$14:$C$176,C1219)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SUMIFS(RAB!$F$14:$F$176,RAB!$C$14:$C$176,C1220)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SUMIFS(RAB!$F$14:$F$176,RAB!$C$14:$C$176,C1221)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SUMIFS(RAB!$F$14:$F$176,RAB!$C$14:$C$176,C1222)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SUMIFS(RAB!$F$14:$F$176,RAB!$C$14:$C$176,C1223)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SUMIFS(RAB!$F$14:$F$176,RAB!$C$14:$C$176,C1224)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SUMIFS(RAB!$F$14:$F$176,RAB!$C$14:$C$176,C1225)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SUMIFS(RAB!$F$14:$F$176,RAB!$C$14:$C$176,C1226)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SUMIFS(RAB!$F$14:$F$176,RAB!$C$14:$C$176,C1227)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SUMIFS(RAB!$F$14:$F$176,RAB!$C$14:$C$176,C1228)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SUMIFS(RAB!$F$14:$F$176,RAB!$C$14:$C$176,C1229)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SUMIFS(RAB!$F$14:$F$176,RAB!$C$14:$C$176,C1230)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SUMIFS(RAB!$F$14:$F$176,RAB!$C$14:$C$176,C1231)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SUMIFS(RAB!$F$14:$F$176,RAB!$C$14:$C$176,C1232)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SUMIFS(RAB!$F$14:$F$176,RAB!$C$14:$C$176,C1233)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SUMIFS(RAB!$F$14:$F$176,RAB!$C$14:$C$176,C1234)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SUMIFS(RAB!$F$14:$F$176,RAB!$C$14:$C$176,C1235)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SUMIFS(RAB!$F$14:$F$176,RAB!$C$14:$C$176,C1236)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SUMIFS(RAB!$F$14:$F$176,RAB!$C$14:$C$176,C1237)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SUMIFS(RAB!$F$14:$F$176,RAB!$C$14:$C$176,C1238)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SUMIFS(RAB!$F$14:$F$176,RAB!$C$14:$C$176,C1239)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SUMIFS(RAB!$F$14:$F$176,RAB!$C$14:$C$176,C1240)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SUMIFS(RAB!$F$14:$F$176,RAB!$C$14:$C$176,C1241)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SUMIFS(RAB!$F$14:$F$176,RAB!$C$14:$C$176,C1242)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SUMIFS(RAB!$F$14:$F$176,RAB!$C$14:$C$176,C1243)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SUMIFS(RAB!$F$14:$F$176,RAB!$C$14:$C$176,C1244)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SUMIFS(RAB!$F$14:$F$176,RAB!$C$14:$C$176,C1245)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SUMIFS(RAB!$F$14:$F$176,RAB!$C$14:$C$176,C1246)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SUMIFS(RAB!$F$14:$F$176,RAB!$C$14:$C$176,C1247)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SUMIFS(RAB!$F$14:$F$176,RAB!$C$14:$C$176,C1248)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SUMIFS(RAB!$F$14:$F$176,RAB!$C$14:$C$176,C1249)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SUMIFS(RAB!$F$14:$F$176,RAB!$C$14:$C$176,C1250)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SUMIFS(RAB!$F$14:$F$176,RAB!$C$14:$C$176,C1251)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SUMIFS(RAB!$F$14:$F$176,RAB!$C$14:$C$176,C1252)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SUMIFS(RAB!$F$14:$F$176,RAB!$C$14:$C$176,C1253)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SUMIFS(RAB!$F$14:$F$176,RAB!$C$14:$C$176,C1254)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SUMIFS(RAB!$F$14:$F$176,RAB!$C$14:$C$176,C1255)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SUMIFS(RAB!$F$14:$F$176,RAB!$C$14:$C$176,C1256)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SUMIFS(RAB!$F$14:$F$176,RAB!$C$14:$C$176,C1257)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SUMIFS(RAB!$F$14:$F$176,RAB!$C$14:$C$176,C1258)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SUMIFS(RAB!$F$14:$F$176,RAB!$C$14:$C$176,C1259)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SUMIFS(RAB!$F$14:$F$176,RAB!$C$14:$C$176,C1260)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SUMIFS(RAB!$F$14:$F$176,RAB!$C$14:$C$176,C1261)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SUMIFS(RAB!$F$14:$F$176,RAB!$C$14:$C$176,C1262)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SUMIFS(RAB!$F$14:$F$176,RAB!$C$14:$C$176,C1263)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SUMIFS(RAB!$F$14:$F$176,RAB!$C$14:$C$176,C1264)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SUMIFS(RAB!$F$14:$F$176,RAB!$C$14:$C$176,C1265)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SUMIFS(RAB!$F$14:$F$176,RAB!$C$14:$C$176,C1266)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SUMIFS(RAB!$F$14:$F$176,RAB!$C$14:$C$176,C1267)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SUMIFS(RAB!$F$14:$F$176,RAB!$C$14:$C$176,C1268)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SUMIFS(RAB!$F$14:$F$176,RAB!$C$14:$C$176,C1269)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SUMIFS(RAB!$F$14:$F$176,RAB!$C$14:$C$176,C1270)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SUMIFS(RAB!$F$14:$F$176,RAB!$C$14:$C$176,C1271)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SUMIFS(RAB!$F$14:$F$176,RAB!$C$14:$C$176,C1272)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SUMIFS(RAB!$F$14:$F$176,RAB!$C$14:$C$176,C1273)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SUMIFS(RAB!$F$14:$F$176,RAB!$C$14:$C$176,C1274)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SUMIFS(RAB!$F$14:$F$176,RAB!$C$14:$C$176,C1275)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SUMIFS(RAB!$F$14:$F$176,RAB!$C$14:$C$176,C1276)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SUMIFS(RAB!$F$14:$F$176,RAB!$C$14:$C$176,C1277)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SUMIFS(RAB!$F$14:$F$176,RAB!$C$14:$C$176,C1278)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SUMIFS(RAB!$F$14:$F$176,RAB!$C$14:$C$176,C1279)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SUMIFS(RAB!$F$14:$F$176,RAB!$C$14:$C$176,C1280)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SUMIFS(RAB!$F$14:$F$176,RAB!$C$14:$C$176,C1281)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SUMIFS(RAB!$F$14:$F$176,RAB!$C$14:$C$176,C1282)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SUMIFS(RAB!$F$14:$F$176,RAB!$C$14:$C$176,C1283)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SUMIFS(RAB!$F$14:$F$176,RAB!$C$14:$C$176,C1284)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SUMIFS(RAB!$F$14:$F$176,RAB!$C$14:$C$176,C1285)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SUMIFS(RAB!$F$14:$F$176,RAB!$C$14:$C$176,C1286)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SUMIFS(RAB!$F$14:$F$176,RAB!$C$14:$C$176,C1287)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SUMIFS(RAB!$F$14:$F$176,RAB!$C$14:$C$176,C1288)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SUMIFS(RAB!$F$14:$F$176,RAB!$C$14:$C$176,C1289)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SUMIFS(RAB!$F$14:$F$176,RAB!$C$14:$C$176,C1290)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SUMIFS(RAB!$F$14:$F$176,RAB!$C$14:$C$176,C1291)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SUMIFS(RAB!$F$14:$F$176,RAB!$C$14:$C$176,C1292)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SUMIFS(RAB!$F$14:$F$176,RAB!$C$14:$C$176,C1293)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SUMIFS(RAB!$F$14:$F$176,RAB!$C$14:$C$176,C1294)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SUMIFS(RAB!$F$14:$F$176,RAB!$C$14:$C$176,C1295)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SUMIFS(RAB!$F$14:$F$176,RAB!$C$14:$C$176,C1296)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SUMIFS(RAB!$F$14:$F$176,RAB!$C$14:$C$176,C1297)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SUMIFS(RAB!$F$14:$F$176,RAB!$C$14:$C$176,C1298)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SUMIFS(RAB!$F$14:$F$176,RAB!$C$14:$C$176,C1299)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SUMIFS(RAB!$F$14:$F$176,RAB!$C$14:$C$176,C1300)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SUMIFS(RAB!$F$14:$F$176,RAB!$C$14:$C$176,C1301)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SUMIFS(RAB!$F$14:$F$176,RAB!$C$14:$C$176,C1302)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SUMIFS(RAB!$F$14:$F$176,RAB!$C$14:$C$176,C1303)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SUMIFS(RAB!$F$14:$F$176,RAB!$C$14:$C$176,C1304)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SUMIFS(RAB!$F$14:$F$176,RAB!$C$14:$C$176,C1305)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SUMIFS(RAB!$F$14:$F$176,RAB!$C$14:$C$176,C1306)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SUMIFS(RAB!$F$14:$F$176,RAB!$C$14:$C$176,C1307)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SUMIFS(RAB!$F$14:$F$176,RAB!$C$14:$C$176,C1308)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SUMIFS(RAB!$F$14:$F$176,RAB!$C$14:$C$176,C1309)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SUMIFS(RAB!$F$14:$F$176,RAB!$C$14:$C$176,C1310)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SUMIFS(RAB!$F$14:$F$176,RAB!$C$14:$C$176,C1311)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SUMIFS(RAB!$F$14:$F$176,RAB!$C$14:$C$176,C1312)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SUMIFS(RAB!$F$14:$F$176,RAB!$C$14:$C$176,C1313)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SUMIFS(RAB!$F$14:$F$176,RAB!$C$14:$C$176,C1314)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SUMIFS(RAB!$F$14:$F$176,RAB!$C$14:$C$176,C1315)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SUMIFS(RAB!$F$14:$F$176,RAB!$C$14:$C$176,C1316)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SUMIFS(RAB!$F$14:$F$176,RAB!$C$14:$C$176,C1317)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SUMIFS(RAB!$F$14:$F$176,RAB!$C$14:$C$176,C1318)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SUMIFS(RAB!$F$14:$F$176,RAB!$C$14:$C$176,C1319)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SUMIFS(RAB!$F$14:$F$176,RAB!$C$14:$C$176,C1320)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7" priority="5" operator="equal">
      <formula>0</formula>
    </cfRule>
  </conditionalFormatting>
  <conditionalFormatting sqref="A10:L65536">
    <cfRule type="cellIs" dxfId="56" priority="1" operator="equal">
      <formula>0</formula>
    </cfRule>
  </conditionalFormatting>
  <conditionalFormatting sqref="C12:C711">
    <cfRule type="cellIs" dxfId="55" priority="66" stopIfTrue="1" operator="equal">
      <formula>0</formula>
    </cfRule>
  </conditionalFormatting>
  <conditionalFormatting sqref="E712:E65536">
    <cfRule type="cellIs" dxfId="54" priority="16" stopIfTrue="1" operator="equal">
      <formula>0</formula>
    </cfRule>
  </conditionalFormatting>
  <conditionalFormatting sqref="G1:G11 E6:E11 E1:E3 H7 H10:H11 F10:F711 G712:G65536">
    <cfRule type="cellIs" dxfId="53" priority="69" stopIfTrue="1" operator="equal">
      <formula>0</formula>
    </cfRule>
  </conditionalFormatting>
  <conditionalFormatting sqref="G12:H711">
    <cfRule type="cellIs" dxfId="52" priority="12" stopIfTrue="1" operator="equal">
      <formula>0</formula>
    </cfRule>
  </conditionalFormatting>
  <conditionalFormatting sqref="I7:K7">
    <cfRule type="cellIs" dxfId="51" priority="4" stopIfTrue="1" operator="equal">
      <formula>0</formula>
    </cfRule>
  </conditionalFormatting>
  <conditionalFormatting sqref="I10:L711">
    <cfRule type="cellIs" dxfId="50" priority="2" stopIfTrue="1" operator="equal">
      <formula>0</formula>
    </cfRule>
  </conditionalFormatting>
  <conditionalFormatting sqref="L1:L6">
    <cfRule type="cellIs" dxfId="49" priority="10" operator="equal">
      <formula>0</formula>
    </cfRule>
  </conditionalFormatting>
  <conditionalFormatting sqref="M1:IV1048576 A8:G9">
    <cfRule type="cellIs" dxfId="4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1127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PABRIK ES MOMO MRANAK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MRANAK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6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34800000</v>
      </c>
      <c r="J16" s="42">
        <f t="shared" ca="1" si="3"/>
        <v>0</v>
      </c>
      <c r="K16" s="43">
        <f t="shared" ca="1" si="0"/>
        <v>34800000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14M-350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8609100</v>
      </c>
      <c r="H18" s="42">
        <f t="shared" ca="1" si="1"/>
        <v>0</v>
      </c>
      <c r="I18" s="42">
        <f t="shared" ca="1" si="2"/>
        <v>8609100</v>
      </c>
      <c r="J18" s="42">
        <f t="shared" ca="1" si="3"/>
        <v>0</v>
      </c>
      <c r="K18" s="43">
        <f t="shared" ca="1" si="0"/>
        <v>8609100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9" t="s">
        <v>1008</v>
      </c>
      <c r="D38" s="549"/>
      <c r="E38" s="549"/>
      <c r="F38" s="549"/>
      <c r="G38" s="77" t="s">
        <v>9</v>
      </c>
      <c r="H38" s="55">
        <f ca="1">SUM(H14:H37)</f>
        <v>0</v>
      </c>
      <c r="I38" s="55">
        <f ca="1">SUM(I14:I37)</f>
        <v>49483500</v>
      </c>
      <c r="J38" s="55">
        <f ca="1">SUM(J14:J37)</f>
        <v>0</v>
      </c>
      <c r="K38" s="55">
        <f ca="1">SUM(K14:K37)</f>
        <v>49483500</v>
      </c>
      <c r="L38" s="44"/>
      <c r="R38" s="99"/>
      <c r="S38" s="99"/>
      <c r="T38" s="99"/>
    </row>
    <row r="39" spans="1:20" s="36" customFormat="1">
      <c r="A39" s="30"/>
      <c r="B39" s="56"/>
      <c r="C39" s="550" t="s">
        <v>462</v>
      </c>
      <c r="D39" s="550"/>
      <c r="E39" s="550"/>
      <c r="F39" s="550"/>
      <c r="G39" s="59" t="s">
        <v>9</v>
      </c>
      <c r="H39" s="60">
        <f ca="1">H38*0.1</f>
        <v>0</v>
      </c>
      <c r="I39" s="60">
        <f ca="1">I38*0.1</f>
        <v>4948350</v>
      </c>
      <c r="J39" s="60">
        <f ca="1">J38*0.1</f>
        <v>0</v>
      </c>
      <c r="K39" s="60">
        <f ca="1">K38*0.1</f>
        <v>4948350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54431850</v>
      </c>
      <c r="J40" s="61">
        <f ca="1">SUM(J38:J39)</f>
        <v>0</v>
      </c>
      <c r="K40" s="61">
        <f ca="1">SUM(K38:K39)</f>
        <v>54431850</v>
      </c>
      <c r="L40" s="44"/>
      <c r="R40" s="99"/>
      <c r="S40" s="99"/>
      <c r="T40" s="99"/>
    </row>
    <row r="41" spans="1:20" s="36" customFormat="1">
      <c r="A41" s="30"/>
      <c r="B41" s="542" t="e">
        <f ca="1">"Terbilang : ( "&amp;L42&amp;" Rupiah )"</f>
        <v>#NAME?</v>
      </c>
      <c r="C41" s="543"/>
      <c r="D41" s="543"/>
      <c r="E41" s="543"/>
      <c r="F41" s="543"/>
      <c r="G41" s="543"/>
      <c r="H41" s="543"/>
      <c r="I41" s="543"/>
      <c r="J41" s="543"/>
      <c r="K41" s="544"/>
      <c r="L41" s="44"/>
      <c r="R41" s="58"/>
      <c r="S41" s="58"/>
      <c r="T41" s="58"/>
    </row>
    <row r="42" spans="1:20" s="36" customFormat="1">
      <c r="A42" s="30"/>
      <c r="B42" s="545"/>
      <c r="C42" s="546"/>
      <c r="D42" s="546"/>
      <c r="E42" s="546"/>
      <c r="F42" s="546"/>
      <c r="G42" s="546"/>
      <c r="H42" s="546"/>
      <c r="I42" s="546"/>
      <c r="J42" s="546"/>
      <c r="K42" s="54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0"/>
      <c r="I45" s="540"/>
      <c r="J45" s="541"/>
      <c r="K45" s="54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0"/>
      <c r="I46" s="540"/>
      <c r="J46" s="541"/>
      <c r="K46" s="54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0"/>
      <c r="I47" s="540"/>
      <c r="J47" s="541"/>
      <c r="K47" s="54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0"/>
      <c r="I52" s="540"/>
      <c r="J52" s="541"/>
      <c r="K52" s="54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SUMIFS(RAB!$F$14:$F$176,RAB!$C$14:$C$176,'REKAP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SUMIFS(RAB!$F$14:$F$176,RAB!$C$14:$C$176,'REKAP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SUMIFS(RAB!$F$14:$F$176,RAB!$C$14:$C$176,'REKAP TIANG'!C59)</f>
        <v>6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SUMIFS(RAB!$F$14:$F$176,RAB!$C$14:$C$176,'REKAP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SUMIFS(RAB!$F$14:$F$176,RAB!$C$14:$C$176,'REKAP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SUMIFS(RAB!$F$14:$F$176,RAB!$C$14:$C$176,'REKAP TIANG'!C62)</f>
        <v>1</v>
      </c>
      <c r="E62" s="24">
        <f t="shared" ca="1" si="12"/>
        <v>1</v>
      </c>
      <c r="F62" s="24">
        <f ca="1">IF(D62=0,0,SUM($E$56:E62))</f>
        <v>3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SUMIFS(RAB!$F$14:$F$176,RAB!$C$14:$C$176,'REKAP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SUMIFS(RAB!$F$14:$F$176,RAB!$C$14:$C$176,'REKAP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SUMIFS(RAB!$F$14:$F$176,RAB!$C$14:$C$176,'REKAP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SUMIFS(RAB!$F$14:$F$176,RAB!$C$14:$C$176,'REKAP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SUMIFS(RAB!$F$14:$F$176,RAB!$C$14:$C$176,'REKAP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SUMIFS(RAB!$F$14:$F$176,RAB!$C$14:$C$176,'REKAP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SUMIFS(RAB!$F$14:$F$176,RAB!$C$14:$C$176,'REKAP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SUMIFS(RAB!$F$14:$F$176,RAB!$C$14:$C$176,'REKAP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SUMIFS(RAB!$F$14:$F$176,RAB!$C$14:$C$176,'REKAP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SUMIFS(RAB!$F$14:$F$176,RAB!$C$14:$C$176,'REKAP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SUMIFS(RAB!$F$14:$F$176,RAB!$C$14:$C$176,'REKAP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SUMIFS(RAB!$F$14:$F$176,RAB!$C$14:$C$176,'REKAP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SUMIFS(RAB!$F$14:$F$176,RAB!$C$14:$C$176,'REKAP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SUMIFS(RAB!$F$14:$F$176,RAB!$C$14:$C$176,'REKAP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1034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PABRIK ES MOMO MRANAK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MRANAK KEC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20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3538000</v>
      </c>
      <c r="I21" s="42">
        <f t="shared" ca="1" si="2"/>
        <v>0</v>
      </c>
      <c r="J21" s="42">
        <f t="shared" ca="1" si="3"/>
        <v>0</v>
      </c>
      <c r="K21" s="43">
        <f t="shared" ca="1" si="0"/>
        <v>3538000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1234200</v>
      </c>
      <c r="I22" s="42">
        <f t="shared" ca="1" si="2"/>
        <v>0</v>
      </c>
      <c r="J22" s="42">
        <f t="shared" ca="1" si="3"/>
        <v>0</v>
      </c>
      <c r="K22" s="43">
        <f t="shared" ca="1" si="0"/>
        <v>1234200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1269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18019800</v>
      </c>
      <c r="I23" s="42">
        <f t="shared" ca="1" si="2"/>
        <v>0</v>
      </c>
      <c r="J23" s="42">
        <f t="shared" ca="1" si="3"/>
        <v>0</v>
      </c>
      <c r="K23" s="43">
        <f t="shared" ca="1" si="0"/>
        <v>18019800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159900</v>
      </c>
      <c r="I24" s="42">
        <f t="shared" ca="1" si="2"/>
        <v>0</v>
      </c>
      <c r="J24" s="42">
        <f t="shared" ca="1" si="3"/>
        <v>0</v>
      </c>
      <c r="K24" s="43">
        <f t="shared" ca="1" si="0"/>
        <v>159900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50</v>
      </c>
      <c r="G25" s="41">
        <f ca="1">IF(ISERROR(OFFSET('HARGA SATUAN'!$I$6,MATCH(C25,'HARGA SATUAN'!$C$7:$C$1492,0),0)),"",OFFSET('HARGA SATUAN'!$I$6,MATCH(C25,'HARGA SATUAN'!$C$7:$C$1492,0),0))</f>
        <v>54500</v>
      </c>
      <c r="H25" s="42">
        <f t="shared" ca="1" si="1"/>
        <v>2725000</v>
      </c>
      <c r="I25" s="42">
        <f t="shared" ca="1" si="2"/>
        <v>0</v>
      </c>
      <c r="J25" s="42">
        <f t="shared" ca="1" si="3"/>
        <v>0</v>
      </c>
      <c r="K25" s="43">
        <f t="shared" ca="1" si="0"/>
        <v>2725000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9" t="s">
        <v>1008</v>
      </c>
      <c r="D168" s="549"/>
      <c r="E168" s="549"/>
      <c r="F168" s="549"/>
      <c r="G168" s="77" t="s">
        <v>9</v>
      </c>
      <c r="H168" s="55">
        <f ca="1">SUM(H14:H167)</f>
        <v>102386450</v>
      </c>
      <c r="I168" s="55">
        <f ca="1">SUM(I14:I167)</f>
        <v>0</v>
      </c>
      <c r="J168" s="55">
        <f ca="1">SUM(J14:J167)</f>
        <v>0</v>
      </c>
      <c r="K168" s="55">
        <f ca="1">SUM(K14:K167)</f>
        <v>102386450</v>
      </c>
      <c r="L168" s="44"/>
      <c r="R168" s="99"/>
      <c r="S168" s="99"/>
      <c r="T168" s="99"/>
    </row>
    <row r="169" spans="1:20" s="36" customFormat="1">
      <c r="A169" s="30"/>
      <c r="B169" s="56"/>
      <c r="C169" s="550" t="s">
        <v>462</v>
      </c>
      <c r="D169" s="550"/>
      <c r="E169" s="550"/>
      <c r="F169" s="550"/>
      <c r="G169" s="59" t="s">
        <v>9</v>
      </c>
      <c r="H169" s="60">
        <f ca="1">H168*0.1</f>
        <v>10238645</v>
      </c>
      <c r="I169" s="60">
        <f ca="1">I168*0.1</f>
        <v>0</v>
      </c>
      <c r="J169" s="60">
        <f ca="1">J168*0.1</f>
        <v>0</v>
      </c>
      <c r="K169" s="60">
        <f ca="1">K168*0.1</f>
        <v>10238645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112625095</v>
      </c>
      <c r="I170" s="78">
        <f ca="1">SUM(I168:I169)</f>
        <v>0</v>
      </c>
      <c r="J170" s="61">
        <f ca="1">SUM(J168:J169)</f>
        <v>0</v>
      </c>
      <c r="K170" s="61">
        <f ca="1">SUM(K168:K169)</f>
        <v>112625095</v>
      </c>
      <c r="L170" s="44"/>
      <c r="R170" s="99"/>
      <c r="S170" s="99"/>
      <c r="T170" s="99"/>
    </row>
    <row r="171" spans="1:20" s="36" customFormat="1">
      <c r="A171" s="30"/>
      <c r="B171" s="542" t="e">
        <f ca="1">"Terbilang : ( "&amp;L172&amp;" Rupiah )"</f>
        <v>#NAME?</v>
      </c>
      <c r="C171" s="543"/>
      <c r="D171" s="543"/>
      <c r="E171" s="543"/>
      <c r="F171" s="543"/>
      <c r="G171" s="543"/>
      <c r="H171" s="543"/>
      <c r="I171" s="543"/>
      <c r="J171" s="543"/>
      <c r="K171" s="544"/>
      <c r="L171" s="44"/>
      <c r="R171" s="58"/>
      <c r="S171" s="58"/>
      <c r="T171" s="58"/>
    </row>
    <row r="172" spans="1:20" s="36" customFormat="1">
      <c r="A172" s="30"/>
      <c r="B172" s="545"/>
      <c r="C172" s="546"/>
      <c r="D172" s="546"/>
      <c r="E172" s="546"/>
      <c r="F172" s="546"/>
      <c r="G172" s="546"/>
      <c r="H172" s="546"/>
      <c r="I172" s="546"/>
      <c r="J172" s="546"/>
      <c r="K172" s="54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0"/>
      <c r="I175" s="540"/>
      <c r="J175" s="541"/>
      <c r="K175" s="54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0"/>
      <c r="I176" s="540"/>
      <c r="J176" s="541"/>
      <c r="K176" s="54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0"/>
      <c r="I177" s="540"/>
      <c r="J177" s="541"/>
      <c r="K177" s="54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0"/>
      <c r="I182" s="540"/>
      <c r="J182" s="541"/>
      <c r="K182" s="54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SUMIFS(RAB!$F$14:$F$176,RAB!$C$14:$C$176,C224)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SUMIFS(RAB!$F$14:$F$176,RAB!$C$14:$C$176,C225)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SUMIFS(RAB!$F$14:$F$176,RAB!$C$14:$C$176,C226)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SUMIFS(RAB!$F$14:$F$176,RAB!$C$14:$C$176,C227)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SUMIFS(RAB!$F$14:$F$176,RAB!$C$14:$C$176,C228)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SUMIFS(RAB!$F$14:$F$176,RAB!$C$14:$C$176,C229)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SUMIFS(RAB!$F$14:$F$176,RAB!$C$14:$C$176,C230)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SUMIFS(RAB!$F$14:$F$176,RAB!$C$14:$C$176,C231)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SUMIFS(RAB!$F$14:$F$176,RAB!$C$14:$C$176,C232)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SUMIFS(RAB!$F$14:$F$176,RAB!$C$14:$C$176,C233)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SUMIFS(RAB!$F$14:$F$176,RAB!$C$14:$C$176,C234)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SUMIFS(RAB!$F$14:$F$176,RAB!$C$14:$C$176,C235)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SUMIFS(RAB!$F$14:$F$176,RAB!$C$14:$C$176,C236)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SUMIFS(RAB!$F$14:$F$176,RAB!$C$14:$C$176,C237)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SUMIFS(RAB!$F$14:$F$176,RAB!$C$14:$C$176,C238)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SUMIFS(RAB!$F$14:$F$176,RAB!$C$14:$C$176,C239)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SUMIFS(RAB!$F$14:$F$176,RAB!$C$14:$C$176,C240)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SUMIFS(RAB!$F$14:$F$176,RAB!$C$14:$C$176,C241)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SUMIFS(RAB!$F$14:$F$176,RAB!$C$14:$C$176,C242)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SUMIFS(RAB!$F$14:$F$176,RAB!$C$14:$C$176,C243)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SUMIFS(RAB!$F$14:$F$176,RAB!$C$14:$C$176,C244)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SUMIFS(RAB!$F$14:$F$176,RAB!$C$14:$C$176,C245)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SUMIFS(RAB!$F$14:$F$176,RAB!$C$14:$C$176,C246)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SUMIFS(RAB!$F$14:$F$176,RAB!$C$14:$C$176,C247)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SUMIFS(RAB!$F$14:$F$176,RAB!$C$14:$C$176,C248)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SUMIFS(RAB!$F$14:$F$176,RAB!$C$14:$C$176,C249)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SUMIFS(RAB!$F$14:$F$176,RAB!$C$14:$C$176,C250)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SUMIFS(RAB!$F$14:$F$176,RAB!$C$14:$C$176,C251)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SUMIFS(RAB!$F$14:$F$176,RAB!$C$14:$C$176,C252)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SUMIFS(RAB!$F$14:$F$176,RAB!$C$14:$C$176,C253)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SUMIFS(RAB!$F$14:$F$176,RAB!$C$14:$C$176,C254)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SUMIFS(RAB!$F$14:$F$176,RAB!$C$14:$C$176,C255)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SUMIFS(RAB!$F$14:$F$176,RAB!$C$14:$C$176,C256)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SUMIFS(RAB!$F$14:$F$176,RAB!$C$14:$C$176,C257)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SUMIFS(RAB!$F$14:$F$176,RAB!$C$14:$C$176,C258)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SUMIFS(RAB!$F$14:$F$176,RAB!$C$14:$C$176,C259)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SUMIFS(RAB!$F$14:$F$176,RAB!$C$14:$C$176,C260)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SUMIFS(RAB!$F$14:$F$176,RAB!$C$14:$C$176,C261)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SUMIFS(RAB!$F$14:$F$176,RAB!$C$14:$C$176,C262)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SUMIFS(RAB!$F$14:$F$176,RAB!$C$14:$C$176,C263)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SUMIFS(RAB!$F$14:$F$176,RAB!$C$14:$C$176,C264)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SUMIFS(RAB!$F$14:$F$176,RAB!$C$14:$C$176,C265)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SUMIFS(RAB!$F$14:$F$176,RAB!$C$14:$C$176,C266)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SUMIFS(RAB!$F$14:$F$176,RAB!$C$14:$C$176,C267)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SUMIFS(RAB!$F$14:$F$176,RAB!$C$14:$C$176,C268)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SUMIFS(RAB!$F$14:$F$176,RAB!$C$14:$C$176,C269)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SUMIFS(RAB!$F$14:$F$176,RAB!$C$14:$C$176,C270)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SUMIFS(RAB!$F$14:$F$176,RAB!$C$14:$C$176,C271)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SUMIFS(RAB!$F$14:$F$176,RAB!$C$14:$C$176,C272)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SUMIFS(RAB!$F$14:$F$176,RAB!$C$14:$C$176,C273)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SUMIFS(RAB!$F$14:$F$176,RAB!$C$14:$C$176,C274)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SUMIFS(RAB!$F$14:$F$176,RAB!$C$14:$C$176,C275)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SUMIFS(RAB!$F$14:$F$176,RAB!$C$14:$C$176,C276)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SUMIFS(RAB!$F$14:$F$176,RAB!$C$14:$C$176,C277)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SUMIFS(RAB!$F$14:$F$176,RAB!$C$14:$C$176,C278)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SUMIFS(RAB!$F$14:$F$176,RAB!$C$14:$C$176,C279)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SUMIFS(RAB!$F$14:$F$176,RAB!$C$14:$C$176,C280)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SUMIFS(RAB!$F$14:$F$176,RAB!$C$14:$C$176,C281)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SUMIFS(RAB!$F$14:$F$176,RAB!$C$14:$C$176,C282)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SUMIFS(RAB!$F$14:$F$176,RAB!$C$14:$C$176,C283)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SUMIFS(RAB!$F$14:$F$176,RAB!$C$14:$C$176,C284)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SUMIFS(RAB!$F$14:$F$176,RAB!$C$14:$C$176,C285)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SUMIFS(RAB!$F$14:$F$176,RAB!$C$14:$C$176,C286)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SUMIFS(RAB!$F$14:$F$176,RAB!$C$14:$C$176,C287)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SUMIFS(RAB!$F$14:$F$176,RAB!$C$14:$C$176,C288)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SUMIFS(RAB!$F$14:$F$176,RAB!$C$14:$C$176,C289)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SUMIFS(RAB!$F$14:$F$176,RAB!$C$14:$C$176,C290)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SUMIFS(RAB!$F$14:$F$176,RAB!$C$14:$C$176,C291)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SUMIFS(RAB!$F$14:$F$176,RAB!$C$14:$C$176,C292)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SUMIFS(RAB!$F$14:$F$176,RAB!$C$14:$C$176,C293)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SUMIFS(RAB!$F$14:$F$176,RAB!$C$14:$C$176,C294)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SUMIFS(RAB!$F$14:$F$176,RAB!$C$14:$C$176,C295)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SUMIFS(RAB!$F$14:$F$176,RAB!$C$14:$C$176,C296)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SUMIFS(RAB!$F$14:$F$176,RAB!$C$14:$C$176,C297)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SUMIFS(RAB!$F$14:$F$176,RAB!$C$14:$C$176,C298)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SUMIFS(RAB!$F$14:$F$176,RAB!$C$14:$C$176,C299)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SUMIFS(RAB!$F$14:$F$176,RAB!$C$14:$C$176,C300)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SUMIFS(RAB!$F$14:$F$176,RAB!$C$14:$C$176,C301)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SUMIFS(RAB!$F$14:$F$176,RAB!$C$14:$C$176,C302)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SUMIFS(RAB!$F$14:$F$176,RAB!$C$14:$C$176,C303)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SUMIFS(RAB!$F$14:$F$176,RAB!$C$14:$C$176,C304)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SUMIFS(RAB!$F$14:$F$176,RAB!$C$14:$C$176,C305)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SUMIFS(RAB!$F$14:$F$176,RAB!$C$14:$C$176,C306)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SUMIFS(RAB!$F$14:$F$176,RAB!$C$14:$C$176,C307)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SUMIFS(RAB!$F$14:$F$176,RAB!$C$14:$C$176,C308)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SUMIFS(RAB!$F$14:$F$176,RAB!$C$14:$C$176,C309)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SUMIFS(RAB!$F$14:$F$176,RAB!$C$14:$C$176,C310)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SUMIFS(RAB!$F$14:$F$176,RAB!$C$14:$C$176,C311)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SUMIFS(RAB!$F$14:$F$176,RAB!$C$14:$C$176,C312)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SUMIFS(RAB!$F$14:$F$176,RAB!$C$14:$C$176,C313)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SUMIFS(RAB!$F$14:$F$176,RAB!$C$14:$C$176,C314)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SUMIFS(RAB!$F$14:$F$176,RAB!$C$14:$C$176,C315)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SUMIFS(RAB!$F$14:$F$176,RAB!$C$14:$C$176,C316)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SUMIFS(RAB!$F$14:$F$176,RAB!$C$14:$C$176,C317)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SUMIFS(RAB!$F$14:$F$176,RAB!$C$14:$C$176,C318)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SUMIFS(RAB!$F$14:$F$176,RAB!$C$14:$C$176,C319)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SUMIFS(RAB!$F$14:$F$176,RAB!$C$14:$C$176,C320)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SUMIFS(RAB!$F$14:$F$176,RAB!$C$14:$C$176,C321)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SUMIFS(RAB!$F$14:$F$176,RAB!$C$14:$C$176,C322)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SUMIFS(RAB!$F$14:$F$176,RAB!$C$14:$C$176,C323)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SUMIFS(RAB!$F$14:$F$176,RAB!$C$14:$C$176,C324)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SUMIFS(RAB!$F$14:$F$176,RAB!$C$14:$C$176,C325)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SUMIFS(RAB!$F$14:$F$176,RAB!$C$14:$C$176,C326)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SUMIFS(RAB!$F$14:$F$176,RAB!$C$14:$C$176,C327)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SUMIFS(RAB!$F$14:$F$176,RAB!$C$14:$C$176,C328)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SUMIFS(RAB!$F$14:$F$176,RAB!$C$14:$C$176,C329)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SUMIFS(RAB!$F$14:$F$176,RAB!$C$14:$C$176,C330)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SUMIFS(RAB!$F$14:$F$176,RAB!$C$14:$C$176,C331)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SUMIFS(RAB!$F$14:$F$176,RAB!$C$14:$C$176,C332)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SUMIFS(RAB!$F$14:$F$176,RAB!$C$14:$C$176,C333)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SUMIFS(RAB!$F$14:$F$176,RAB!$C$14:$C$176,C334)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SUMIFS(RAB!$F$14:$F$176,RAB!$C$14:$C$176,C335)</f>
        <v>20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SUMIFS(RAB!$F$14:$F$176,RAB!$C$14:$C$176,C336)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SUMIFS(RAB!$F$14:$F$176,RAB!$C$14:$C$176,C337)</f>
        <v>6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SUMIFS(RAB!$F$14:$F$176,RAB!$C$14:$C$176,C338)</f>
        <v>1269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SUMIFS(RAB!$F$14:$F$176,RAB!$C$14:$C$176,C339)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SUMIFS(RAB!$F$14:$F$176,RAB!$C$14:$C$176,C340)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SUMIFS(RAB!$F$14:$F$176,RAB!$C$14:$C$176,C341)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SUMIFS(RAB!$F$14:$F$176,RAB!$C$14:$C$176,C342)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SUMIFS(RAB!$F$14:$F$176,RAB!$C$14:$C$176,C343)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SUMIFS(RAB!$F$14:$F$176,RAB!$C$14:$C$176,C344)</f>
        <v>3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SUMIFS(RAB!$F$14:$F$176,RAB!$C$14:$C$176,C345)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SUMIFS(RAB!$F$14:$F$176,RAB!$C$14:$C$176,C346)</f>
        <v>50</v>
      </c>
      <c r="E346" s="24">
        <f t="shared" ca="1" si="22"/>
        <v>1</v>
      </c>
      <c r="F346" s="24">
        <f ca="1">IF(D346=0,0,SUM($E$223:E346))</f>
        <v>10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SUMIFS(RAB!$F$14:$F$176,RAB!$C$14:$C$176,C347)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SUMIFS(RAB!$F$14:$F$176,RAB!$C$14:$C$176,C348)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SUMIFS(RAB!$F$14:$F$176,RAB!$C$14:$C$176,C349)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SUMIFS(RAB!$F$14:$F$176,RAB!$C$14:$C$176,C350)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SUMIFS(RAB!$F$14:$F$176,RAB!$C$14:$C$176,C351)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SUMIFS(RAB!$F$14:$F$176,RAB!$C$14:$C$176,C352)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SUMIFS(RAB!$F$14:$F$176,RAB!$C$14:$C$176,C353)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SUMIFS(RAB!$F$14:$F$176,RAB!$C$14:$C$176,C354)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SUMIFS(RAB!$F$14:$F$176,RAB!$C$14:$C$176,C355)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SUMIFS(RAB!$F$14:$F$176,RAB!$C$14:$C$176,C356)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SUMIFS(RAB!$F$14:$F$176,RAB!$C$14:$C$176,C357)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SUMIFS(RAB!$F$14:$F$176,RAB!$C$14:$C$176,C358)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SUMIFS(RAB!$F$14:$F$176,RAB!$C$14:$C$176,C359)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SUMIFS(RAB!$F$14:$F$176,RAB!$C$14:$C$176,C360)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SUMIFS(RAB!$F$14:$F$176,RAB!$C$14:$C$176,C361)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SUMIFS(RAB!$F$14:$F$176,RAB!$C$14:$C$176,C362)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SUMIFS(RAB!$F$14:$F$176,RAB!$C$14:$C$176,C363)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SUMIFS(RAB!$F$14:$F$176,RAB!$C$14:$C$176,C364)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SUMIFS(RAB!$F$14:$F$176,RAB!$C$14:$C$176,C365)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SUMIFS(RAB!$F$14:$F$176,RAB!$C$14:$C$176,C366)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SUMIFS(RAB!$F$14:$F$176,RAB!$C$14:$C$176,C367)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SUMIFS(RAB!$F$14:$F$176,RAB!$C$14:$C$176,C368)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SUMIFS(RAB!$F$14:$F$176,RAB!$C$14:$C$176,C369)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SUMIFS(RAB!$F$14:$F$176,RAB!$C$14:$C$176,C370)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SUMIFS(RAB!$F$14:$F$176,RAB!$C$14:$C$176,C371)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SUMIFS(RAB!$F$14:$F$176,RAB!$C$14:$C$176,C372)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SUMIFS(RAB!$F$14:$F$176,RAB!$C$14:$C$176,C373)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5" priority="5" operator="equal">
      <formula>0</formula>
    </cfRule>
  </conditionalFormatting>
  <conditionalFormatting sqref="C16:C165">
    <cfRule type="cellIs" dxfId="44" priority="4" stopIfTrue="1" operator="equal">
      <formula>0</formula>
    </cfRule>
  </conditionalFormatting>
  <conditionalFormatting sqref="C16:E165">
    <cfRule type="cellIs" dxfId="43" priority="1" operator="equal">
      <formula>0</formula>
    </cfRule>
  </conditionalFormatting>
  <conditionalFormatting sqref="D224:F373">
    <cfRule type="cellIs" dxfId="42" priority="8" operator="equal">
      <formula>0</formula>
    </cfRule>
  </conditionalFormatting>
  <conditionalFormatting sqref="E1:E3 G1:G115 E6:E15 H12:I12 N13 F14:F15 H14:K115 E166:K166 G166:G223 E167:F167 H167:K167">
    <cfRule type="cellIs" dxfId="41" priority="43" stopIfTrue="1" operator="equal">
      <formula>0</formula>
    </cfRule>
  </conditionalFormatting>
  <conditionalFormatting sqref="E171:E65536">
    <cfRule type="cellIs" dxfId="40" priority="9" stopIfTrue="1" operator="equal">
      <formula>0</formula>
    </cfRule>
  </conditionalFormatting>
  <conditionalFormatting sqref="G224">
    <cfRule type="cellIs" dxfId="39" priority="10" operator="equal">
      <formula>0</formula>
    </cfRule>
  </conditionalFormatting>
  <conditionalFormatting sqref="G225:G65536">
    <cfRule type="cellIs" dxfId="38" priority="14" stopIfTrue="1" operator="equal">
      <formula>0</formula>
    </cfRule>
  </conditionalFormatting>
  <conditionalFormatting sqref="R14:T166 G116:K165">
    <cfRule type="cellIs" dxfId="3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9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7" t="s">
        <v>41</v>
      </c>
      <c r="C2" s="56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8" t="s">
        <v>23</v>
      </c>
      <c r="C4" s="569" t="s">
        <v>1012</v>
      </c>
      <c r="D4" s="569" t="s">
        <v>42</v>
      </c>
      <c r="E4" s="568" t="s">
        <v>43</v>
      </c>
      <c r="F4" s="108" t="s">
        <v>1612</v>
      </c>
      <c r="G4" s="108" t="s">
        <v>1611</v>
      </c>
      <c r="H4" s="56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8"/>
      <c r="C5" s="569"/>
      <c r="D5" s="569"/>
      <c r="E5" s="568"/>
      <c r="F5" s="93"/>
      <c r="G5" s="93"/>
      <c r="H5" s="566"/>
      <c r="I5" s="193" t="s">
        <v>1611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1555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1556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1557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1558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1559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1560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1561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1562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1563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1564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1565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1566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1567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1568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1569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1570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1571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1572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1573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1574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1575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1576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1577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1578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1579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1580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1581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1582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1583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1584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1585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1586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1587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1588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1589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1590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1591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1592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1593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1594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1595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1596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1597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1598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1599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1600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1601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1602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1603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1604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1605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1606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1607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1608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1609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1610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1">
        <v>2740</v>
      </c>
      <c r="G1433" s="49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6" priority="138" operator="equal">
      <formula>0</formula>
    </cfRule>
  </conditionalFormatting>
  <conditionalFormatting sqref="B8:C135">
    <cfRule type="cellIs" dxfId="35" priority="51" operator="equal">
      <formula>0</formula>
    </cfRule>
  </conditionalFormatting>
  <conditionalFormatting sqref="B150:G1493">
    <cfRule type="cellIs" dxfId="34" priority="1" operator="equal">
      <formula>0</formula>
    </cfRule>
  </conditionalFormatting>
  <conditionalFormatting sqref="C143:G149">
    <cfRule type="cellIs" dxfId="33" priority="5" operator="equal">
      <formula>0</formula>
    </cfRule>
  </conditionalFormatting>
  <conditionalFormatting sqref="D9:G142">
    <cfRule type="cellIs" dxfId="32" priority="11" operator="equal">
      <formula>0</formula>
    </cfRule>
  </conditionalFormatting>
  <conditionalFormatting sqref="D1:IV5 A1:C7 D6:K6 H1455:IV1457 H1458:XFD1485 H1486:H1493 I1486:XFD1494 A1494:H1494 A1495:XFD65536">
    <cfRule type="cellIs" dxfId="31" priority="163" operator="equal">
      <formula>0</formula>
    </cfRule>
  </conditionalFormatting>
  <conditionalFormatting sqref="D7:IV8 C136:C142 B136:B149">
    <cfRule type="cellIs" dxfId="30" priority="62" operator="equal">
      <formula>0</formula>
    </cfRule>
  </conditionalFormatting>
  <conditionalFormatting sqref="H9:H1418">
    <cfRule type="cellIs" dxfId="29" priority="129" operator="equal">
      <formula>0</formula>
    </cfRule>
  </conditionalFormatting>
  <conditionalFormatting sqref="H1419:I1454">
    <cfRule type="cellIs" dxfId="28" priority="128" operator="equal">
      <formula>0</formula>
    </cfRule>
  </conditionalFormatting>
  <conditionalFormatting sqref="I108:I1418">
    <cfRule type="cellIs" dxfId="27" priority="125" operator="equal">
      <formula>0</formula>
    </cfRule>
  </conditionalFormatting>
  <conditionalFormatting sqref="J108:IV1454">
    <cfRule type="cellIs" dxfId="26" priority="139" operator="equal">
      <formula>0</formula>
    </cfRule>
  </conditionalFormatting>
  <conditionalFormatting sqref="M6:IV6">
    <cfRule type="cellIs" dxfId="2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N17" sqref="N17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4" t="s">
        <v>1454</v>
      </c>
      <c r="C2" s="574"/>
      <c r="D2" s="574"/>
      <c r="E2" s="57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9" t="s">
        <v>1535</v>
      </c>
      <c r="C4" s="580"/>
      <c r="D4" s="580"/>
      <c r="E4" s="581"/>
      <c r="F4" s="446"/>
      <c r="G4" s="446"/>
      <c r="H4" s="447"/>
      <c r="I4" s="606" t="s">
        <v>1536</v>
      </c>
      <c r="J4" s="607"/>
      <c r="K4" s="607"/>
      <c r="L4" s="608"/>
    </row>
    <row r="5" spans="1:12" ht="34.5" customHeight="1">
      <c r="A5" s="204"/>
      <c r="B5" s="449" t="s">
        <v>1379</v>
      </c>
      <c r="C5" s="277" t="s">
        <v>9</v>
      </c>
      <c r="D5" s="575" t="str">
        <f>DATA!D14</f>
        <v>PABRIK ES MOMO MRANAK</v>
      </c>
      <c r="E5" s="576"/>
      <c r="F5" s="208"/>
      <c r="G5" s="208"/>
      <c r="I5" s="450" t="s">
        <v>1379</v>
      </c>
      <c r="J5" s="277" t="s">
        <v>9</v>
      </c>
      <c r="K5" s="609" t="str">
        <f>D5</f>
        <v>PABRIK ES MOMO MRANAK</v>
      </c>
      <c r="L5" s="610"/>
    </row>
    <row r="6" spans="1:12" ht="31.5" customHeight="1">
      <c r="A6" s="204"/>
      <c r="B6" s="449" t="s">
        <v>1532</v>
      </c>
      <c r="C6" s="277" t="s">
        <v>9</v>
      </c>
      <c r="D6" s="584">
        <f>DATA!D17*1000</f>
        <v>0</v>
      </c>
      <c r="E6" s="585"/>
      <c r="F6" s="208"/>
      <c r="G6" s="208"/>
      <c r="I6" s="450" t="s">
        <v>1533</v>
      </c>
      <c r="J6" s="277" t="s">
        <v>9</v>
      </c>
      <c r="K6" s="611">
        <f>DATA!D20*1000</f>
        <v>53000</v>
      </c>
      <c r="L6" s="612"/>
    </row>
    <row r="7" spans="1:12" ht="30.75" customHeight="1">
      <c r="A7" s="204"/>
      <c r="B7" s="449" t="s">
        <v>1441</v>
      </c>
      <c r="C7" s="277" t="s">
        <v>9</v>
      </c>
      <c r="D7" s="582">
        <f>DATA!D18</f>
        <v>1</v>
      </c>
      <c r="E7" s="583"/>
      <c r="F7" s="448" t="s">
        <v>1453</v>
      </c>
      <c r="I7" s="450" t="s">
        <v>1441</v>
      </c>
      <c r="J7" s="277" t="s">
        <v>9</v>
      </c>
      <c r="K7" s="613">
        <f>DATA!D21</f>
        <v>3</v>
      </c>
      <c r="L7" s="614"/>
    </row>
    <row r="8" spans="1:12" ht="51" customHeight="1">
      <c r="A8" s="204"/>
      <c r="B8" s="449" t="s">
        <v>1442</v>
      </c>
      <c r="C8" s="277" t="s">
        <v>9</v>
      </c>
      <c r="D8" s="582">
        <f>DATA!D19</f>
        <v>220</v>
      </c>
      <c r="E8" s="583"/>
      <c r="F8" s="448" t="s">
        <v>1453</v>
      </c>
      <c r="G8" s="443">
        <v>220</v>
      </c>
      <c r="I8" s="450" t="s">
        <v>1442</v>
      </c>
      <c r="J8" s="277" t="s">
        <v>9</v>
      </c>
      <c r="K8" s="613">
        <f>DATA!D22</f>
        <v>380</v>
      </c>
      <c r="L8" s="614"/>
    </row>
    <row r="9" spans="1:12" ht="30" customHeight="1" thickBot="1">
      <c r="A9" s="204"/>
      <c r="B9" s="455" t="s">
        <v>1544</v>
      </c>
      <c r="C9" s="445" t="s">
        <v>9</v>
      </c>
      <c r="D9" s="577">
        <f>IF(D7=1,D6/(380/3^0.5),(D6/(380*3^0.5)))</f>
        <v>0</v>
      </c>
      <c r="E9" s="578"/>
      <c r="F9" s="207"/>
      <c r="G9" s="444">
        <v>380</v>
      </c>
      <c r="I9" s="456" t="s">
        <v>1544</v>
      </c>
      <c r="J9" s="445" t="s">
        <v>9</v>
      </c>
      <c r="K9" s="615">
        <f>IF(K7=1,K6/(380/3^0.5),(K6/(380*3^0.5)))</f>
        <v>80.525169123816227</v>
      </c>
      <c r="L9" s="616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586"/>
      <c r="E12" s="587"/>
      <c r="F12" s="208"/>
      <c r="G12" s="208"/>
      <c r="I12" s="472" t="s">
        <v>1537</v>
      </c>
      <c r="J12" s="473" t="s">
        <v>9</v>
      </c>
      <c r="K12" s="586"/>
      <c r="L12" s="587"/>
    </row>
    <row r="13" spans="1:12" ht="31.5" customHeight="1">
      <c r="A13" s="204"/>
      <c r="B13" s="480" t="s">
        <v>1380</v>
      </c>
      <c r="C13" s="460" t="s">
        <v>9</v>
      </c>
      <c r="D13" s="590"/>
      <c r="E13" s="591"/>
      <c r="F13" s="208"/>
      <c r="G13" s="208"/>
      <c r="I13" s="474" t="s">
        <v>1380</v>
      </c>
      <c r="J13" s="460" t="s">
        <v>9</v>
      </c>
      <c r="K13" s="590"/>
      <c r="L13" s="591"/>
    </row>
    <row r="14" spans="1:12" ht="30.75" customHeight="1">
      <c r="A14" s="204"/>
      <c r="B14" s="480" t="s">
        <v>1538</v>
      </c>
      <c r="C14" s="460" t="s">
        <v>9</v>
      </c>
      <c r="D14" s="598"/>
      <c r="E14" s="599"/>
      <c r="F14" s="448" t="s">
        <v>1453</v>
      </c>
      <c r="G14" s="452">
        <v>50</v>
      </c>
      <c r="I14" s="474" t="s">
        <v>1538</v>
      </c>
      <c r="J14" s="460" t="s">
        <v>9</v>
      </c>
      <c r="K14" s="600">
        <v>50</v>
      </c>
      <c r="L14" s="601"/>
    </row>
    <row r="15" spans="1:12" ht="57" customHeight="1">
      <c r="A15" s="204"/>
      <c r="B15" s="480" t="s">
        <v>1441</v>
      </c>
      <c r="C15" s="460" t="s">
        <v>9</v>
      </c>
      <c r="D15" s="466"/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1</v>
      </c>
      <c r="L15" s="475"/>
    </row>
    <row r="16" spans="1:12" ht="44.25" customHeight="1">
      <c r="A16" s="204"/>
      <c r="B16" s="480" t="s">
        <v>1548</v>
      </c>
      <c r="C16" s="460"/>
      <c r="D16" s="602">
        <f>50</f>
        <v>50</v>
      </c>
      <c r="E16" s="603"/>
      <c r="F16" s="448"/>
      <c r="G16" s="452">
        <v>160</v>
      </c>
      <c r="I16" s="474" t="s">
        <v>1540</v>
      </c>
      <c r="J16" s="460" t="s">
        <v>9</v>
      </c>
      <c r="K16" s="604">
        <f>K9</f>
        <v>80.525169123816227</v>
      </c>
      <c r="L16" s="605"/>
    </row>
    <row r="17" spans="1:12" ht="34.5" customHeight="1">
      <c r="A17" s="204"/>
      <c r="B17" s="480" t="s">
        <v>1541</v>
      </c>
      <c r="C17" s="460" t="s">
        <v>9</v>
      </c>
      <c r="D17" s="592">
        <f>IF(D15=1,D14/(20/3^0.5),(D14/(20*3^0.5)))</f>
        <v>0</v>
      </c>
      <c r="E17" s="593"/>
      <c r="F17" s="448" t="s">
        <v>1453</v>
      </c>
      <c r="G17" s="453">
        <v>200</v>
      </c>
      <c r="I17" s="474" t="s">
        <v>1541</v>
      </c>
      <c r="J17" s="460" t="s">
        <v>9</v>
      </c>
      <c r="K17" s="596">
        <f>IF(K15=1,K14/(20/3^0.5),(K14/(20*3^0.5)))</f>
        <v>4.3301270189221928</v>
      </c>
      <c r="L17" s="597"/>
    </row>
    <row r="18" spans="1:12" ht="34.5" customHeight="1">
      <c r="A18" s="204"/>
      <c r="B18" s="480" t="s">
        <v>1542</v>
      </c>
      <c r="C18" s="460" t="s">
        <v>9</v>
      </c>
      <c r="D18" s="592">
        <f>IF(D15=1,D14/(380/3^0.5),(D14/(380*3^0.5)))*1000</f>
        <v>0</v>
      </c>
      <c r="E18" s="593"/>
      <c r="F18" s="448" t="s">
        <v>1453</v>
      </c>
      <c r="G18" s="453">
        <v>250</v>
      </c>
      <c r="I18" s="474" t="s">
        <v>1542</v>
      </c>
      <c r="J18" s="460" t="s">
        <v>9</v>
      </c>
      <c r="K18" s="596">
        <f>IF(K15=1,K14/(380/3^0.5),(K14/(380*3^0.5)))*1000</f>
        <v>227.90142204853646</v>
      </c>
      <c r="L18" s="597"/>
    </row>
    <row r="19" spans="1:12" ht="30" customHeight="1">
      <c r="A19" s="204"/>
      <c r="B19" s="481" t="s">
        <v>1534</v>
      </c>
      <c r="C19" s="459" t="s">
        <v>9</v>
      </c>
      <c r="D19" s="592">
        <f>IF(D15=1,D14/(380/3^0.5),(D14/(380*3^0.5)))</f>
        <v>0</v>
      </c>
      <c r="E19" s="593"/>
      <c r="F19" s="207"/>
      <c r="G19" s="444"/>
      <c r="I19" s="476" t="s">
        <v>1534</v>
      </c>
      <c r="J19" s="459" t="s">
        <v>9</v>
      </c>
      <c r="K19" s="596">
        <f>IF(K15=1,K14/(380/3^0.5),(K14/(380*3^0.5)))</f>
        <v>0.22790142204853647</v>
      </c>
      <c r="L19" s="597"/>
    </row>
    <row r="20" spans="1:12" ht="30" customHeight="1" thickBot="1">
      <c r="A20" s="204"/>
      <c r="B20" s="482" t="s">
        <v>1543</v>
      </c>
      <c r="C20" s="478" t="s">
        <v>9</v>
      </c>
      <c r="D20" s="588" t="e">
        <f>D16/D18</f>
        <v>#DIV/0!</v>
      </c>
      <c r="E20" s="589"/>
      <c r="F20" s="207"/>
      <c r="G20" s="444"/>
      <c r="I20" s="477" t="s">
        <v>1534</v>
      </c>
      <c r="J20" s="478" t="s">
        <v>9</v>
      </c>
      <c r="K20" s="594">
        <f>K16/K18</f>
        <v>0.35333333333333339</v>
      </c>
      <c r="L20" s="595"/>
    </row>
    <row r="21" spans="1:12" ht="9.75" customHeight="1">
      <c r="A21" s="204"/>
      <c r="B21" s="467" t="s">
        <v>1543</v>
      </c>
      <c r="C21" s="468" t="s">
        <v>9</v>
      </c>
      <c r="D21" s="573">
        <v>1</v>
      </c>
      <c r="E21" s="573"/>
      <c r="F21" s="469"/>
      <c r="G21" s="470"/>
      <c r="H21" s="471"/>
      <c r="I21" s="467" t="s">
        <v>1534</v>
      </c>
      <c r="J21" s="468" t="s">
        <v>9</v>
      </c>
      <c r="K21" s="573">
        <v>1</v>
      </c>
      <c r="L21" s="573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I23" sqref="I23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7"/>
      <c r="C1" s="617"/>
      <c r="D1" s="61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4">
        <v>1084.1250458865841</v>
      </c>
      <c r="F5" s="489" t="s">
        <v>1614</v>
      </c>
      <c r="K5" s="48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51357000</v>
      </c>
    </row>
    <row r="10" spans="2:11" ht="20.100000000000001" customHeight="1">
      <c r="B10" s="291" t="s">
        <v>1446</v>
      </c>
      <c r="C10" s="292" t="s">
        <v>9</v>
      </c>
      <c r="D10" s="298">
        <f ca="1">RAB!K182</f>
        <v>208532958.61635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4170659.1723270002</v>
      </c>
    </row>
    <row r="12" spans="2:11" ht="9" customHeight="1">
      <c r="B12" s="618"/>
      <c r="C12" s="618"/>
      <c r="D12" s="618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1637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1620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53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969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16" sqref="I16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9" t="s">
        <v>1357</v>
      </c>
      <c r="C3" s="619"/>
      <c r="D3" s="619"/>
      <c r="E3" s="619"/>
      <c r="F3" s="305" t="str">
        <f>DATA!D14</f>
        <v>PABRIK ES MOMO MRANAK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0" t="s">
        <v>1349</v>
      </c>
      <c r="C5" s="620" t="s">
        <v>1358</v>
      </c>
      <c r="D5" s="621" t="s">
        <v>1359</v>
      </c>
      <c r="E5" s="621" t="s">
        <v>1360</v>
      </c>
      <c r="F5" s="620" t="s">
        <v>1361</v>
      </c>
      <c r="G5" s="620"/>
      <c r="H5" s="620"/>
      <c r="I5" s="620"/>
      <c r="J5" s="620"/>
      <c r="K5" s="620" t="s">
        <v>1362</v>
      </c>
      <c r="L5" s="620"/>
      <c r="M5" s="307"/>
      <c r="N5" s="624" t="s">
        <v>1363</v>
      </c>
      <c r="O5" s="621" t="s">
        <v>1364</v>
      </c>
      <c r="P5" s="621" t="s">
        <v>1365</v>
      </c>
      <c r="Q5" s="621" t="s">
        <v>1366</v>
      </c>
      <c r="R5" s="308"/>
      <c r="S5" s="309"/>
      <c r="T5" s="622" t="s">
        <v>1367</v>
      </c>
      <c r="U5" s="310"/>
    </row>
    <row r="6" spans="1:21" ht="20.100000000000001" customHeight="1">
      <c r="B6" s="620"/>
      <c r="C6" s="620"/>
      <c r="D6" s="620"/>
      <c r="E6" s="62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5"/>
      <c r="O6" s="620"/>
      <c r="P6" s="620"/>
      <c r="Q6" s="620"/>
      <c r="R6" s="308"/>
      <c r="S6" s="309"/>
      <c r="T6" s="620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16960</v>
      </c>
      <c r="D7" s="316">
        <f>C7*4/24</f>
        <v>2826.6666666666665</v>
      </c>
      <c r="E7" s="316">
        <f>C7-D7</f>
        <v>14133.333333333334</v>
      </c>
      <c r="F7" s="317">
        <f ca="1">DATA!D10/1000000</f>
        <v>208.53295861634999</v>
      </c>
      <c r="G7" s="318">
        <f ca="1">DATA!$D$11/1000000</f>
        <v>4.1706591723270003</v>
      </c>
      <c r="H7" s="318">
        <f>C7*DATA!$D$5/1000000</f>
        <v>18.386760778236468</v>
      </c>
      <c r="I7" s="318">
        <f>(C7*DATA!$D$5*DATA!$D$7)/1000000</f>
        <v>0.41370211751032049</v>
      </c>
      <c r="J7" s="316">
        <f ca="1">SUM(F7:I7)</f>
        <v>231.50408068442377</v>
      </c>
      <c r="K7" s="319">
        <f>DATA!D9/1000000</f>
        <v>51.356999999999999</v>
      </c>
      <c r="L7" s="316">
        <f>((D7*DATA!$D$23)/1000000)+((E7*DATA!$D$24)/1000000)</f>
        <v>24.502112000000004</v>
      </c>
      <c r="M7" s="316">
        <f>K7+L7</f>
        <v>75.85911200000001</v>
      </c>
      <c r="N7" s="316">
        <f ca="1">M7-J7</f>
        <v>-155.64496868442376</v>
      </c>
      <c r="O7" s="314">
        <v>1</v>
      </c>
      <c r="P7" s="316">
        <f ca="1">O7*N7</f>
        <v>-155.64496868442376</v>
      </c>
      <c r="Q7" s="316">
        <f ca="1">P7</f>
        <v>-155.64496868442376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25440</v>
      </c>
      <c r="D8" s="316">
        <f>C8*4/24</f>
        <v>4240</v>
      </c>
      <c r="E8" s="316">
        <f t="shared" ref="E8:E32" si="0">C8-D8</f>
        <v>21200</v>
      </c>
      <c r="F8" s="314"/>
      <c r="G8" s="318">
        <f ca="1">DATA!$D$11/1000000</f>
        <v>4.1706591723270003</v>
      </c>
      <c r="H8" s="318">
        <f>C8*DATA!$D$5/1000000</f>
        <v>27.5801411673547</v>
      </c>
      <c r="I8" s="318">
        <f>(C8*DATA!$D$5*DATA!$D$7)/1000000</f>
        <v>0.62055317626548068</v>
      </c>
      <c r="J8" s="316">
        <f t="shared" ref="J8:J32" ca="1" si="1">SUM(F8:I8)</f>
        <v>32.371353515947177</v>
      </c>
      <c r="K8" s="321"/>
      <c r="L8" s="316">
        <f>((D8*DATA!$D$23)/1000000)+((E8*DATA!$D$24)/1000000)</f>
        <v>36.753168000000002</v>
      </c>
      <c r="M8" s="316">
        <f t="shared" ref="M8:M32" si="2">K8+L8</f>
        <v>36.753168000000002</v>
      </c>
      <c r="N8" s="316">
        <f ca="1">M8-J8</f>
        <v>4.3818144840528248</v>
      </c>
      <c r="O8" s="315">
        <f>1/(1+'[93]Asumsi I'!$C$3)^(KKF!A8)</f>
        <v>0.89285714285714279</v>
      </c>
      <c r="P8" s="316">
        <f ca="1">O8*N8</f>
        <v>3.9123343607614505</v>
      </c>
      <c r="Q8" s="316">
        <f ca="1">Q7+P8</f>
        <v>-151.7326343236623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25440</v>
      </c>
      <c r="D9" s="316">
        <f t="shared" ref="D9:D32" si="5">C9*4/24</f>
        <v>4240</v>
      </c>
      <c r="E9" s="316">
        <f t="shared" si="0"/>
        <v>21200</v>
      </c>
      <c r="F9" s="314"/>
      <c r="G9" s="318">
        <f ca="1">DATA!$D$11/1000000</f>
        <v>4.1706591723270003</v>
      </c>
      <c r="H9" s="318">
        <f>C9*DATA!$D$5/1000000</f>
        <v>27.5801411673547</v>
      </c>
      <c r="I9" s="318">
        <f>(C9*DATA!$D$5*DATA!$D$7)/1000000</f>
        <v>0.62055317626548068</v>
      </c>
      <c r="J9" s="316">
        <f t="shared" ca="1" si="1"/>
        <v>32.371353515947177</v>
      </c>
      <c r="K9" s="316"/>
      <c r="L9" s="316">
        <f>((D9*DATA!$D$23)/1000000)+((E9*DATA!$D$24)/1000000)</f>
        <v>36.753168000000002</v>
      </c>
      <c r="M9" s="316">
        <f t="shared" si="2"/>
        <v>36.753168000000002</v>
      </c>
      <c r="N9" s="316">
        <f t="shared" ref="N9:N32" ca="1" si="6">M9-J9</f>
        <v>4.3818144840528248</v>
      </c>
      <c r="O9" s="322">
        <f>1/(1+'[93]Asumsi I'!$C$3)^(KKF!A9)</f>
        <v>0.79719387755102034</v>
      </c>
      <c r="P9" s="316">
        <f t="shared" ref="P9:P32" ca="1" si="7">O9*N9</f>
        <v>3.493155679251295</v>
      </c>
      <c r="Q9" s="316">
        <f ca="1">Q8+P9</f>
        <v>-148.23947864441101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25440</v>
      </c>
      <c r="D10" s="316">
        <f t="shared" si="5"/>
        <v>4240</v>
      </c>
      <c r="E10" s="316">
        <f t="shared" si="0"/>
        <v>21200</v>
      </c>
      <c r="F10" s="314"/>
      <c r="G10" s="318">
        <f ca="1">DATA!$D$11/1000000</f>
        <v>4.1706591723270003</v>
      </c>
      <c r="H10" s="318">
        <f>C10*DATA!$D$5/1000000</f>
        <v>27.5801411673547</v>
      </c>
      <c r="I10" s="318">
        <f>(C10*DATA!$D$5*DATA!$D$7)/1000000</f>
        <v>0.62055317626548068</v>
      </c>
      <c r="J10" s="316">
        <f t="shared" ca="1" si="1"/>
        <v>32.371353515947177</v>
      </c>
      <c r="K10" s="314"/>
      <c r="L10" s="316">
        <f>((D10*DATA!$D$23)/1000000)+((E10*DATA!$D$24)/1000000)</f>
        <v>36.753168000000002</v>
      </c>
      <c r="M10" s="316">
        <f t="shared" si="2"/>
        <v>36.753168000000002</v>
      </c>
      <c r="N10" s="316">
        <f t="shared" ca="1" si="6"/>
        <v>4.3818144840528248</v>
      </c>
      <c r="O10" s="315">
        <f>1/(1+'[93]Asumsi I'!$C$3)^(KKF!A10)</f>
        <v>0.71178024781341087</v>
      </c>
      <c r="P10" s="316">
        <f t="shared" ca="1" si="7"/>
        <v>3.1188889993315128</v>
      </c>
      <c r="Q10" s="316">
        <f t="shared" ref="Q10:Q30" ca="1" si="9">Q9+P10</f>
        <v>-145.12058964507949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25440</v>
      </c>
      <c r="D11" s="316">
        <f t="shared" si="5"/>
        <v>4240</v>
      </c>
      <c r="E11" s="316">
        <f t="shared" si="0"/>
        <v>21200</v>
      </c>
      <c r="F11" s="314"/>
      <c r="G11" s="318">
        <f ca="1">DATA!$D$11/1000000</f>
        <v>4.1706591723270003</v>
      </c>
      <c r="H11" s="318">
        <f>C11*DATA!$D$5/1000000</f>
        <v>27.5801411673547</v>
      </c>
      <c r="I11" s="318">
        <f>(C11*DATA!$D$5*DATA!$D$7)/1000000</f>
        <v>0.62055317626548068</v>
      </c>
      <c r="J11" s="316">
        <f t="shared" ca="1" si="1"/>
        <v>32.371353515947177</v>
      </c>
      <c r="K11" s="314"/>
      <c r="L11" s="316">
        <f>((D11*DATA!$D$23)/1000000)+((E11*DATA!$D$24)/1000000)</f>
        <v>36.753168000000002</v>
      </c>
      <c r="M11" s="316">
        <f t="shared" si="2"/>
        <v>36.753168000000002</v>
      </c>
      <c r="N11" s="316">
        <f t="shared" ca="1" si="6"/>
        <v>4.3818144840528248</v>
      </c>
      <c r="O11" s="315">
        <f>1/(1+'[93]Asumsi I'!$C$3)^(KKF!A11)</f>
        <v>0.63551807840483121</v>
      </c>
      <c r="P11" s="316">
        <f t="shared" ca="1" si="7"/>
        <v>2.7847223208317082</v>
      </c>
      <c r="Q11" s="316">
        <f t="shared" ca="1" si="9"/>
        <v>-142.33586732424777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25440</v>
      </c>
      <c r="D12" s="316">
        <f t="shared" si="5"/>
        <v>4240</v>
      </c>
      <c r="E12" s="316">
        <f t="shared" si="0"/>
        <v>21200</v>
      </c>
      <c r="F12" s="314"/>
      <c r="G12" s="318">
        <f ca="1">DATA!$D$11/1000000</f>
        <v>4.1706591723270003</v>
      </c>
      <c r="H12" s="318">
        <f>C12*DATA!$D$5/1000000</f>
        <v>27.5801411673547</v>
      </c>
      <c r="I12" s="318">
        <f>(C12*DATA!$D$5*DATA!$D$7)/1000000</f>
        <v>0.62055317626548068</v>
      </c>
      <c r="J12" s="316">
        <f t="shared" ca="1" si="1"/>
        <v>32.371353515947177</v>
      </c>
      <c r="K12" s="314"/>
      <c r="L12" s="316">
        <f>((D12*DATA!$D$23)/1000000)+((E12*DATA!$D$24)/1000000)</f>
        <v>36.753168000000002</v>
      </c>
      <c r="M12" s="316">
        <f t="shared" si="2"/>
        <v>36.753168000000002</v>
      </c>
      <c r="N12" s="316">
        <f t="shared" ca="1" si="6"/>
        <v>4.3818144840528248</v>
      </c>
      <c r="O12" s="315">
        <f>1/(1+'[93]Asumsi I'!$C$3)^(KKF!A12)</f>
        <v>0.56742685571859919</v>
      </c>
      <c r="P12" s="316">
        <f t="shared" ca="1" si="7"/>
        <v>2.4863592150283105</v>
      </c>
      <c r="Q12" s="316">
        <f t="shared" ca="1" si="9"/>
        <v>-139.84950810921947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25440</v>
      </c>
      <c r="D13" s="316">
        <f t="shared" si="5"/>
        <v>4240</v>
      </c>
      <c r="E13" s="316">
        <f t="shared" si="0"/>
        <v>21200</v>
      </c>
      <c r="F13" s="314"/>
      <c r="G13" s="318">
        <f ca="1">DATA!$D$11/1000000</f>
        <v>4.1706591723270003</v>
      </c>
      <c r="H13" s="318">
        <f>C13*DATA!$D$5/1000000</f>
        <v>27.5801411673547</v>
      </c>
      <c r="I13" s="318">
        <f>(C13*DATA!$D$5*DATA!$D$7)/1000000</f>
        <v>0.62055317626548068</v>
      </c>
      <c r="J13" s="316">
        <f t="shared" ca="1" si="1"/>
        <v>32.371353515947177</v>
      </c>
      <c r="K13" s="314"/>
      <c r="L13" s="316">
        <f>((D13*DATA!$D$23)/1000000)+((E13*DATA!$D$24)/1000000)</f>
        <v>36.753168000000002</v>
      </c>
      <c r="M13" s="316">
        <f t="shared" si="2"/>
        <v>36.753168000000002</v>
      </c>
      <c r="N13" s="316">
        <f t="shared" ca="1" si="6"/>
        <v>4.3818144840528248</v>
      </c>
      <c r="O13" s="315">
        <f>1/(1+'[93]Asumsi I'!$C$3)^(KKF!A13)</f>
        <v>0.50663112117732068</v>
      </c>
      <c r="P13" s="316">
        <f t="shared" ca="1" si="7"/>
        <v>2.2199635848467056</v>
      </c>
      <c r="Q13" s="316">
        <f t="shared" ca="1" si="9"/>
        <v>-137.62954452437276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25440</v>
      </c>
      <c r="D14" s="316">
        <f t="shared" si="5"/>
        <v>4240</v>
      </c>
      <c r="E14" s="316">
        <f t="shared" si="0"/>
        <v>21200</v>
      </c>
      <c r="F14" s="314"/>
      <c r="G14" s="318">
        <f ca="1">DATA!$D$11/1000000</f>
        <v>4.1706591723270003</v>
      </c>
      <c r="H14" s="318">
        <f>C14*DATA!$D$5/1000000</f>
        <v>27.5801411673547</v>
      </c>
      <c r="I14" s="318">
        <f>(C14*DATA!$D$5*DATA!$D$7)/1000000</f>
        <v>0.62055317626548068</v>
      </c>
      <c r="J14" s="316">
        <f t="shared" ca="1" si="1"/>
        <v>32.371353515947177</v>
      </c>
      <c r="K14" s="314"/>
      <c r="L14" s="316">
        <f>((D14*DATA!$D$23)/1000000)+((E14*DATA!$D$24)/1000000)</f>
        <v>36.753168000000002</v>
      </c>
      <c r="M14" s="316">
        <f t="shared" si="2"/>
        <v>36.753168000000002</v>
      </c>
      <c r="N14" s="316">
        <f t="shared" ca="1" si="6"/>
        <v>4.3818144840528248</v>
      </c>
      <c r="O14" s="315">
        <f>1/(1+'[93]Asumsi I'!$C$3)^(KKF!A14)</f>
        <v>0.45234921533689343</v>
      </c>
      <c r="P14" s="316">
        <f t="shared" ca="1" si="7"/>
        <v>1.9821103436131298</v>
      </c>
      <c r="Q14" s="316">
        <f t="shared" ca="1" si="9"/>
        <v>-135.64743418075963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25440</v>
      </c>
      <c r="D15" s="316">
        <f t="shared" si="5"/>
        <v>4240</v>
      </c>
      <c r="E15" s="316">
        <f t="shared" si="0"/>
        <v>21200</v>
      </c>
      <c r="F15" s="314"/>
      <c r="G15" s="318">
        <f ca="1">DATA!$D$11/1000000</f>
        <v>4.1706591723270003</v>
      </c>
      <c r="H15" s="318">
        <f>C15*DATA!$D$5/1000000</f>
        <v>27.5801411673547</v>
      </c>
      <c r="I15" s="318">
        <f>(C15*DATA!$D$5*DATA!$D$7)/1000000</f>
        <v>0.62055317626548068</v>
      </c>
      <c r="J15" s="316">
        <f t="shared" ca="1" si="1"/>
        <v>32.371353515947177</v>
      </c>
      <c r="K15" s="314"/>
      <c r="L15" s="316">
        <f>((D15*DATA!$D$23)/1000000)+((E15*DATA!$D$24)/1000000)</f>
        <v>36.753168000000002</v>
      </c>
      <c r="M15" s="316">
        <f t="shared" si="2"/>
        <v>36.753168000000002</v>
      </c>
      <c r="N15" s="316">
        <f t="shared" ca="1" si="6"/>
        <v>4.3818144840528248</v>
      </c>
      <c r="O15" s="315">
        <f>1/(1+'[93]Asumsi I'!$C$3)^(KKF!A15)</f>
        <v>0.4038832279793691</v>
      </c>
      <c r="P15" s="316">
        <f t="shared" ca="1" si="7"/>
        <v>1.7697413782260085</v>
      </c>
      <c r="Q15" s="316">
        <f t="shared" ca="1" si="9"/>
        <v>-133.87769280253363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25440</v>
      </c>
      <c r="D16" s="316">
        <f t="shared" si="5"/>
        <v>4240</v>
      </c>
      <c r="E16" s="316">
        <f t="shared" si="0"/>
        <v>21200</v>
      </c>
      <c r="F16" s="314"/>
      <c r="G16" s="318">
        <f ca="1">DATA!$D$11/1000000</f>
        <v>4.1706591723270003</v>
      </c>
      <c r="H16" s="318">
        <f>C16*DATA!$D$5/1000000</f>
        <v>27.5801411673547</v>
      </c>
      <c r="I16" s="318">
        <f>(C16*DATA!$D$5*DATA!$D$7)/1000000</f>
        <v>0.62055317626548068</v>
      </c>
      <c r="J16" s="316">
        <f t="shared" ca="1" si="1"/>
        <v>32.371353515947177</v>
      </c>
      <c r="K16" s="314"/>
      <c r="L16" s="316">
        <f>((D16*DATA!$D$23)/1000000)+((E16*DATA!$D$24)/1000000)</f>
        <v>36.753168000000002</v>
      </c>
      <c r="M16" s="316">
        <f t="shared" si="2"/>
        <v>36.753168000000002</v>
      </c>
      <c r="N16" s="316">
        <f t="shared" ca="1" si="6"/>
        <v>4.3818144840528248</v>
      </c>
      <c r="O16" s="315">
        <f>1/(1+'[93]Asumsi I'!$C$3)^(KKF!A16)</f>
        <v>0.36061002498157957</v>
      </c>
      <c r="P16" s="316">
        <f t="shared" ca="1" si="7"/>
        <v>1.5801262305589363</v>
      </c>
      <c r="Q16" s="316">
        <f t="shared" ca="1" si="9"/>
        <v>-132.2975665719747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25440</v>
      </c>
      <c r="D17" s="316">
        <f t="shared" si="5"/>
        <v>4240</v>
      </c>
      <c r="E17" s="316">
        <f t="shared" si="0"/>
        <v>21200</v>
      </c>
      <c r="F17" s="314"/>
      <c r="G17" s="318">
        <f ca="1">DATA!$D$11/1000000</f>
        <v>4.1706591723270003</v>
      </c>
      <c r="H17" s="318">
        <f>C17*DATA!$D$5/1000000</f>
        <v>27.5801411673547</v>
      </c>
      <c r="I17" s="318">
        <f>(C17*DATA!$D$5*DATA!$D$7)/1000000</f>
        <v>0.62055317626548068</v>
      </c>
      <c r="J17" s="316">
        <f t="shared" ca="1" si="1"/>
        <v>32.371353515947177</v>
      </c>
      <c r="K17" s="314"/>
      <c r="L17" s="316">
        <f>((D17*DATA!$D$23)/1000000)+((E17*DATA!$D$24)/1000000)</f>
        <v>36.753168000000002</v>
      </c>
      <c r="M17" s="316">
        <f t="shared" si="2"/>
        <v>36.753168000000002</v>
      </c>
      <c r="N17" s="316">
        <f t="shared" ca="1" si="6"/>
        <v>4.3818144840528248</v>
      </c>
      <c r="O17" s="315">
        <f>1/(1+'[93]Asumsi I'!$C$3)^(KKF!A17)</f>
        <v>0.32197323659069599</v>
      </c>
      <c r="P17" s="316">
        <f t="shared" ca="1" si="7"/>
        <v>1.4108269915704785</v>
      </c>
      <c r="Q17" s="316">
        <f t="shared" ca="1" si="9"/>
        <v>-130.88673958040422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25440</v>
      </c>
      <c r="D18" s="316">
        <f t="shared" si="5"/>
        <v>4240</v>
      </c>
      <c r="E18" s="316">
        <f t="shared" si="0"/>
        <v>21200</v>
      </c>
      <c r="F18" s="314"/>
      <c r="G18" s="318">
        <f ca="1">DATA!$D$11/1000000</f>
        <v>4.1706591723270003</v>
      </c>
      <c r="H18" s="318">
        <f>C18*DATA!$D$5/1000000</f>
        <v>27.5801411673547</v>
      </c>
      <c r="I18" s="318">
        <f>(C18*DATA!$D$5*DATA!$D$7)/1000000</f>
        <v>0.62055317626548068</v>
      </c>
      <c r="J18" s="316">
        <f t="shared" ca="1" si="1"/>
        <v>32.371353515947177</v>
      </c>
      <c r="K18" s="314"/>
      <c r="L18" s="316">
        <f>((D18*DATA!$D$23)/1000000)+((E18*DATA!$D$24)/1000000)</f>
        <v>36.753168000000002</v>
      </c>
      <c r="M18" s="316">
        <f t="shared" si="2"/>
        <v>36.753168000000002</v>
      </c>
      <c r="N18" s="316">
        <f t="shared" ca="1" si="6"/>
        <v>4.3818144840528248</v>
      </c>
      <c r="O18" s="315">
        <f>1/(1+'[93]Asumsi I'!$C$3)^(KKF!A18)</f>
        <v>0.28747610409883567</v>
      </c>
      <c r="P18" s="316">
        <f t="shared" ca="1" si="7"/>
        <v>1.2596669567593557</v>
      </c>
      <c r="Q18" s="316">
        <f t="shared" ca="1" si="9"/>
        <v>-129.62707262364486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25440</v>
      </c>
      <c r="D19" s="316">
        <f t="shared" si="5"/>
        <v>4240</v>
      </c>
      <c r="E19" s="316">
        <f t="shared" si="0"/>
        <v>21200</v>
      </c>
      <c r="F19" s="314"/>
      <c r="G19" s="318">
        <f ca="1">DATA!$D$11/1000000</f>
        <v>4.1706591723270003</v>
      </c>
      <c r="H19" s="318">
        <f>C19*DATA!$D$5/1000000</f>
        <v>27.5801411673547</v>
      </c>
      <c r="I19" s="318">
        <f>(C19*DATA!$D$5*DATA!$D$7)/1000000</f>
        <v>0.62055317626548068</v>
      </c>
      <c r="J19" s="316">
        <f t="shared" ca="1" si="1"/>
        <v>32.371353515947177</v>
      </c>
      <c r="K19" s="314"/>
      <c r="L19" s="316">
        <f>((D19*DATA!$D$23)/1000000)+((E19*DATA!$D$24)/1000000)</f>
        <v>36.753168000000002</v>
      </c>
      <c r="M19" s="316">
        <f t="shared" si="2"/>
        <v>36.753168000000002</v>
      </c>
      <c r="N19" s="316">
        <f t="shared" ca="1" si="6"/>
        <v>4.3818144840528248</v>
      </c>
      <c r="O19" s="315">
        <f>1/(1+'[93]Asumsi I'!$C$3)^(KKF!A19)</f>
        <v>0.25667509294538904</v>
      </c>
      <c r="P19" s="316">
        <f t="shared" ca="1" si="7"/>
        <v>1.1247026399637108</v>
      </c>
      <c r="Q19" s="316">
        <f t="shared" ca="1" si="9"/>
        <v>-128.50236998368115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25440</v>
      </c>
      <c r="D20" s="316">
        <f t="shared" si="5"/>
        <v>4240</v>
      </c>
      <c r="E20" s="316">
        <f t="shared" si="0"/>
        <v>21200</v>
      </c>
      <c r="F20" s="314"/>
      <c r="G20" s="318">
        <f ca="1">DATA!$D$11/1000000</f>
        <v>4.1706591723270003</v>
      </c>
      <c r="H20" s="318">
        <f>C20*DATA!$D$5/1000000</f>
        <v>27.5801411673547</v>
      </c>
      <c r="I20" s="318">
        <f>(C20*DATA!$D$5*DATA!$D$7)/1000000</f>
        <v>0.62055317626548068</v>
      </c>
      <c r="J20" s="316">
        <f t="shared" ca="1" si="1"/>
        <v>32.371353515947177</v>
      </c>
      <c r="K20" s="314"/>
      <c r="L20" s="316">
        <f>((D20*DATA!$D$23)/1000000)+((E20*DATA!$D$24)/1000000)</f>
        <v>36.753168000000002</v>
      </c>
      <c r="M20" s="316">
        <f t="shared" si="2"/>
        <v>36.753168000000002</v>
      </c>
      <c r="N20" s="316">
        <f t="shared" ca="1" si="6"/>
        <v>4.3818144840528248</v>
      </c>
      <c r="O20" s="315">
        <f>1/(1+'[93]Asumsi I'!$C$3)^(KKF!A20)</f>
        <v>0.22917419012981158</v>
      </c>
      <c r="P20" s="316">
        <f t="shared" ca="1" si="7"/>
        <v>1.0041987856818844</v>
      </c>
      <c r="Q20" s="316">
        <f t="shared" ca="1" si="9"/>
        <v>-127.49817119799927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25440</v>
      </c>
      <c r="D21" s="316">
        <f t="shared" si="5"/>
        <v>4240</v>
      </c>
      <c r="E21" s="316">
        <f t="shared" si="0"/>
        <v>21200</v>
      </c>
      <c r="F21" s="314"/>
      <c r="G21" s="318">
        <f ca="1">DATA!$D$11/1000000</f>
        <v>4.1706591723270003</v>
      </c>
      <c r="H21" s="318">
        <f>C21*DATA!$D$5/1000000</f>
        <v>27.5801411673547</v>
      </c>
      <c r="I21" s="318">
        <f>(C21*DATA!$D$5*DATA!$D$7)/1000000</f>
        <v>0.62055317626548068</v>
      </c>
      <c r="J21" s="316">
        <f t="shared" ca="1" si="1"/>
        <v>32.371353515947177</v>
      </c>
      <c r="K21" s="314"/>
      <c r="L21" s="316">
        <f>((D21*DATA!$D$23)/1000000)+((E21*DATA!$D$24)/1000000)</f>
        <v>36.753168000000002</v>
      </c>
      <c r="M21" s="316">
        <f t="shared" si="2"/>
        <v>36.753168000000002</v>
      </c>
      <c r="N21" s="316">
        <f t="shared" ca="1" si="6"/>
        <v>4.3818144840528248</v>
      </c>
      <c r="O21" s="315">
        <f>1/(1+'[93]Asumsi I'!$C$3)^(KKF!A21)</f>
        <v>0.20461981261590317</v>
      </c>
      <c r="P21" s="316">
        <f t="shared" ca="1" si="7"/>
        <v>0.89660605864453946</v>
      </c>
      <c r="Q21" s="316">
        <f t="shared" ca="1" si="9"/>
        <v>-126.60156513935473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25440</v>
      </c>
      <c r="D22" s="316">
        <f t="shared" si="5"/>
        <v>4240</v>
      </c>
      <c r="E22" s="316">
        <f t="shared" si="0"/>
        <v>21200</v>
      </c>
      <c r="F22" s="314"/>
      <c r="G22" s="318">
        <f ca="1">DATA!$D$11/1000000</f>
        <v>4.1706591723270003</v>
      </c>
      <c r="H22" s="318">
        <f>C22*DATA!$D$5/1000000</f>
        <v>27.5801411673547</v>
      </c>
      <c r="I22" s="318">
        <f>(C22*DATA!$D$5*DATA!$D$7)/1000000</f>
        <v>0.62055317626548068</v>
      </c>
      <c r="J22" s="316">
        <f t="shared" ca="1" si="1"/>
        <v>32.371353515947177</v>
      </c>
      <c r="K22" s="314"/>
      <c r="L22" s="316">
        <f>((D22*DATA!$D$23)/1000000)+((E22*DATA!$D$24)/1000000)</f>
        <v>36.753168000000002</v>
      </c>
      <c r="M22" s="316">
        <f t="shared" si="2"/>
        <v>36.753168000000002</v>
      </c>
      <c r="N22" s="316">
        <f t="shared" ca="1" si="6"/>
        <v>4.3818144840528248</v>
      </c>
      <c r="O22" s="315">
        <f>1/(1+'[93]Asumsi I'!$C$3)^(KKF!A22)</f>
        <v>0.18269626126419927</v>
      </c>
      <c r="P22" s="316">
        <f t="shared" ca="1" si="7"/>
        <v>0.80054112378976738</v>
      </c>
      <c r="Q22" s="316">
        <f t="shared" ca="1" si="9"/>
        <v>-125.80102401556496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25440</v>
      </c>
      <c r="D23" s="316">
        <f t="shared" si="5"/>
        <v>4240</v>
      </c>
      <c r="E23" s="316">
        <f t="shared" si="0"/>
        <v>21200</v>
      </c>
      <c r="F23" s="314"/>
      <c r="G23" s="318">
        <f ca="1">DATA!$D$11/1000000</f>
        <v>4.1706591723270003</v>
      </c>
      <c r="H23" s="318">
        <f>C23*DATA!$D$5/1000000</f>
        <v>27.5801411673547</v>
      </c>
      <c r="I23" s="318">
        <f>(C23*DATA!$D$5*DATA!$D$7)/1000000</f>
        <v>0.62055317626548068</v>
      </c>
      <c r="J23" s="316">
        <f t="shared" ca="1" si="1"/>
        <v>32.371353515947177</v>
      </c>
      <c r="K23" s="314"/>
      <c r="L23" s="316">
        <f>((D23*DATA!$D$23)/1000000)+((E23*DATA!$D$24)/1000000)</f>
        <v>36.753168000000002</v>
      </c>
      <c r="M23" s="316">
        <f t="shared" si="2"/>
        <v>36.753168000000002</v>
      </c>
      <c r="N23" s="316">
        <f t="shared" ca="1" si="6"/>
        <v>4.3818144840528248</v>
      </c>
      <c r="O23" s="315">
        <f>1/(1+'[93]Asumsi I'!$C$3)^(KKF!A23)</f>
        <v>0.16312166184303503</v>
      </c>
      <c r="P23" s="316">
        <f t="shared" ca="1" si="7"/>
        <v>0.71476886052657795</v>
      </c>
      <c r="Q23" s="316">
        <f t="shared" ca="1" si="9"/>
        <v>-125.08625515503839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25440</v>
      </c>
      <c r="D24" s="316">
        <f t="shared" si="5"/>
        <v>4240</v>
      </c>
      <c r="E24" s="316">
        <f t="shared" si="0"/>
        <v>21200</v>
      </c>
      <c r="F24" s="314"/>
      <c r="G24" s="318">
        <f ca="1">DATA!$D$11/1000000</f>
        <v>4.1706591723270003</v>
      </c>
      <c r="H24" s="318">
        <f>C24*DATA!$D$5/1000000</f>
        <v>27.5801411673547</v>
      </c>
      <c r="I24" s="318">
        <f>(C24*DATA!$D$5*DATA!$D$7)/1000000</f>
        <v>0.62055317626548068</v>
      </c>
      <c r="J24" s="316">
        <f t="shared" ca="1" si="1"/>
        <v>32.371353515947177</v>
      </c>
      <c r="K24" s="314"/>
      <c r="L24" s="316">
        <f>((D24*DATA!$D$23)/1000000)+((E24*DATA!$D$24)/1000000)</f>
        <v>36.753168000000002</v>
      </c>
      <c r="M24" s="316">
        <f t="shared" si="2"/>
        <v>36.753168000000002</v>
      </c>
      <c r="N24" s="316">
        <f t="shared" ca="1" si="6"/>
        <v>4.3818144840528248</v>
      </c>
      <c r="O24" s="315">
        <f>1/(1+'[93]Asumsi I'!$C$3)^(KKF!A24)</f>
        <v>0.14564434093128129</v>
      </c>
      <c r="P24" s="316">
        <f t="shared" ca="1" si="7"/>
        <v>0.63818648261301603</v>
      </c>
      <c r="Q24" s="316">
        <f t="shared" ca="1" si="9"/>
        <v>-124.44806867242536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25440</v>
      </c>
      <c r="D25" s="316">
        <f t="shared" si="5"/>
        <v>4240</v>
      </c>
      <c r="E25" s="316">
        <f t="shared" si="0"/>
        <v>21200</v>
      </c>
      <c r="F25" s="314"/>
      <c r="G25" s="318">
        <f ca="1">DATA!$D$11/1000000</f>
        <v>4.1706591723270003</v>
      </c>
      <c r="H25" s="318">
        <f>C25*DATA!$D$5/1000000</f>
        <v>27.5801411673547</v>
      </c>
      <c r="I25" s="318">
        <f>(C25*DATA!$D$5*DATA!$D$7)/1000000</f>
        <v>0.62055317626548068</v>
      </c>
      <c r="J25" s="316">
        <f t="shared" ca="1" si="1"/>
        <v>32.371353515947177</v>
      </c>
      <c r="K25" s="314"/>
      <c r="L25" s="316">
        <f>((D25*DATA!$D$23)/1000000)+((E25*DATA!$D$24)/1000000)</f>
        <v>36.753168000000002</v>
      </c>
      <c r="M25" s="316">
        <f t="shared" si="2"/>
        <v>36.753168000000002</v>
      </c>
      <c r="N25" s="316">
        <f t="shared" ca="1" si="6"/>
        <v>4.3818144840528248</v>
      </c>
      <c r="O25" s="315">
        <f>1/(1+'[93]Asumsi I'!$C$3)^(KKF!A25)</f>
        <v>0.13003959011721541</v>
      </c>
      <c r="P25" s="316">
        <f t="shared" ca="1" si="7"/>
        <v>0.56980935947590705</v>
      </c>
      <c r="Q25" s="316">
        <f t="shared" ca="1" si="9"/>
        <v>-123.87825931294945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25440</v>
      </c>
      <c r="D26" s="316">
        <f t="shared" si="5"/>
        <v>4240</v>
      </c>
      <c r="E26" s="316">
        <f t="shared" si="0"/>
        <v>21200</v>
      </c>
      <c r="F26" s="314"/>
      <c r="G26" s="318">
        <f ca="1">DATA!$D$11/1000000</f>
        <v>4.1706591723270003</v>
      </c>
      <c r="H26" s="318">
        <f>C26*DATA!$D$5/1000000</f>
        <v>27.5801411673547</v>
      </c>
      <c r="I26" s="318">
        <f>(C26*DATA!$D$5*DATA!$D$7)/1000000</f>
        <v>0.62055317626548068</v>
      </c>
      <c r="J26" s="316">
        <f t="shared" ca="1" si="1"/>
        <v>32.371353515947177</v>
      </c>
      <c r="K26" s="314"/>
      <c r="L26" s="316">
        <f>((D26*DATA!$D$23)/1000000)+((E26*DATA!$D$24)/1000000)</f>
        <v>36.753168000000002</v>
      </c>
      <c r="M26" s="316">
        <f t="shared" si="2"/>
        <v>36.753168000000002</v>
      </c>
      <c r="N26" s="316">
        <f t="shared" ca="1" si="6"/>
        <v>4.3818144840528248</v>
      </c>
      <c r="O26" s="315">
        <f>1/(1+'[93]Asumsi I'!$C$3)^(KKF!A26)</f>
        <v>0.1161067768903709</v>
      </c>
      <c r="P26" s="316">
        <f t="shared" ca="1" si="7"/>
        <v>0.50875835667491698</v>
      </c>
      <c r="Q26" s="316">
        <f t="shared" ca="1" si="9"/>
        <v>-123.36950095627454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25440</v>
      </c>
      <c r="D27" s="316">
        <f t="shared" si="5"/>
        <v>4240</v>
      </c>
      <c r="E27" s="316">
        <f t="shared" si="0"/>
        <v>21200</v>
      </c>
      <c r="F27" s="314"/>
      <c r="G27" s="318">
        <f ca="1">DATA!$D$11/1000000</f>
        <v>4.1706591723270003</v>
      </c>
      <c r="H27" s="318">
        <f>C27*DATA!$D$5/1000000</f>
        <v>27.5801411673547</v>
      </c>
      <c r="I27" s="318">
        <f>(C27*DATA!$D$5*DATA!$D$7)/1000000</f>
        <v>0.62055317626548068</v>
      </c>
      <c r="J27" s="316">
        <f t="shared" ca="1" si="1"/>
        <v>32.371353515947177</v>
      </c>
      <c r="K27" s="314"/>
      <c r="L27" s="316">
        <f>((D27*DATA!$D$23)/1000000)+((E27*DATA!$D$24)/1000000)</f>
        <v>36.753168000000002</v>
      </c>
      <c r="M27" s="316">
        <f t="shared" si="2"/>
        <v>36.753168000000002</v>
      </c>
      <c r="N27" s="316">
        <f t="shared" ca="1" si="6"/>
        <v>4.3818144840528248</v>
      </c>
      <c r="O27" s="315">
        <f>1/(1+'[93]Asumsi I'!$C$3)^(KKF!A27)</f>
        <v>0.1036667650806883</v>
      </c>
      <c r="P27" s="316">
        <f t="shared" ca="1" si="7"/>
        <v>0.45424853274546156</v>
      </c>
      <c r="Q27" s="316">
        <f t="shared" ca="1" si="9"/>
        <v>-122.91525242352907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25440</v>
      </c>
      <c r="D28" s="316">
        <f t="shared" si="5"/>
        <v>4240</v>
      </c>
      <c r="E28" s="316">
        <f t="shared" si="0"/>
        <v>21200</v>
      </c>
      <c r="F28" s="314"/>
      <c r="G28" s="318">
        <f ca="1">DATA!$D$11/1000000</f>
        <v>4.1706591723270003</v>
      </c>
      <c r="H28" s="318">
        <f>C28*DATA!$D$5/1000000</f>
        <v>27.5801411673547</v>
      </c>
      <c r="I28" s="318">
        <f>(C28*DATA!$D$5*DATA!$D$7)/1000000</f>
        <v>0.62055317626548068</v>
      </c>
      <c r="J28" s="316">
        <f t="shared" ca="1" si="1"/>
        <v>32.371353515947177</v>
      </c>
      <c r="K28" s="314"/>
      <c r="L28" s="316">
        <f>((D28*DATA!$D$23)/1000000)+((E28*DATA!$D$24)/1000000)</f>
        <v>36.753168000000002</v>
      </c>
      <c r="M28" s="316">
        <f t="shared" si="2"/>
        <v>36.753168000000002</v>
      </c>
      <c r="N28" s="316">
        <f t="shared" ca="1" si="6"/>
        <v>4.3818144840528248</v>
      </c>
      <c r="O28" s="315">
        <f>1/(1+'[93]Asumsi I'!$C$3)^(KKF!A28)</f>
        <v>9.2559611679185971E-2</v>
      </c>
      <c r="P28" s="316">
        <f t="shared" ca="1" si="7"/>
        <v>0.40557904709416209</v>
      </c>
      <c r="Q28" s="316">
        <f t="shared" ca="1" si="9"/>
        <v>-122.5096733764349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25440</v>
      </c>
      <c r="D29" s="316">
        <f t="shared" si="5"/>
        <v>4240</v>
      </c>
      <c r="E29" s="316">
        <f t="shared" si="0"/>
        <v>21200</v>
      </c>
      <c r="F29" s="314"/>
      <c r="G29" s="318">
        <f ca="1">DATA!$D$11/1000000</f>
        <v>4.1706591723270003</v>
      </c>
      <c r="H29" s="318">
        <f>C29*DATA!$D$5/1000000</f>
        <v>27.5801411673547</v>
      </c>
      <c r="I29" s="318">
        <f>(C29*DATA!$D$5*DATA!$D$7)/1000000</f>
        <v>0.62055317626548068</v>
      </c>
      <c r="J29" s="316">
        <f t="shared" ca="1" si="1"/>
        <v>32.371353515947177</v>
      </c>
      <c r="K29" s="314"/>
      <c r="L29" s="316">
        <f>((D29*DATA!$D$23)/1000000)+((E29*DATA!$D$24)/1000000)</f>
        <v>36.753168000000002</v>
      </c>
      <c r="M29" s="316">
        <f t="shared" si="2"/>
        <v>36.753168000000002</v>
      </c>
      <c r="N29" s="316">
        <f t="shared" ca="1" si="6"/>
        <v>4.3818144840528248</v>
      </c>
      <c r="O29" s="315">
        <f>1/(1+'[93]Asumsi I'!$C$3)^(KKF!A29)</f>
        <v>8.2642510427844609E-2</v>
      </c>
      <c r="P29" s="316">
        <f t="shared" ca="1" si="7"/>
        <v>0.3621241491912161</v>
      </c>
      <c r="Q29" s="316">
        <f t="shared" ca="1" si="9"/>
        <v>-122.14754922724369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25440</v>
      </c>
      <c r="D30" s="316">
        <f t="shared" si="5"/>
        <v>4240</v>
      </c>
      <c r="E30" s="316">
        <f t="shared" si="0"/>
        <v>21200</v>
      </c>
      <c r="F30" s="314"/>
      <c r="G30" s="318">
        <f ca="1">DATA!$D$11/1000000</f>
        <v>4.1706591723270003</v>
      </c>
      <c r="H30" s="318">
        <f>C30*DATA!$D$5/1000000</f>
        <v>27.5801411673547</v>
      </c>
      <c r="I30" s="318">
        <f>(C30*DATA!$D$5*DATA!$D$7)/1000000</f>
        <v>0.62055317626548068</v>
      </c>
      <c r="J30" s="316">
        <f t="shared" ca="1" si="1"/>
        <v>32.371353515947177</v>
      </c>
      <c r="K30" s="314"/>
      <c r="L30" s="316">
        <f>((D30*DATA!$D$23)/1000000)+((E30*DATA!$D$24)/1000000)</f>
        <v>36.753168000000002</v>
      </c>
      <c r="M30" s="316">
        <f t="shared" si="2"/>
        <v>36.753168000000002</v>
      </c>
      <c r="N30" s="316">
        <f t="shared" ca="1" si="6"/>
        <v>4.3818144840528248</v>
      </c>
      <c r="O30" s="315">
        <f>1/(1+'[93]Asumsi I'!$C$3)^(KKF!A30)</f>
        <v>7.3787955739146982E-2</v>
      </c>
      <c r="P30" s="316">
        <f t="shared" ca="1" si="7"/>
        <v>0.32332513320644302</v>
      </c>
      <c r="Q30" s="316">
        <f t="shared" ca="1" si="9"/>
        <v>-121.82422409403725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25440</v>
      </c>
      <c r="D31" s="316">
        <f t="shared" si="5"/>
        <v>4240</v>
      </c>
      <c r="E31" s="316">
        <f t="shared" si="0"/>
        <v>21200</v>
      </c>
      <c r="F31" s="314"/>
      <c r="G31" s="318">
        <f ca="1">DATA!$D$11/1000000</f>
        <v>4.1706591723270003</v>
      </c>
      <c r="H31" s="318">
        <f>C31*DATA!$D$5/1000000</f>
        <v>27.5801411673547</v>
      </c>
      <c r="I31" s="318">
        <f>(C31*DATA!$D$5*DATA!$D$7)/1000000</f>
        <v>0.62055317626548068</v>
      </c>
      <c r="J31" s="316">
        <f t="shared" ca="1" si="1"/>
        <v>32.371353515947177</v>
      </c>
      <c r="K31" s="314"/>
      <c r="L31" s="316">
        <f>((D31*DATA!$D$23)/1000000)+((E31*DATA!$D$24)/1000000)</f>
        <v>36.753168000000002</v>
      </c>
      <c r="M31" s="316">
        <f t="shared" si="2"/>
        <v>36.753168000000002</v>
      </c>
      <c r="N31" s="316">
        <f t="shared" ca="1" si="6"/>
        <v>4.3818144840528248</v>
      </c>
      <c r="O31" s="315">
        <f>1/(1+'[93]Asumsi I'!$C$3)^(KKF!A31)</f>
        <v>6.5882103338524081E-2</v>
      </c>
      <c r="P31" s="316">
        <f t="shared" ca="1" si="7"/>
        <v>0.28868315464860977</v>
      </c>
      <c r="Q31" s="316">
        <f ca="1">Q30+P31</f>
        <v>-121.53554093938864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25440</v>
      </c>
      <c r="D32" s="316">
        <f t="shared" si="5"/>
        <v>4240</v>
      </c>
      <c r="E32" s="316">
        <f t="shared" si="0"/>
        <v>21200</v>
      </c>
      <c r="F32" s="314"/>
      <c r="G32" s="318">
        <f ca="1">DATA!$D$11/1000000</f>
        <v>4.1706591723270003</v>
      </c>
      <c r="H32" s="318">
        <f>C32*DATA!$D$5/1000000</f>
        <v>27.5801411673547</v>
      </c>
      <c r="I32" s="318">
        <f>(C32*DATA!$D$5*DATA!$D$7)/1000000</f>
        <v>0.62055317626548068</v>
      </c>
      <c r="J32" s="316">
        <f t="shared" ca="1" si="1"/>
        <v>32.371353515947177</v>
      </c>
      <c r="K32" s="314"/>
      <c r="L32" s="316">
        <f>((D32*DATA!$D$23)/1000000)+((E32*DATA!$D$24)/1000000)</f>
        <v>36.753168000000002</v>
      </c>
      <c r="M32" s="316">
        <f t="shared" si="2"/>
        <v>36.753168000000002</v>
      </c>
      <c r="N32" s="316">
        <f t="shared" ca="1" si="6"/>
        <v>4.3818144840528248</v>
      </c>
      <c r="O32" s="315">
        <f>1/(1+'[93]Asumsi I'!$C$3)^(KKF!A32)</f>
        <v>5.8823306552253637E-2</v>
      </c>
      <c r="P32" s="316">
        <f t="shared" ca="1" si="7"/>
        <v>0.25775281665054445</v>
      </c>
      <c r="Q32" s="316">
        <f ca="1">Q31+P32</f>
        <v>-121.2777881227381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3" t="s">
        <v>1374</v>
      </c>
      <c r="G33" s="623"/>
      <c r="H33" s="623"/>
      <c r="I33" s="324"/>
      <c r="J33" s="325">
        <f ca="1">SUM(J7:J32)</f>
        <v>1040.7879185831027</v>
      </c>
      <c r="K33" s="623" t="s">
        <v>1375</v>
      </c>
      <c r="L33" s="623"/>
      <c r="M33" s="325">
        <f>SUM(M7:M32)</f>
        <v>994.68831199999966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52.83292606908843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0.95570701219719989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-108.28373939530186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-2.537425900429402E-2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97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H21" sqref="H21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6" t="s">
        <v>1036</v>
      </c>
      <c r="P3" s="626"/>
      <c r="Q3" s="346"/>
      <c r="T3" s="344"/>
      <c r="U3" s="345" t="s">
        <v>1041</v>
      </c>
      <c r="V3" s="344"/>
    </row>
    <row r="4" spans="1:22" ht="18.75">
      <c r="B4" s="627" t="s">
        <v>1023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3" t="str">
        <f>DATA!D14</f>
        <v>PABRIK ES MOMO MRANAK</v>
      </c>
      <c r="H6" s="643"/>
      <c r="I6" s="643"/>
      <c r="J6" s="643"/>
      <c r="K6" s="64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1553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9" t="s">
        <v>0</v>
      </c>
      <c r="C11" s="631" t="s">
        <v>1</v>
      </c>
      <c r="D11" s="634" t="s">
        <v>42</v>
      </c>
      <c r="E11" s="634" t="s">
        <v>43</v>
      </c>
      <c r="F11" s="634" t="s">
        <v>2</v>
      </c>
      <c r="G11" s="636" t="s">
        <v>41</v>
      </c>
      <c r="H11" s="634" t="s">
        <v>3</v>
      </c>
      <c r="I11" s="634"/>
      <c r="J11" s="634"/>
      <c r="K11" s="653"/>
      <c r="O11" s="351"/>
      <c r="P11" s="352"/>
      <c r="Q11" s="351"/>
      <c r="S11" s="353"/>
      <c r="T11" s="354"/>
      <c r="U11" s="354"/>
      <c r="V11" s="354"/>
    </row>
    <row r="12" spans="1:22">
      <c r="B12" s="630"/>
      <c r="C12" s="632"/>
      <c r="D12" s="635"/>
      <c r="E12" s="635"/>
      <c r="F12" s="635"/>
      <c r="G12" s="637"/>
      <c r="H12" s="639" t="s">
        <v>46</v>
      </c>
      <c r="I12" s="639" t="s">
        <v>5</v>
      </c>
      <c r="J12" s="635" t="s">
        <v>47</v>
      </c>
      <c r="K12" s="654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0"/>
      <c r="C13" s="633"/>
      <c r="D13" s="635"/>
      <c r="E13" s="635"/>
      <c r="F13" s="635"/>
      <c r="G13" s="638"/>
      <c r="H13" s="640"/>
      <c r="I13" s="640"/>
      <c r="J13" s="635"/>
      <c r="K13" s="654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36" ca="1" si="8">IF(OR(D16="MDU",D16="MDU-KD"),(IF($O$3="RAB NON MDU","PLN KD",G16*F16)),0)</f>
        <v>0</v>
      </c>
      <c r="I16" s="361">
        <f t="shared" ref="I16:I36" ca="1" si="9">IF(D16="HDW",G16*F16,0)</f>
        <v>0</v>
      </c>
      <c r="J16" s="361">
        <f t="shared" ref="J16:J36" ca="1" si="10">IF(D16="JASA",G16*F16,0)</f>
        <v>0</v>
      </c>
      <c r="K16" s="362">
        <f t="shared" ref="K16:K36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503">
        <v>6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8"/>
        <v>0</v>
      </c>
      <c r="I17" s="361">
        <f t="shared" ca="1" si="9"/>
        <v>34800000</v>
      </c>
      <c r="J17" s="361">
        <f t="shared" ca="1" si="10"/>
        <v>0</v>
      </c>
      <c r="K17" s="362">
        <f t="shared" ca="1" si="11"/>
        <v>34800000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3">
        <v>1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6074400</v>
      </c>
      <c r="J18" s="361">
        <f t="shared" ref="J18" ca="1" si="14">IF(D18="JASA",G18*F18,0)</f>
        <v>0</v>
      </c>
      <c r="K18" s="362">
        <f t="shared" ref="K18" ca="1" si="15">SUM(H18:J18)</f>
        <v>6074400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3</v>
      </c>
      <c r="C19" s="109" t="s">
        <v>106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3">
        <v>1</v>
      </c>
      <c r="G19" s="360">
        <f ca="1">IF(ISERROR(OFFSET('HARGA SATUAN'!$I$6,MATCH(RAB!C19,'HARGA SATUAN'!$C$7:$C$1492,0),0)),0,OFFSET('HARGA SATUAN'!$I$6,MATCH(RAB!C19,'HARGA SATUAN'!$C$7:$C$1492,0),0))</f>
        <v>8609100</v>
      </c>
      <c r="H19" s="361">
        <f t="shared" ref="H19:H20" ca="1" si="16">IF(OR(D19="MDU",D19="MDU-KD"),(IF($O$3="RAB NON MDU","PLN KD",G19*F19)),0)</f>
        <v>0</v>
      </c>
      <c r="I19" s="361">
        <f t="shared" ref="I19:I20" ca="1" si="17">IF(D19="HDW",G19*F19,0)</f>
        <v>8609100</v>
      </c>
      <c r="J19" s="361">
        <f t="shared" ref="J19:J20" ca="1" si="18">IF(D19="JASA",G19*F19,0)</f>
        <v>0</v>
      </c>
      <c r="K19" s="362">
        <f t="shared" ref="K19:K20" ca="1" si="19">SUM(H19:J19)</f>
        <v>8609100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4</v>
      </c>
      <c r="C20" s="109" t="s">
        <v>6</v>
      </c>
      <c r="D20" s="358" t="str">
        <f ca="1">IF(ISERROR(OFFSET('HARGA SATUAN'!$D$6,MATCH(RAB!C20,'HARGA SATUAN'!$C$7:$C$1492,0),0)),"",OFFSET('HARGA SATUAN'!$D$6,MATCH(RAB!C20,'HARGA SATUAN'!$C$7:$C$1492,0),0))</f>
        <v>JASA</v>
      </c>
      <c r="E20" s="359" t="str">
        <f ca="1">IF(B20="+","Unit",IF(ISERROR(OFFSET('HARGA SATUAN'!$E$6,MATCH(RAB!C20,'HARGA SATUAN'!$C$7:$C$1492,0),0)),"",OFFSET('HARGA SATUAN'!$E$6,MATCH(RAB!C20,'HARGA SATUAN'!$C$7:$C$1492,0),0)))</f>
        <v>Btg</v>
      </c>
      <c r="F20" s="503">
        <v>7</v>
      </c>
      <c r="G20" s="360">
        <f ca="1">IF(ISERROR(OFFSET('HARGA SATUAN'!$I$6,MATCH(RAB!C20,'HARGA SATUAN'!$C$7:$C$1492,0),0)),0,OFFSET('HARGA SATUAN'!$I$6,MATCH(RAB!C20,'HARGA SATUAN'!$C$7:$C$1492,0),0))</f>
        <v>10066.666666666668</v>
      </c>
      <c r="H20" s="361">
        <f t="shared" ca="1" si="16"/>
        <v>0</v>
      </c>
      <c r="I20" s="361">
        <f t="shared" ca="1" si="17"/>
        <v>0</v>
      </c>
      <c r="J20" s="361">
        <f t="shared" ca="1" si="18"/>
        <v>70466.666666666672</v>
      </c>
      <c r="K20" s="362">
        <f t="shared" ca="1" si="19"/>
        <v>70466.666666666672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>
        <v>5</v>
      </c>
      <c r="C21" s="109" t="s">
        <v>461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Set</v>
      </c>
      <c r="F21" s="503">
        <v>1</v>
      </c>
      <c r="G21" s="360">
        <f ca="1">IF(ISERROR(OFFSET('HARGA SATUAN'!$I$6,MATCH(RAB!C21,'HARGA SATUAN'!$C$7:$C$1492,0),0)),0,OFFSET('HARGA SATUAN'!$I$6,MATCH(RAB!C21,'HARGA SATUAN'!$C$7:$C$1492,0),0))</f>
        <v>200000</v>
      </c>
      <c r="H21" s="361">
        <f t="shared" ca="1" si="8"/>
        <v>0</v>
      </c>
      <c r="I21" s="361">
        <f t="shared" ca="1" si="9"/>
        <v>200000</v>
      </c>
      <c r="J21" s="361">
        <f t="shared" ca="1" si="10"/>
        <v>0</v>
      </c>
      <c r="K21" s="362">
        <f t="shared" ca="1" si="11"/>
        <v>200000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56"/>
      <c r="C22" s="357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 t="e">
        <f>IF(AND(C23=0,#REF!=0,#REF!=0),"BLANKS",1)</f>
        <v>#REF!</v>
      </c>
      <c r="B23" s="371" t="s">
        <v>1456</v>
      </c>
      <c r="C23" s="372" t="s">
        <v>1640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495"/>
      <c r="C24" s="496"/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368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8"/>
        <v>0</v>
      </c>
      <c r="I24" s="361">
        <f t="shared" ca="1" si="9"/>
        <v>0</v>
      </c>
      <c r="J24" s="361">
        <f t="shared" ca="1" si="10"/>
        <v>0</v>
      </c>
      <c r="K24" s="362">
        <f t="shared" ca="1" si="11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4" t="s">
        <v>1035</v>
      </c>
      <c r="C25" s="505" t="s">
        <v>1621</v>
      </c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484">
        <v>6</v>
      </c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4">
        <v>1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84">
        <f>F25*1</f>
        <v>6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8"/>
        <v>1061400</v>
      </c>
      <c r="I26" s="361">
        <f t="shared" ca="1" si="9"/>
        <v>0</v>
      </c>
      <c r="J26" s="361">
        <f t="shared" ca="1" si="10"/>
        <v>0</v>
      </c>
      <c r="K26" s="362">
        <f t="shared" ca="1" si="11"/>
        <v>1061400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4">
        <v>2</v>
      </c>
      <c r="C27" s="109" t="s">
        <v>1129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F25*2</f>
        <v>12</v>
      </c>
      <c r="G27" s="360">
        <f ca="1">IF(ISERROR(OFFSET('HARGA SATUAN'!$I$6,MATCH(RAB!C27,'HARGA SATUAN'!$C$7:$C$1492,0),0)),0,OFFSET('HARGA SATUAN'!$I$6,MATCH(RAB!C27,'HARGA SATUAN'!$C$7:$C$1492,0),0))</f>
        <v>176900</v>
      </c>
      <c r="H27" s="361">
        <f t="shared" ca="1" si="8"/>
        <v>2122800</v>
      </c>
      <c r="I27" s="361">
        <f t="shared" ca="1" si="9"/>
        <v>0</v>
      </c>
      <c r="J27" s="361">
        <f t="shared" ca="1" si="10"/>
        <v>0</v>
      </c>
      <c r="K27" s="362">
        <f t="shared" ca="1" si="11"/>
        <v>2122800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4">
        <v>3</v>
      </c>
      <c r="C28" s="505" t="s">
        <v>28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F25*3</f>
        <v>18</v>
      </c>
      <c r="G28" s="360">
        <f ca="1">IF(ISERROR(OFFSET('HARGA SATUAN'!$I$6,MATCH(RAB!C28,'HARGA SATUAN'!$C$7:$C$1492,0),0)),0,OFFSET('HARGA SATUAN'!$I$6,MATCH(RAB!C28,'HARGA SATUAN'!$C$7:$C$1492,0),0))</f>
        <v>26500</v>
      </c>
      <c r="H28" s="361">
        <f t="shared" ca="1" si="8"/>
        <v>0</v>
      </c>
      <c r="I28" s="361">
        <f t="shared" ca="1" si="9"/>
        <v>477000</v>
      </c>
      <c r="J28" s="361">
        <f t="shared" ca="1" si="10"/>
        <v>0</v>
      </c>
      <c r="K28" s="362">
        <f t="shared" ca="1" si="11"/>
        <v>477000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4">
        <v>4</v>
      </c>
      <c r="C29" s="505" t="s">
        <v>163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F25*2</f>
        <v>12</v>
      </c>
      <c r="G29" s="360">
        <f ca="1">IF(ISERROR(OFFSET('HARGA SATUAN'!$I$6,MATCH(RAB!C29,'HARGA SATUAN'!$C$7:$C$1492,0),0)),0,OFFSET('HARGA SATUAN'!$I$6,MATCH(RAB!C29,'HARGA SATUAN'!$C$7:$C$1492,0),0))</f>
        <v>7938</v>
      </c>
      <c r="H29" s="361">
        <f t="shared" ca="1" si="8"/>
        <v>0</v>
      </c>
      <c r="I29" s="361">
        <f t="shared" ca="1" si="9"/>
        <v>95256</v>
      </c>
      <c r="J29" s="361">
        <f t="shared" ca="1" si="10"/>
        <v>0</v>
      </c>
      <c r="K29" s="362">
        <f t="shared" ca="1" si="11"/>
        <v>95256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4">
        <v>5</v>
      </c>
      <c r="C30" s="505" t="s">
        <v>168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F25*1</f>
        <v>6</v>
      </c>
      <c r="G30" s="360">
        <f ca="1">IF(ISERROR(OFFSET('HARGA SATUAN'!$I$6,MATCH(RAB!C30,'HARGA SATUAN'!$C$7:$C$1492,0),0)),0,OFFSET('HARGA SATUAN'!$I$6,MATCH(RAB!C30,'HARGA SATUAN'!$C$7:$C$1492,0),0))</f>
        <v>33600</v>
      </c>
      <c r="H30" s="361">
        <f t="shared" ca="1" si="8"/>
        <v>0</v>
      </c>
      <c r="I30" s="361">
        <f t="shared" ca="1" si="9"/>
        <v>201600</v>
      </c>
      <c r="J30" s="361">
        <f t="shared" ca="1" si="10"/>
        <v>0</v>
      </c>
      <c r="K30" s="362">
        <f t="shared" ca="1" si="11"/>
        <v>201600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4">
        <v>6</v>
      </c>
      <c r="C31" s="505" t="s">
        <v>173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F25*2</f>
        <v>12</v>
      </c>
      <c r="G31" s="360">
        <f ca="1">IF(ISERROR(OFFSET('HARGA SATUAN'!$I$6,MATCH(RAB!C31,'HARGA SATUAN'!$C$7:$C$1492,0),0)),0,OFFSET('HARGA SATUAN'!$I$6,MATCH(RAB!C31,'HARGA SATUAN'!$C$7:$C$1492,0),0))</f>
        <v>45000</v>
      </c>
      <c r="H31" s="361">
        <f t="shared" ca="1" si="8"/>
        <v>0</v>
      </c>
      <c r="I31" s="361">
        <f t="shared" ca="1" si="9"/>
        <v>540000</v>
      </c>
      <c r="J31" s="361">
        <f t="shared" ca="1" si="10"/>
        <v>0</v>
      </c>
      <c r="K31" s="362">
        <f t="shared" ca="1" si="11"/>
        <v>540000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4">
        <v>7</v>
      </c>
      <c r="C32" s="505" t="s">
        <v>178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F25*1</f>
        <v>6</v>
      </c>
      <c r="G32" s="360">
        <f ca="1">IF(ISERROR(OFFSET('HARGA SATUAN'!$I$6,MATCH(RAB!C32,'HARGA SATUAN'!$C$7:$C$1492,0),0)),0,OFFSET('HARGA SATUAN'!$I$6,MATCH(RAB!C32,'HARGA SATUAN'!$C$7:$C$1492,0),0))</f>
        <v>95000</v>
      </c>
      <c r="H32" s="361">
        <f t="shared" ca="1" si="8"/>
        <v>0</v>
      </c>
      <c r="I32" s="361">
        <f t="shared" ca="1" si="9"/>
        <v>570000</v>
      </c>
      <c r="J32" s="361">
        <f t="shared" ca="1" si="10"/>
        <v>0</v>
      </c>
      <c r="K32" s="362">
        <f t="shared" ca="1" si="11"/>
        <v>570000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4">
        <v>8</v>
      </c>
      <c r="C33" s="505" t="s">
        <v>593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F25*1</f>
        <v>6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ca="1" si="8"/>
        <v>0</v>
      </c>
      <c r="I33" s="361">
        <f t="shared" ca="1" si="9"/>
        <v>2283000</v>
      </c>
      <c r="J33" s="361">
        <f t="shared" ca="1" si="10"/>
        <v>0</v>
      </c>
      <c r="K33" s="362">
        <f t="shared" ca="1" si="11"/>
        <v>2283000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4">
        <v>9</v>
      </c>
      <c r="C34" s="505" t="s">
        <v>217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F25*4</f>
        <v>24</v>
      </c>
      <c r="G34" s="360">
        <f ca="1">IF(ISERROR(OFFSET('HARGA SATUAN'!$I$6,MATCH(RAB!C34,'HARGA SATUAN'!$C$7:$C$1492,0),0)),0,OFFSET('HARGA SATUAN'!$I$6,MATCH(RAB!C34,'HARGA SATUAN'!$C$7:$C$1492,0),0))</f>
        <v>11400</v>
      </c>
      <c r="H34" s="361">
        <f t="shared" ca="1" si="8"/>
        <v>0</v>
      </c>
      <c r="I34" s="361">
        <f t="shared" ca="1" si="9"/>
        <v>273600</v>
      </c>
      <c r="J34" s="361">
        <f t="shared" ca="1" si="10"/>
        <v>0</v>
      </c>
      <c r="K34" s="362">
        <f t="shared" ca="1" si="11"/>
        <v>273600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4">
        <v>10</v>
      </c>
      <c r="C35" s="505" t="s">
        <v>247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F25*1</f>
        <v>6</v>
      </c>
      <c r="G35" s="360">
        <f ca="1">IF(ISERROR(OFFSET('HARGA SATUAN'!$I$6,MATCH(RAB!C35,'HARGA SATUAN'!$C$7:$C$1492,0),0)),0,OFFSET('HARGA SATUAN'!$I$6,MATCH(RAB!C35,'HARGA SATUAN'!$C$7:$C$1492,0),0))</f>
        <v>57690</v>
      </c>
      <c r="H35" s="361">
        <f t="shared" ca="1" si="8"/>
        <v>0</v>
      </c>
      <c r="I35" s="361">
        <f t="shared" ca="1" si="9"/>
        <v>346140</v>
      </c>
      <c r="J35" s="361">
        <f t="shared" ca="1" si="10"/>
        <v>0</v>
      </c>
      <c r="K35" s="362">
        <f t="shared" ca="1" si="11"/>
        <v>346140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4">
        <v>11</v>
      </c>
      <c r="C36" s="505" t="s">
        <v>264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4">
        <f>F25*1</f>
        <v>6</v>
      </c>
      <c r="G36" s="360">
        <f ca="1">IF(ISERROR(OFFSET('HARGA SATUAN'!$I$6,MATCH(RAB!C36,'HARGA SATUAN'!$C$7:$C$1492,0),0)),0,OFFSET('HARGA SATUAN'!$I$6,MATCH(RAB!C36,'HARGA SATUAN'!$C$7:$C$1492,0),0))</f>
        <v>28000</v>
      </c>
      <c r="H36" s="361">
        <f t="shared" ca="1" si="8"/>
        <v>0</v>
      </c>
      <c r="I36" s="361">
        <f t="shared" ca="1" si="9"/>
        <v>168000</v>
      </c>
      <c r="J36" s="361">
        <f t="shared" ca="1" si="10"/>
        <v>0</v>
      </c>
      <c r="K36" s="362">
        <f t="shared" ca="1" si="11"/>
        <v>168000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4">
        <v>12</v>
      </c>
      <c r="C37" s="505" t="s">
        <v>38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Mtr</v>
      </c>
      <c r="F37" s="484">
        <f>6.2*F25</f>
        <v>37.200000000000003</v>
      </c>
      <c r="G37" s="360">
        <f ca="1">IF(ISERROR(OFFSET('HARGA SATUAN'!$I$6,MATCH(RAB!C37,'HARGA SATUAN'!$C$7:$C$1492,0),0)),0,OFFSET('HARGA SATUAN'!$I$6,MATCH(RAB!C37,'HARGA SATUAN'!$C$7:$C$1492,0),0))</f>
        <v>8550</v>
      </c>
      <c r="H37" s="361">
        <f t="shared" ref="H37:H40" ca="1" si="20">IF(OR(D37="MDU",D37="MDU-KD"),(IF($O$3="RAB NON MDU","PLN KD",G37*F37)),0)</f>
        <v>0</v>
      </c>
      <c r="I37" s="361">
        <f t="shared" ref="I37:I40" ca="1" si="21">IF(D37="HDW",G37*F37,0)</f>
        <v>318060</v>
      </c>
      <c r="J37" s="361">
        <f t="shared" ref="J37:J40" ca="1" si="22">IF(D37="JASA",G37*F37,0)</f>
        <v>0</v>
      </c>
      <c r="K37" s="362">
        <f t="shared" ref="K37:K40" ca="1" si="23">SUM(H37:J37)</f>
        <v>318060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4">
        <v>13</v>
      </c>
      <c r="C38" s="505" t="s">
        <v>26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4">
        <f>F25*5</f>
        <v>30</v>
      </c>
      <c r="G38" s="360">
        <f ca="1">IF(ISERROR(OFFSET('HARGA SATUAN'!$I$6,MATCH(RAB!C38,'HARGA SATUAN'!$C$7:$C$1492,0),0)),0,OFFSET('HARGA SATUAN'!$I$6,MATCH(RAB!C38,'HARGA SATUAN'!$C$7:$C$1492,0),0))</f>
        <v>2500</v>
      </c>
      <c r="H38" s="361">
        <f t="shared" ca="1" si="20"/>
        <v>0</v>
      </c>
      <c r="I38" s="361">
        <f t="shared" ca="1" si="21"/>
        <v>75000</v>
      </c>
      <c r="J38" s="361">
        <f t="shared" ca="1" si="22"/>
        <v>0</v>
      </c>
      <c r="K38" s="362">
        <f t="shared" ca="1" si="23"/>
        <v>75000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4">
        <v>14</v>
      </c>
      <c r="C39" s="505" t="s">
        <v>687</v>
      </c>
      <c r="D39" s="358" t="str">
        <f ca="1">IF(ISERROR(OFFSET('HARGA SATUAN'!$D$6,MATCH(RAB!C39,'HARGA SATUAN'!$C$7:$C$1492,0),0)),"",OFFSET('HARGA SATUAN'!$D$6,MATCH(RAB!C39,'HARGA SATUAN'!$C$7:$C$1492,0),0))</f>
        <v>JASA</v>
      </c>
      <c r="E39" s="359" t="str">
        <f ca="1">IF(B39="+","Unit",IF(ISERROR(OFFSET('HARGA SATUAN'!$E$6,MATCH(RAB!C39,'HARGA SATUAN'!$C$7:$C$1492,0),0)),"",OFFSET('HARGA SATUAN'!$E$6,MATCH(RAB!C39,'HARGA SATUAN'!$C$7:$C$1492,0),0)))</f>
        <v>Unit</v>
      </c>
      <c r="F39" s="484">
        <f>F25*1</f>
        <v>6</v>
      </c>
      <c r="G39" s="360">
        <f ca="1">IF(ISERROR(OFFSET('HARGA SATUAN'!$I$6,MATCH(RAB!C39,'HARGA SATUAN'!$C$7:$C$1492,0),0)),0,OFFSET('HARGA SATUAN'!$I$6,MATCH(RAB!C39,'HARGA SATUAN'!$C$7:$C$1492,0),0))</f>
        <v>111000</v>
      </c>
      <c r="H39" s="361">
        <f t="shared" ca="1" si="20"/>
        <v>0</v>
      </c>
      <c r="I39" s="361">
        <f t="shared" ca="1" si="21"/>
        <v>0</v>
      </c>
      <c r="J39" s="361">
        <f t="shared" ca="1" si="22"/>
        <v>666000</v>
      </c>
      <c r="K39" s="362">
        <f t="shared" ca="1" si="23"/>
        <v>666000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499"/>
      <c r="C40" s="500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484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20"/>
        <v>0</v>
      </c>
      <c r="I40" s="361">
        <f t="shared" ca="1" si="21"/>
        <v>0</v>
      </c>
      <c r="J40" s="361">
        <f t="shared" ca="1" si="22"/>
        <v>0</v>
      </c>
      <c r="K40" s="362">
        <f t="shared" ca="1" si="23"/>
        <v>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504" t="s">
        <v>1035</v>
      </c>
      <c r="C41" s="505" t="s">
        <v>1622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3">
        <v>2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52" ca="1" si="24">IF(OR(D41="MDU",D41="MDU-KD"),(IF($O$3="RAB NON MDU","PLN KD",G41*F41)),0)</f>
        <v>0</v>
      </c>
      <c r="I41" s="361">
        <f t="shared" ref="I41:I52" ca="1" si="25">IF(D41="HDW",G41*F41,0)</f>
        <v>0</v>
      </c>
      <c r="J41" s="361">
        <f t="shared" ref="J41:J52" ca="1" si="26">IF(D41="JASA",G41*F41,0)</f>
        <v>0</v>
      </c>
      <c r="K41" s="362">
        <f t="shared" ref="K41:K52" ca="1" si="27">SUM(H41:J41)</f>
        <v>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504">
        <v>1</v>
      </c>
      <c r="C42" s="109" t="s">
        <v>1569</v>
      </c>
      <c r="D42" s="358" t="str">
        <f ca="1">IF(ISERROR(OFFSET('HARGA SATUAN'!$D$6,MATCH(RAB!C42,'HARGA SATUAN'!$C$7:$C$1492,0),0)),"",OFFSET('HARGA SATUAN'!$D$6,MATCH(RAB!C42,'HARGA SATUAN'!$C$7:$C$1492,0),0))</f>
        <v>MDU-KD</v>
      </c>
      <c r="E42" s="359" t="str">
        <f ca="1">IF(B42="+","Unit",IF(ISERROR(OFFSET('HARGA SATUAN'!$E$6,MATCH(RAB!C42,'HARGA SATUAN'!$C$7:$C$1492,0),0)),"",OFFSET('HARGA SATUAN'!$E$6,MATCH(RAB!C42,'HARGA SATUAN'!$C$7:$C$1492,0),0)))</f>
        <v>Set</v>
      </c>
      <c r="F42" s="503">
        <f>F41*3</f>
        <v>6</v>
      </c>
      <c r="G42" s="360">
        <f ca="1">IF(ISERROR(OFFSET('HARGA SATUAN'!$I$6,MATCH(RAB!C42,'HARGA SATUAN'!$C$7:$C$1492,0),0)),0,OFFSET('HARGA SATUAN'!$I$6,MATCH(RAB!C42,'HARGA SATUAN'!$C$7:$C$1492,0),0))</f>
        <v>205700</v>
      </c>
      <c r="H42" s="361">
        <f t="shared" ca="1" si="24"/>
        <v>1234200</v>
      </c>
      <c r="I42" s="361">
        <f t="shared" ca="1" si="25"/>
        <v>0</v>
      </c>
      <c r="J42" s="361">
        <f t="shared" ca="1" si="26"/>
        <v>0</v>
      </c>
      <c r="K42" s="362">
        <f t="shared" ca="1" si="27"/>
        <v>1234200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504">
        <v>2</v>
      </c>
      <c r="C43" s="505" t="s">
        <v>152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503">
        <f>F41*1</f>
        <v>2</v>
      </c>
      <c r="G43" s="360">
        <f ca="1">IF(ISERROR(OFFSET('HARGA SATUAN'!$I$6,MATCH(RAB!C43,'HARGA SATUAN'!$C$7:$C$1492,0),0)),0,OFFSET('HARGA SATUAN'!$I$6,MATCH(RAB!C43,'HARGA SATUAN'!$C$7:$C$1492,0),0))</f>
        <v>7789</v>
      </c>
      <c r="H43" s="361">
        <f t="shared" ca="1" si="24"/>
        <v>0</v>
      </c>
      <c r="I43" s="361">
        <f t="shared" ca="1" si="25"/>
        <v>15578</v>
      </c>
      <c r="J43" s="361">
        <f t="shared" ca="1" si="26"/>
        <v>0</v>
      </c>
      <c r="K43" s="362">
        <f t="shared" ca="1" si="27"/>
        <v>15578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504">
        <v>3</v>
      </c>
      <c r="C44" s="505" t="s">
        <v>157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3">
        <f>F41*2</f>
        <v>4</v>
      </c>
      <c r="G44" s="360">
        <f ca="1">IF(ISERROR(OFFSET('HARGA SATUAN'!$I$6,MATCH(RAB!C44,'HARGA SATUAN'!$C$7:$C$1492,0),0)),0,OFFSET('HARGA SATUAN'!$I$6,MATCH(RAB!C44,'HARGA SATUAN'!$C$7:$C$1492,0),0))</f>
        <v>40000</v>
      </c>
      <c r="H44" s="361">
        <f t="shared" ca="1" si="24"/>
        <v>0</v>
      </c>
      <c r="I44" s="361">
        <f t="shared" ca="1" si="25"/>
        <v>160000</v>
      </c>
      <c r="J44" s="361">
        <f t="shared" ca="1" si="26"/>
        <v>0</v>
      </c>
      <c r="K44" s="362">
        <f t="shared" ca="1" si="27"/>
        <v>160000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504">
        <v>4</v>
      </c>
      <c r="C45" s="505" t="s">
        <v>28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3">
        <f>F41*1</f>
        <v>2</v>
      </c>
      <c r="G45" s="360">
        <f ca="1">IF(ISERROR(OFFSET('HARGA SATUAN'!$I$6,MATCH(RAB!C45,'HARGA SATUAN'!$C$7:$C$1492,0),0)),0,OFFSET('HARGA SATUAN'!$I$6,MATCH(RAB!C45,'HARGA SATUAN'!$C$7:$C$1492,0),0))</f>
        <v>26500</v>
      </c>
      <c r="H45" s="361">
        <f t="shared" ca="1" si="24"/>
        <v>0</v>
      </c>
      <c r="I45" s="361">
        <f t="shared" ca="1" si="25"/>
        <v>53000</v>
      </c>
      <c r="J45" s="361">
        <f t="shared" ca="1" si="26"/>
        <v>0</v>
      </c>
      <c r="K45" s="362">
        <f t="shared" ca="1" si="27"/>
        <v>53000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504">
        <v>5</v>
      </c>
      <c r="C46" s="505" t="s">
        <v>163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3">
        <f>F41*4</f>
        <v>8</v>
      </c>
      <c r="G46" s="360">
        <f ca="1">IF(ISERROR(OFFSET('HARGA SATUAN'!$I$6,MATCH(RAB!C46,'HARGA SATUAN'!$C$7:$C$1492,0),0)),0,OFFSET('HARGA SATUAN'!$I$6,MATCH(RAB!C46,'HARGA SATUAN'!$C$7:$C$1492,0),0))</f>
        <v>7938</v>
      </c>
      <c r="H46" s="361">
        <f t="shared" ca="1" si="24"/>
        <v>0</v>
      </c>
      <c r="I46" s="361">
        <f t="shared" ca="1" si="25"/>
        <v>63504</v>
      </c>
      <c r="J46" s="361">
        <f t="shared" ca="1" si="26"/>
        <v>0</v>
      </c>
      <c r="K46" s="362">
        <f t="shared" ca="1" si="27"/>
        <v>63504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504">
        <v>6</v>
      </c>
      <c r="C47" s="505" t="s">
        <v>173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3">
        <f>F41*4</f>
        <v>8</v>
      </c>
      <c r="G47" s="360">
        <f ca="1">IF(ISERROR(OFFSET('HARGA SATUAN'!$I$6,MATCH(RAB!C47,'HARGA SATUAN'!$C$7:$C$1492,0),0)),0,OFFSET('HARGA SATUAN'!$I$6,MATCH(RAB!C47,'HARGA SATUAN'!$C$7:$C$1492,0),0))</f>
        <v>45000</v>
      </c>
      <c r="H47" s="361">
        <f t="shared" ca="1" si="24"/>
        <v>0</v>
      </c>
      <c r="I47" s="361">
        <f t="shared" ca="1" si="25"/>
        <v>360000</v>
      </c>
      <c r="J47" s="361">
        <f t="shared" ca="1" si="26"/>
        <v>0</v>
      </c>
      <c r="K47" s="362">
        <f t="shared" ca="1" si="27"/>
        <v>360000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504">
        <v>7</v>
      </c>
      <c r="C48" s="505" t="s">
        <v>179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3">
        <f>F41*1</f>
        <v>2</v>
      </c>
      <c r="G48" s="360">
        <f ca="1">IF(ISERROR(OFFSET('HARGA SATUAN'!$I$6,MATCH(RAB!C48,'HARGA SATUAN'!$C$7:$C$1492,0),0)),0,OFFSET('HARGA SATUAN'!$I$6,MATCH(RAB!C48,'HARGA SATUAN'!$C$7:$C$1492,0),0))</f>
        <v>15500</v>
      </c>
      <c r="H48" s="361">
        <f t="shared" ca="1" si="24"/>
        <v>0</v>
      </c>
      <c r="I48" s="361">
        <f t="shared" ca="1" si="25"/>
        <v>31000</v>
      </c>
      <c r="J48" s="361">
        <f t="shared" ca="1" si="26"/>
        <v>0</v>
      </c>
      <c r="K48" s="362">
        <f t="shared" ca="1" si="27"/>
        <v>31000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504">
        <v>8</v>
      </c>
      <c r="C49" s="505" t="s">
        <v>593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3">
        <f>F41*2</f>
        <v>4</v>
      </c>
      <c r="G49" s="360">
        <f ca="1">IF(ISERROR(OFFSET('HARGA SATUAN'!$I$6,MATCH(RAB!C49,'HARGA SATUAN'!$C$7:$C$1492,0),0)),0,OFFSET('HARGA SATUAN'!$I$6,MATCH(RAB!C49,'HARGA SATUAN'!$C$7:$C$1492,0),0))</f>
        <v>380500</v>
      </c>
      <c r="H49" s="361">
        <f t="shared" ca="1" si="24"/>
        <v>0</v>
      </c>
      <c r="I49" s="361">
        <f t="shared" ca="1" si="25"/>
        <v>1522000</v>
      </c>
      <c r="J49" s="361">
        <f t="shared" ca="1" si="26"/>
        <v>0</v>
      </c>
      <c r="K49" s="362">
        <f t="shared" ca="1" si="27"/>
        <v>1522000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504">
        <v>9</v>
      </c>
      <c r="C50" s="505" t="s">
        <v>217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3">
        <f>F41*4</f>
        <v>8</v>
      </c>
      <c r="G50" s="360">
        <f ca="1">IF(ISERROR(OFFSET('HARGA SATUAN'!$I$6,MATCH(RAB!C50,'HARGA SATUAN'!$C$7:$C$1492,0),0)),0,OFFSET('HARGA SATUAN'!$I$6,MATCH(RAB!C50,'HARGA SATUAN'!$C$7:$C$1492,0),0))</f>
        <v>11400</v>
      </c>
      <c r="H50" s="361">
        <f t="shared" ca="1" si="24"/>
        <v>0</v>
      </c>
      <c r="I50" s="361">
        <f t="shared" ca="1" si="25"/>
        <v>91200</v>
      </c>
      <c r="J50" s="361">
        <f t="shared" ca="1" si="26"/>
        <v>0</v>
      </c>
      <c r="K50" s="362">
        <f t="shared" ca="1" si="27"/>
        <v>91200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504">
        <v>10</v>
      </c>
      <c r="C51" s="505" t="s">
        <v>218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3">
        <f>F41*2</f>
        <v>4</v>
      </c>
      <c r="G51" s="360">
        <f ca="1">IF(ISERROR(OFFSET('HARGA SATUAN'!$I$6,MATCH(RAB!C51,'HARGA SATUAN'!$C$7:$C$1492,0),0)),0,OFFSET('HARGA SATUAN'!$I$6,MATCH(RAB!C51,'HARGA SATUAN'!$C$7:$C$1492,0),0))</f>
        <v>29600</v>
      </c>
      <c r="H51" s="361">
        <f t="shared" ca="1" si="24"/>
        <v>0</v>
      </c>
      <c r="I51" s="361">
        <f t="shared" ca="1" si="25"/>
        <v>118400</v>
      </c>
      <c r="J51" s="361">
        <f t="shared" ca="1" si="26"/>
        <v>0</v>
      </c>
      <c r="K51" s="362">
        <f t="shared" ca="1" si="27"/>
        <v>118400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504">
        <v>11</v>
      </c>
      <c r="C52" s="505" t="s">
        <v>223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3">
        <f>F41*1</f>
        <v>2</v>
      </c>
      <c r="G52" s="360">
        <f ca="1">IF(ISERROR(OFFSET('HARGA SATUAN'!$I$6,MATCH(RAB!C52,'HARGA SATUAN'!$C$7:$C$1492,0),0)),0,OFFSET('HARGA SATUAN'!$I$6,MATCH(RAB!C52,'HARGA SATUAN'!$C$7:$C$1492,0),0))</f>
        <v>27815</v>
      </c>
      <c r="H52" s="361">
        <f t="shared" ca="1" si="24"/>
        <v>0</v>
      </c>
      <c r="I52" s="361">
        <f t="shared" ca="1" si="25"/>
        <v>55630</v>
      </c>
      <c r="J52" s="361">
        <f t="shared" ca="1" si="26"/>
        <v>0</v>
      </c>
      <c r="K52" s="362">
        <f t="shared" ca="1" si="27"/>
        <v>55630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504">
        <v>12</v>
      </c>
      <c r="C53" s="505" t="s">
        <v>25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3">
        <f>F41*3</f>
        <v>6</v>
      </c>
      <c r="G53" s="360">
        <f ca="1">IF(ISERROR(OFFSET('HARGA SATUAN'!$I$6,MATCH(RAB!C53,'HARGA SATUAN'!$C$7:$C$1492,0),0)),0,OFFSET('HARGA SATUAN'!$I$6,MATCH(RAB!C53,'HARGA SATUAN'!$C$7:$C$1492,0),0))</f>
        <v>23936</v>
      </c>
      <c r="H53" s="361">
        <f t="shared" ref="H53:H60" ca="1" si="28">IF(OR(D53="MDU",D53="MDU-KD"),(IF($O$3="RAB NON MDU","PLN KD",G53*F53)),0)</f>
        <v>0</v>
      </c>
      <c r="I53" s="361">
        <f t="shared" ref="I53:I60" ca="1" si="29">IF(D53="HDW",G53*F53,0)</f>
        <v>143616</v>
      </c>
      <c r="J53" s="361">
        <f t="shared" ref="J53:J60" ca="1" si="30">IF(D53="JASA",G53*F53,0)</f>
        <v>0</v>
      </c>
      <c r="K53" s="362">
        <f t="shared" ref="K53:K60" ca="1" si="31">SUM(H53:J53)</f>
        <v>143616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504">
        <v>13</v>
      </c>
      <c r="C54" s="505" t="s">
        <v>37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3">
        <f>F41*1</f>
        <v>2</v>
      </c>
      <c r="G54" s="360">
        <f ca="1">IF(ISERROR(OFFSET('HARGA SATUAN'!$I$6,MATCH(RAB!C54,'HARGA SATUAN'!$C$7:$C$1492,0),0)),0,OFFSET('HARGA SATUAN'!$I$6,MATCH(RAB!C54,'HARGA SATUAN'!$C$7:$C$1492,0),0))</f>
        <v>63500</v>
      </c>
      <c r="H54" s="361">
        <f t="shared" ca="1" si="28"/>
        <v>0</v>
      </c>
      <c r="I54" s="361">
        <f t="shared" ca="1" si="29"/>
        <v>127000</v>
      </c>
      <c r="J54" s="361">
        <f t="shared" ca="1" si="30"/>
        <v>0</v>
      </c>
      <c r="K54" s="362">
        <f t="shared" ca="1" si="31"/>
        <v>127000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504">
        <v>14</v>
      </c>
      <c r="C55" s="505" t="s">
        <v>247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3">
        <f>F41*1</f>
        <v>2</v>
      </c>
      <c r="G55" s="360">
        <f ca="1">IF(ISERROR(OFFSET('HARGA SATUAN'!$I$6,MATCH(RAB!C55,'HARGA SATUAN'!$C$7:$C$1492,0),0)),0,OFFSET('HARGA SATUAN'!$I$6,MATCH(RAB!C55,'HARGA SATUAN'!$C$7:$C$1492,0),0))</f>
        <v>57690</v>
      </c>
      <c r="H55" s="361">
        <f t="shared" ca="1" si="28"/>
        <v>0</v>
      </c>
      <c r="I55" s="361">
        <f t="shared" ca="1" si="29"/>
        <v>115380</v>
      </c>
      <c r="J55" s="361">
        <f t="shared" ca="1" si="30"/>
        <v>0</v>
      </c>
      <c r="K55" s="362">
        <f t="shared" ca="1" si="31"/>
        <v>115380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504">
        <v>15</v>
      </c>
      <c r="C56" s="505" t="s">
        <v>27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3">
        <f>F41*3</f>
        <v>6</v>
      </c>
      <c r="G56" s="360">
        <f ca="1">IF(ISERROR(OFFSET('HARGA SATUAN'!$I$6,MATCH(RAB!C56,'HARGA SATUAN'!$C$7:$C$1492,0),0)),0,OFFSET('HARGA SATUAN'!$I$6,MATCH(RAB!C56,'HARGA SATUAN'!$C$7:$C$1492,0),0))</f>
        <v>16000</v>
      </c>
      <c r="H56" s="361">
        <f t="shared" ca="1" si="28"/>
        <v>0</v>
      </c>
      <c r="I56" s="361">
        <f t="shared" ca="1" si="29"/>
        <v>96000</v>
      </c>
      <c r="J56" s="361">
        <f t="shared" ca="1" si="30"/>
        <v>0</v>
      </c>
      <c r="K56" s="362">
        <f t="shared" ca="1" si="31"/>
        <v>96000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504">
        <v>16</v>
      </c>
      <c r="C57" s="505" t="s">
        <v>265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3">
        <f>F41*1</f>
        <v>2</v>
      </c>
      <c r="G57" s="360">
        <f ca="1">IF(ISERROR(OFFSET('HARGA SATUAN'!$I$6,MATCH(RAB!C57,'HARGA SATUAN'!$C$7:$C$1492,0),0)),0,OFFSET('HARGA SATUAN'!$I$6,MATCH(RAB!C57,'HARGA SATUAN'!$C$7:$C$1492,0),0))</f>
        <v>33501.866666666669</v>
      </c>
      <c r="H57" s="361">
        <f t="shared" ca="1" si="28"/>
        <v>0</v>
      </c>
      <c r="I57" s="361">
        <f t="shared" ca="1" si="29"/>
        <v>67003.733333333337</v>
      </c>
      <c r="J57" s="361">
        <f t="shared" ca="1" si="30"/>
        <v>0</v>
      </c>
      <c r="K57" s="362">
        <f t="shared" ca="1" si="31"/>
        <v>67003.733333333337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70" customFormat="1">
      <c r="A58" s="336"/>
      <c r="B58" s="504">
        <v>17</v>
      </c>
      <c r="C58" s="505" t="s">
        <v>26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3">
        <f>F41*11</f>
        <v>22</v>
      </c>
      <c r="G58" s="360">
        <f ca="1">IF(ISERROR(OFFSET('HARGA SATUAN'!$I$6,MATCH(RAB!C58,'HARGA SATUAN'!$C$7:$C$1492,0),0)),0,OFFSET('HARGA SATUAN'!$I$6,MATCH(RAB!C58,'HARGA SATUAN'!$C$7:$C$1492,0),0))</f>
        <v>2500</v>
      </c>
      <c r="H58" s="361">
        <f t="shared" ca="1" si="28"/>
        <v>0</v>
      </c>
      <c r="I58" s="361">
        <f t="shared" ca="1" si="29"/>
        <v>55000</v>
      </c>
      <c r="J58" s="361">
        <f t="shared" ca="1" si="30"/>
        <v>0</v>
      </c>
      <c r="K58" s="362">
        <f t="shared" ca="1" si="31"/>
        <v>55000</v>
      </c>
      <c r="L58" s="369"/>
      <c r="M58" s="369"/>
      <c r="N58" s="369"/>
      <c r="O58" s="363"/>
      <c r="P58" s="363"/>
      <c r="Q58" s="344"/>
      <c r="R58" s="336"/>
      <c r="S58" s="364"/>
      <c r="T58" s="341"/>
      <c r="U58" s="341"/>
      <c r="V58" s="341"/>
    </row>
    <row r="59" spans="1:22" s="365" customFormat="1">
      <c r="A59" s="336"/>
      <c r="B59" s="504">
        <v>18</v>
      </c>
      <c r="C59" s="505" t="s">
        <v>703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3">
        <f>F41*1</f>
        <v>2</v>
      </c>
      <c r="G59" s="360">
        <f ca="1">IF(ISERROR(OFFSET('HARGA SATUAN'!$I$6,MATCH(RAB!C59,'HARGA SATUAN'!$C$7:$C$1492,0),0)),0,OFFSET('HARGA SATUAN'!$I$6,MATCH(RAB!C59,'HARGA SATUAN'!$C$7:$C$1492,0),0))</f>
        <v>134700</v>
      </c>
      <c r="H59" s="361">
        <f t="shared" ca="1" si="28"/>
        <v>0</v>
      </c>
      <c r="I59" s="361">
        <f t="shared" ca="1" si="29"/>
        <v>0</v>
      </c>
      <c r="J59" s="361">
        <f t="shared" ca="1" si="30"/>
        <v>269400</v>
      </c>
      <c r="K59" s="362">
        <f t="shared" ca="1" si="31"/>
        <v>269400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373"/>
      <c r="C60" s="374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484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8"/>
        <v>0</v>
      </c>
      <c r="I60" s="361">
        <f t="shared" ca="1" si="29"/>
        <v>0</v>
      </c>
      <c r="J60" s="361">
        <f t="shared" ca="1" si="30"/>
        <v>0</v>
      </c>
      <c r="K60" s="362">
        <f t="shared" ca="1" si="31"/>
        <v>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04" t="s">
        <v>1035</v>
      </c>
      <c r="C61" s="505" t="s">
        <v>1623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484">
        <v>4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:H79" ca="1" si="32">IF(OR(D61="MDU",D61="MDU-KD"),(IF($O$3="RAB NON MDU","PLN KD",G61*F61)),0)</f>
        <v>0</v>
      </c>
      <c r="I61" s="361">
        <f t="shared" ref="I61:I79" ca="1" si="33">IF(D61="HDW",G61*F61,0)</f>
        <v>0</v>
      </c>
      <c r="J61" s="361">
        <f t="shared" ref="J61:J79" ca="1" si="34">IF(D61="JASA",G61*F61,0)</f>
        <v>0</v>
      </c>
      <c r="K61" s="362">
        <f t="shared" ref="K61:K79" ca="1" si="35">SUM(H61:J61)</f>
        <v>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04">
        <v>1</v>
      </c>
      <c r="C62" s="505" t="s">
        <v>30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84">
        <f>F61*1</f>
        <v>4</v>
      </c>
      <c r="G62" s="360">
        <f ca="1">IF(ISERROR(OFFSET('HARGA SATUAN'!$I$6,MATCH(RAB!C62,'HARGA SATUAN'!$C$7:$C$1492,0),0)),0,OFFSET('HARGA SATUAN'!$I$6,MATCH(RAB!C62,'HARGA SATUAN'!$C$7:$C$1492,0),0))</f>
        <v>47459</v>
      </c>
      <c r="H62" s="361">
        <f t="shared" ca="1" si="32"/>
        <v>0</v>
      </c>
      <c r="I62" s="361">
        <f t="shared" ca="1" si="33"/>
        <v>189836</v>
      </c>
      <c r="J62" s="361">
        <f t="shared" ca="1" si="34"/>
        <v>0</v>
      </c>
      <c r="K62" s="362">
        <f t="shared" ca="1" si="35"/>
        <v>189836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04">
        <v>2</v>
      </c>
      <c r="C63" s="505" t="s">
        <v>32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484">
        <f>F61*0.8</f>
        <v>3.2</v>
      </c>
      <c r="G63" s="360">
        <f ca="1">IF(ISERROR(OFFSET('HARGA SATUAN'!$I$6,MATCH(RAB!C63,'HARGA SATUAN'!$C$7:$C$1492,0),0)),0,OFFSET('HARGA SATUAN'!$I$6,MATCH(RAB!C63,'HARGA SATUAN'!$C$7:$C$1492,0),0))</f>
        <v>30000</v>
      </c>
      <c r="H63" s="361">
        <f t="shared" ca="1" si="32"/>
        <v>0</v>
      </c>
      <c r="I63" s="361">
        <f t="shared" ca="1" si="33"/>
        <v>96000</v>
      </c>
      <c r="J63" s="361">
        <f t="shared" ca="1" si="34"/>
        <v>0</v>
      </c>
      <c r="K63" s="362">
        <f t="shared" ca="1" si="35"/>
        <v>96000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504">
        <v>3</v>
      </c>
      <c r="C64" s="505" t="s">
        <v>33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84">
        <f>F61*1</f>
        <v>4</v>
      </c>
      <c r="G64" s="360">
        <f ca="1">IF(ISERROR(OFFSET('HARGA SATUAN'!$I$6,MATCH(RAB!C64,'HARGA SATUAN'!$C$7:$C$1492,0),0)),0,OFFSET('HARGA SATUAN'!$I$6,MATCH(RAB!C64,'HARGA SATUAN'!$C$7:$C$1492,0),0))</f>
        <v>9500</v>
      </c>
      <c r="H64" s="361">
        <f t="shared" ca="1" si="32"/>
        <v>0</v>
      </c>
      <c r="I64" s="361">
        <f t="shared" ca="1" si="33"/>
        <v>38000</v>
      </c>
      <c r="J64" s="361">
        <f t="shared" ca="1" si="34"/>
        <v>0</v>
      </c>
      <c r="K64" s="362">
        <f t="shared" ca="1" si="35"/>
        <v>38000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504">
        <v>4</v>
      </c>
      <c r="C65" s="505" t="s">
        <v>737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484">
        <f>F61*1</f>
        <v>4</v>
      </c>
      <c r="G65" s="360">
        <f ca="1">IF(ISERROR(OFFSET('HARGA SATUAN'!$I$6,MATCH(RAB!C65,'HARGA SATUAN'!$C$7:$C$1492,0),0)),0,OFFSET('HARGA SATUAN'!$I$6,MATCH(RAB!C65,'HARGA SATUAN'!$C$7:$C$1492,0),0))</f>
        <v>16200</v>
      </c>
      <c r="H65" s="361">
        <f t="shared" ca="1" si="32"/>
        <v>0</v>
      </c>
      <c r="I65" s="361">
        <f t="shared" ca="1" si="33"/>
        <v>0</v>
      </c>
      <c r="J65" s="361">
        <f t="shared" ca="1" si="34"/>
        <v>64800</v>
      </c>
      <c r="K65" s="362">
        <f t="shared" ca="1" si="35"/>
        <v>64800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373"/>
      <c r="C66" s="374"/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/>
      </c>
      <c r="F66" s="484"/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32"/>
        <v>0</v>
      </c>
      <c r="I66" s="361">
        <f t="shared" ca="1" si="33"/>
        <v>0</v>
      </c>
      <c r="J66" s="361">
        <f t="shared" ca="1" si="34"/>
        <v>0</v>
      </c>
      <c r="K66" s="362">
        <f t="shared" ca="1" si="35"/>
        <v>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373"/>
      <c r="C67" s="507" t="s">
        <v>1646</v>
      </c>
      <c r="D67" s="358"/>
      <c r="E67" s="359"/>
      <c r="F67" s="484"/>
      <c r="G67" s="360"/>
      <c r="H67" s="361"/>
      <c r="I67" s="361"/>
      <c r="J67" s="361"/>
      <c r="K67" s="362"/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730" t="s">
        <v>1035</v>
      </c>
      <c r="C68" s="731" t="s">
        <v>1644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732">
        <v>2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ref="H68:H75" ca="1" si="36">IF(OR(D68="MDU",D68="MDU-KD"),(IF($O$3="RAB NON MDU","PLN KD",G68*F68)),0)</f>
        <v>0</v>
      </c>
      <c r="I68" s="361">
        <f t="shared" ref="I68:I75" ca="1" si="37">IF(D68="HDW",G68*F68,0)</f>
        <v>0</v>
      </c>
      <c r="J68" s="361">
        <f t="shared" ref="J68:J75" ca="1" si="38">IF(D68="JASA",G68*F68,0)</f>
        <v>0</v>
      </c>
      <c r="K68" s="362">
        <f t="shared" ref="K68:K75" ca="1" si="39">SUM(H68:J68)</f>
        <v>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730">
        <v>1</v>
      </c>
      <c r="C69" s="109" t="s">
        <v>1129</v>
      </c>
      <c r="D69" s="733" t="s">
        <v>1645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732">
        <f>F68*1</f>
        <v>2</v>
      </c>
      <c r="G69" s="360">
        <f ca="1">IF(ISERROR(OFFSET('HARGA SATUAN'!$I$6,MATCH(RAB!C69,'HARGA SATUAN'!$C$7:$C$1492,0),0)),0,OFFSET('HARGA SATUAN'!$I$6,MATCH(RAB!C69,'HARGA SATUAN'!$C$7:$C$1492,0),0))</f>
        <v>176900</v>
      </c>
      <c r="H69" s="361">
        <f t="shared" si="36"/>
        <v>0</v>
      </c>
      <c r="I69" s="361">
        <f t="shared" si="37"/>
        <v>0</v>
      </c>
      <c r="J69" s="361">
        <f t="shared" si="38"/>
        <v>0</v>
      </c>
      <c r="K69" s="362">
        <f t="shared" si="39"/>
        <v>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730">
        <v>2</v>
      </c>
      <c r="C70" s="731" t="s">
        <v>26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732">
        <f>F68*2</f>
        <v>4</v>
      </c>
      <c r="G70" s="360">
        <f ca="1">IF(ISERROR(OFFSET('HARGA SATUAN'!$I$6,MATCH(RAB!C70,'HARGA SATUAN'!$C$7:$C$1492,0),0)),0,OFFSET('HARGA SATUAN'!$I$6,MATCH(RAB!C70,'HARGA SATUAN'!$C$7:$C$1492,0),0))</f>
        <v>2500</v>
      </c>
      <c r="H70" s="361">
        <f t="shared" ca="1" si="36"/>
        <v>0</v>
      </c>
      <c r="I70" s="361">
        <f t="shared" ca="1" si="37"/>
        <v>10000</v>
      </c>
      <c r="J70" s="361">
        <f t="shared" ca="1" si="38"/>
        <v>0</v>
      </c>
      <c r="K70" s="362">
        <f t="shared" ca="1" si="39"/>
        <v>10000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730">
        <v>3</v>
      </c>
      <c r="C71" s="731" t="s">
        <v>38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Mtr</v>
      </c>
      <c r="F71" s="732">
        <f>F69*1.8</f>
        <v>3.6</v>
      </c>
      <c r="G71" s="360">
        <f ca="1">IF(ISERROR(OFFSET('HARGA SATUAN'!$I$6,MATCH(RAB!C71,'HARGA SATUAN'!$C$7:$C$1492,0),0)),0,OFFSET('HARGA SATUAN'!$I$6,MATCH(RAB!C71,'HARGA SATUAN'!$C$7:$C$1492,0),0))</f>
        <v>8550</v>
      </c>
      <c r="H71" s="361">
        <f t="shared" ca="1" si="36"/>
        <v>0</v>
      </c>
      <c r="I71" s="361">
        <f t="shared" ca="1" si="37"/>
        <v>30780</v>
      </c>
      <c r="J71" s="361">
        <f t="shared" ca="1" si="38"/>
        <v>0</v>
      </c>
      <c r="K71" s="362">
        <f t="shared" ca="1" si="39"/>
        <v>30780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730">
        <v>4</v>
      </c>
      <c r="C72" s="731" t="s">
        <v>744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732">
        <f>F68*1</f>
        <v>2</v>
      </c>
      <c r="G72" s="360">
        <f ca="1">IF(ISERROR(OFFSET('HARGA SATUAN'!$I$6,MATCH(RAB!C72,'HARGA SATUAN'!$C$7:$C$1492,0),0)),0,OFFSET('HARGA SATUAN'!$I$6,MATCH(RAB!C72,'HARGA SATUAN'!$C$7:$C$1492,0),0))</f>
        <v>31200</v>
      </c>
      <c r="H72" s="361">
        <f t="shared" ca="1" si="36"/>
        <v>0</v>
      </c>
      <c r="I72" s="361">
        <f t="shared" ca="1" si="37"/>
        <v>0</v>
      </c>
      <c r="J72" s="361">
        <f t="shared" ca="1" si="38"/>
        <v>62400</v>
      </c>
      <c r="K72" s="362">
        <f t="shared" ca="1" si="39"/>
        <v>62400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373"/>
      <c r="C73" s="374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484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36"/>
        <v>0</v>
      </c>
      <c r="I73" s="361">
        <f t="shared" ca="1" si="37"/>
        <v>0</v>
      </c>
      <c r="J73" s="361">
        <f t="shared" ca="1" si="38"/>
        <v>0</v>
      </c>
      <c r="K73" s="362">
        <f t="shared" ca="1" si="39"/>
        <v>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373"/>
      <c r="C74" s="374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484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36"/>
        <v>0</v>
      </c>
      <c r="I74" s="361">
        <f t="shared" ca="1" si="37"/>
        <v>0</v>
      </c>
      <c r="J74" s="361">
        <f t="shared" ca="1" si="38"/>
        <v>0</v>
      </c>
      <c r="K74" s="362">
        <f t="shared" ca="1" si="39"/>
        <v>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373"/>
      <c r="C75" s="507" t="s">
        <v>1624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484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36"/>
        <v>0</v>
      </c>
      <c r="I75" s="361">
        <f t="shared" ca="1" si="37"/>
        <v>0</v>
      </c>
      <c r="J75" s="361">
        <f t="shared" ca="1" si="38"/>
        <v>0</v>
      </c>
      <c r="K75" s="362">
        <f t="shared" ca="1" si="39"/>
        <v>0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373">
        <v>1</v>
      </c>
      <c r="C76" s="109" t="s">
        <v>65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484">
        <f>210*6</f>
        <v>1260</v>
      </c>
      <c r="G76" s="360">
        <f ca="1">IF(ISERROR(OFFSET('HARGA SATUAN'!$I$6,MATCH(RAB!C76,'HARGA SATUAN'!$C$7:$C$1492,0),0)),0,OFFSET('HARGA SATUAN'!$I$6,MATCH(RAB!C76,'HARGA SATUAN'!$C$7:$C$1492,0),0))</f>
        <v>14200</v>
      </c>
      <c r="H76" s="361">
        <f t="shared" ca="1" si="32"/>
        <v>17892000</v>
      </c>
      <c r="I76" s="361">
        <f t="shared" ca="1" si="33"/>
        <v>0</v>
      </c>
      <c r="J76" s="361">
        <f t="shared" ca="1" si="34"/>
        <v>0</v>
      </c>
      <c r="K76" s="362">
        <f t="shared" ca="1" si="35"/>
        <v>17892000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373">
        <v>2</v>
      </c>
      <c r="C77" s="109" t="s">
        <v>301</v>
      </c>
      <c r="D77" s="358" t="str">
        <f ca="1">IF(ISERROR(OFFSET('HARGA SATUAN'!$D$6,MATCH(RAB!C77,'HARGA SATUAN'!$C$7:$C$1492,0),0)),"",OFFSET('HARGA SATUAN'!$D$6,MATCH(RAB!C77,'HARGA SATUAN'!$C$7:$C$1492,0),0))</f>
        <v>JASA</v>
      </c>
      <c r="E77" s="359" t="str">
        <f ca="1">IF(B77="+","Unit",IF(ISERROR(OFFSET('HARGA SATUAN'!$E$6,MATCH(RAB!C77,'HARGA SATUAN'!$C$7:$C$1492,0),0)),"",OFFSET('HARGA SATUAN'!$E$6,MATCH(RAB!C77,'HARGA SATUAN'!$C$7:$C$1492,0),0)))</f>
        <v>Per 50 m</v>
      </c>
      <c r="F77" s="484">
        <f>F76/200</f>
        <v>6.3</v>
      </c>
      <c r="G77" s="360">
        <f ca="1">IF(ISERROR(OFFSET('HARGA SATUAN'!$I$6,MATCH(RAB!C77,'HARGA SATUAN'!$C$7:$C$1492,0),0)),0,OFFSET('HARGA SATUAN'!$I$6,MATCH(RAB!C77,'HARGA SATUAN'!$C$7:$C$1492,0),0))</f>
        <v>300100</v>
      </c>
      <c r="H77" s="361">
        <f t="shared" ca="1" si="32"/>
        <v>0</v>
      </c>
      <c r="I77" s="361">
        <f t="shared" ca="1" si="33"/>
        <v>0</v>
      </c>
      <c r="J77" s="361">
        <f t="shared" ca="1" si="34"/>
        <v>1890630</v>
      </c>
      <c r="K77" s="362">
        <f t="shared" ca="1" si="35"/>
        <v>1890630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373">
        <v>3</v>
      </c>
      <c r="C78" s="109" t="s">
        <v>1157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84">
        <v>4</v>
      </c>
      <c r="G78" s="360">
        <f ca="1">IF(ISERROR(OFFSET('HARGA SATUAN'!$I$6,MATCH(RAB!C78,'HARGA SATUAN'!$C$7:$C$1492,0),0)),0,OFFSET('HARGA SATUAN'!$I$6,MATCH(RAB!C78,'HARGA SATUAN'!$C$7:$C$1492,0),0))</f>
        <v>36500</v>
      </c>
      <c r="H78" s="361">
        <f t="shared" ca="1" si="32"/>
        <v>0</v>
      </c>
      <c r="I78" s="361">
        <f t="shared" ca="1" si="33"/>
        <v>146000</v>
      </c>
      <c r="J78" s="361">
        <f t="shared" ca="1" si="34"/>
        <v>0</v>
      </c>
      <c r="K78" s="362">
        <f t="shared" ca="1" si="35"/>
        <v>146000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373">
        <v>4</v>
      </c>
      <c r="C79" s="197" t="s">
        <v>1099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84">
        <v>4</v>
      </c>
      <c r="G79" s="360">
        <f ca="1">IF(ISERROR(OFFSET('HARGA SATUAN'!$I$6,MATCH(RAB!C79,'HARGA SATUAN'!$C$7:$C$1492,0),0)),0,OFFSET('HARGA SATUAN'!$I$6,MATCH(RAB!C79,'HARGA SATUAN'!$C$7:$C$1492,0),0))</f>
        <v>13770</v>
      </c>
      <c r="H79" s="361">
        <f t="shared" ca="1" si="32"/>
        <v>0</v>
      </c>
      <c r="I79" s="361">
        <f t="shared" ca="1" si="33"/>
        <v>0</v>
      </c>
      <c r="J79" s="361">
        <f t="shared" ca="1" si="34"/>
        <v>55080</v>
      </c>
      <c r="K79" s="362">
        <f t="shared" ca="1" si="35"/>
        <v>55080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373"/>
      <c r="C80" s="374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484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ref="H80:H101" ca="1" si="40">IF(OR(D80="MDU",D80="MDU-KD"),(IF($O$3="RAB NON MDU","PLN KD",G80*F80)),0)</f>
        <v>0</v>
      </c>
      <c r="I80" s="361">
        <f t="shared" ref="I80:I101" ca="1" si="41">IF(D80="HDW",G80*F80,0)</f>
        <v>0</v>
      </c>
      <c r="J80" s="361">
        <f t="shared" ref="J80:J101" ca="1" si="42">IF(D80="JASA",G80*F80,0)</f>
        <v>0</v>
      </c>
      <c r="K80" s="362">
        <f t="shared" ref="K80:K101" ca="1" si="43">SUM(H80:J80)</f>
        <v>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373"/>
      <c r="C81" s="507" t="s">
        <v>1630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484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40"/>
        <v>0</v>
      </c>
      <c r="I81" s="361">
        <f t="shared" ca="1" si="41"/>
        <v>0</v>
      </c>
      <c r="J81" s="361">
        <f t="shared" ca="1" si="42"/>
        <v>0</v>
      </c>
      <c r="K81" s="362">
        <f t="shared" ca="1" si="43"/>
        <v>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373"/>
      <c r="C82" s="374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484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0"/>
        <v>0</v>
      </c>
      <c r="I82" s="361">
        <f t="shared" ca="1" si="41"/>
        <v>0</v>
      </c>
      <c r="J82" s="361">
        <f t="shared" ca="1" si="42"/>
        <v>0</v>
      </c>
      <c r="K82" s="362">
        <f t="shared" ca="1" si="43"/>
        <v>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504" t="s">
        <v>1035</v>
      </c>
      <c r="C83" s="505" t="s">
        <v>1631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484">
        <v>2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40"/>
        <v>0</v>
      </c>
      <c r="I83" s="361">
        <f t="shared" ca="1" si="41"/>
        <v>0</v>
      </c>
      <c r="J83" s="361">
        <f t="shared" ca="1" si="42"/>
        <v>0</v>
      </c>
      <c r="K83" s="362">
        <f t="shared" ca="1" si="43"/>
        <v>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04">
        <v>1</v>
      </c>
      <c r="C84" s="505" t="s">
        <v>28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84">
        <f>F83*1</f>
        <v>2</v>
      </c>
      <c r="G84" s="360">
        <f ca="1">IF(ISERROR(OFFSET('HARGA SATUAN'!$I$6,MATCH(RAB!C84,'HARGA SATUAN'!$C$7:$C$1492,0),0)),0,OFFSET('HARGA SATUAN'!$I$6,MATCH(RAB!C84,'HARGA SATUAN'!$C$7:$C$1492,0),0))</f>
        <v>26500</v>
      </c>
      <c r="H84" s="361">
        <f t="shared" ca="1" si="40"/>
        <v>0</v>
      </c>
      <c r="I84" s="361">
        <f t="shared" ca="1" si="41"/>
        <v>53000</v>
      </c>
      <c r="J84" s="361">
        <f t="shared" ca="1" si="42"/>
        <v>0</v>
      </c>
      <c r="K84" s="362">
        <f t="shared" ca="1" si="43"/>
        <v>53000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04">
        <v>2</v>
      </c>
      <c r="C85" s="505" t="s">
        <v>203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84">
        <f>F83*1</f>
        <v>2</v>
      </c>
      <c r="G85" s="360">
        <f ca="1">IF(ISERROR(OFFSET('HARGA SATUAN'!$I$6,MATCH(RAB!C85,'HARGA SATUAN'!$C$7:$C$1492,0),0)),0,OFFSET('HARGA SATUAN'!$I$6,MATCH(RAB!C85,'HARGA SATUAN'!$C$7:$C$1492,0),0))</f>
        <v>12500</v>
      </c>
      <c r="H85" s="361">
        <f t="shared" ca="1" si="40"/>
        <v>0</v>
      </c>
      <c r="I85" s="361">
        <f t="shared" ca="1" si="41"/>
        <v>25000</v>
      </c>
      <c r="J85" s="361">
        <f t="shared" ca="1" si="42"/>
        <v>0</v>
      </c>
      <c r="K85" s="362">
        <f t="shared" ca="1" si="43"/>
        <v>25000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04">
        <v>3</v>
      </c>
      <c r="C86" s="505" t="s">
        <v>206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Mtr</v>
      </c>
      <c r="F86" s="484">
        <f>F83*12</f>
        <v>24</v>
      </c>
      <c r="G86" s="360">
        <f ca="1">IF(ISERROR(OFFSET('HARGA SATUAN'!$I$6,MATCH(RAB!C86,'HARGA SATUAN'!$C$7:$C$1492,0),0)),0,OFFSET('HARGA SATUAN'!$I$6,MATCH(RAB!C86,'HARGA SATUAN'!$C$7:$C$1492,0),0))</f>
        <v>39204</v>
      </c>
      <c r="H86" s="361">
        <f t="shared" ca="1" si="40"/>
        <v>0</v>
      </c>
      <c r="I86" s="361">
        <f t="shared" ca="1" si="41"/>
        <v>940896</v>
      </c>
      <c r="J86" s="361">
        <f t="shared" ca="1" si="42"/>
        <v>0</v>
      </c>
      <c r="K86" s="362">
        <f t="shared" ca="1" si="43"/>
        <v>940896</v>
      </c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04">
        <v>4</v>
      </c>
      <c r="C87" s="505" t="s">
        <v>287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84">
        <f>F83*2</f>
        <v>4</v>
      </c>
      <c r="G87" s="360">
        <f ca="1">IF(ISERROR(OFFSET('HARGA SATUAN'!$I$6,MATCH(RAB!C87,'HARGA SATUAN'!$C$7:$C$1492,0),0)),0,OFFSET('HARGA SATUAN'!$I$6,MATCH(RAB!C87,'HARGA SATUAN'!$C$7:$C$1492,0),0))</f>
        <v>40000</v>
      </c>
      <c r="H87" s="361">
        <f t="shared" ca="1" si="40"/>
        <v>0</v>
      </c>
      <c r="I87" s="361">
        <f t="shared" ca="1" si="41"/>
        <v>160000</v>
      </c>
      <c r="J87" s="361">
        <f t="shared" ca="1" si="42"/>
        <v>0</v>
      </c>
      <c r="K87" s="362">
        <f t="shared" ca="1" si="43"/>
        <v>160000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04">
        <v>5</v>
      </c>
      <c r="C88" s="505" t="s">
        <v>26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84">
        <f>F83*1</f>
        <v>2</v>
      </c>
      <c r="G88" s="360">
        <f ca="1">IF(ISERROR(OFFSET('HARGA SATUAN'!$I$6,MATCH(RAB!C88,'HARGA SATUAN'!$C$7:$C$1492,0),0)),0,OFFSET('HARGA SATUAN'!$I$6,MATCH(RAB!C88,'HARGA SATUAN'!$C$7:$C$1492,0),0))</f>
        <v>2500</v>
      </c>
      <c r="H88" s="361">
        <f t="shared" ca="1" si="40"/>
        <v>0</v>
      </c>
      <c r="I88" s="361">
        <f t="shared" ca="1" si="41"/>
        <v>5000</v>
      </c>
      <c r="J88" s="361">
        <f t="shared" ca="1" si="42"/>
        <v>0</v>
      </c>
      <c r="K88" s="362">
        <f t="shared" ca="1" si="43"/>
        <v>5000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504">
        <v>6</v>
      </c>
      <c r="C89" s="505" t="s">
        <v>760</v>
      </c>
      <c r="D89" s="358" t="str">
        <f ca="1">IF(ISERROR(OFFSET('HARGA SATUAN'!$D$6,MATCH(RAB!C89,'HARGA SATUAN'!$C$7:$C$1492,0),0)),"",OFFSET('HARGA SATUAN'!$D$6,MATCH(RAB!C89,'HARGA SATUAN'!$C$7:$C$1492,0),0))</f>
        <v>JASA</v>
      </c>
      <c r="E89" s="359" t="str">
        <f ca="1">IF(B89="+","Unit",IF(ISERROR(OFFSET('HARGA SATUAN'!$E$6,MATCH(RAB!C89,'HARGA SATUAN'!$C$7:$C$1492,0),0)),"",OFFSET('HARGA SATUAN'!$E$6,MATCH(RAB!C89,'HARGA SATUAN'!$C$7:$C$1492,0),0)))</f>
        <v>Unit</v>
      </c>
      <c r="F89" s="484">
        <f>F83*1</f>
        <v>2</v>
      </c>
      <c r="G89" s="360">
        <f ca="1">IF(ISERROR(OFFSET('HARGA SATUAN'!$I$6,MATCH(RAB!C89,'HARGA SATUAN'!$C$7:$C$1492,0),0)),0,OFFSET('HARGA SATUAN'!$I$6,MATCH(RAB!C89,'HARGA SATUAN'!$C$7:$C$1492,0),0))</f>
        <v>36600</v>
      </c>
      <c r="H89" s="361">
        <f t="shared" ca="1" si="40"/>
        <v>0</v>
      </c>
      <c r="I89" s="361">
        <f t="shared" ca="1" si="41"/>
        <v>0</v>
      </c>
      <c r="J89" s="361">
        <f t="shared" ca="1" si="42"/>
        <v>73200</v>
      </c>
      <c r="K89" s="362">
        <f t="shared" ca="1" si="43"/>
        <v>73200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373"/>
      <c r="C90" s="374"/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/>
      </c>
      <c r="F90" s="484"/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40"/>
        <v>0</v>
      </c>
      <c r="I90" s="361">
        <f t="shared" ca="1" si="41"/>
        <v>0</v>
      </c>
      <c r="J90" s="361">
        <f t="shared" ca="1" si="42"/>
        <v>0</v>
      </c>
      <c r="K90" s="362">
        <f t="shared" ca="1" si="43"/>
        <v>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504" t="s">
        <v>1035</v>
      </c>
      <c r="C91" s="505" t="s">
        <v>1632</v>
      </c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484">
        <f>F83</f>
        <v>2</v>
      </c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40"/>
        <v>0</v>
      </c>
      <c r="I91" s="361">
        <f t="shared" ca="1" si="41"/>
        <v>0</v>
      </c>
      <c r="J91" s="361">
        <f t="shared" ca="1" si="42"/>
        <v>0</v>
      </c>
      <c r="K91" s="362">
        <f t="shared" ca="1" si="43"/>
        <v>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513">
        <v>1</v>
      </c>
      <c r="C92" s="514" t="s">
        <v>597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84">
        <f>F91*1</f>
        <v>2</v>
      </c>
      <c r="G92" s="360">
        <f ca="1">IF(ISERROR(OFFSET('HARGA SATUAN'!$I$6,MATCH(RAB!C92,'HARGA SATUAN'!$C$7:$C$1492,0),0)),0,OFFSET('HARGA SATUAN'!$I$6,MATCH(RAB!C92,'HARGA SATUAN'!$C$7:$C$1492,0),0))</f>
        <v>120900</v>
      </c>
      <c r="H92" s="361">
        <f t="shared" ca="1" si="40"/>
        <v>0</v>
      </c>
      <c r="I92" s="361">
        <f t="shared" ca="1" si="41"/>
        <v>241800</v>
      </c>
      <c r="J92" s="361">
        <f t="shared" ca="1" si="42"/>
        <v>0</v>
      </c>
      <c r="K92" s="362">
        <f t="shared" ca="1" si="43"/>
        <v>241800</v>
      </c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508">
        <v>2</v>
      </c>
      <c r="C93" s="511" t="s">
        <v>261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84">
        <f>F91*1</f>
        <v>2</v>
      </c>
      <c r="G93" s="360">
        <f ca="1">IF(ISERROR(OFFSET('HARGA SATUAN'!$I$6,MATCH(RAB!C93,'HARGA SATUAN'!$C$7:$C$1492,0),0)),0,OFFSET('HARGA SATUAN'!$I$6,MATCH(RAB!C93,'HARGA SATUAN'!$C$7:$C$1492,0),0))</f>
        <v>135800</v>
      </c>
      <c r="H93" s="361">
        <f t="shared" ca="1" si="40"/>
        <v>0</v>
      </c>
      <c r="I93" s="361">
        <f t="shared" ca="1" si="41"/>
        <v>271600</v>
      </c>
      <c r="J93" s="361">
        <f t="shared" ca="1" si="42"/>
        <v>0</v>
      </c>
      <c r="K93" s="362">
        <f t="shared" ca="1" si="43"/>
        <v>271600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508">
        <v>3</v>
      </c>
      <c r="C94" s="506" t="s">
        <v>214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503">
        <f>F91*1</f>
        <v>2</v>
      </c>
      <c r="G94" s="360">
        <f ca="1">IF(ISERROR(OFFSET('HARGA SATUAN'!$I$6,MATCH(RAB!C94,'HARGA SATUAN'!$C$7:$C$1492,0),0)),0,OFFSET('HARGA SATUAN'!$I$6,MATCH(RAB!C94,'HARGA SATUAN'!$C$7:$C$1492,0),0))</f>
        <v>4500</v>
      </c>
      <c r="H94" s="361">
        <f t="shared" ca="1" si="40"/>
        <v>0</v>
      </c>
      <c r="I94" s="361">
        <f t="shared" ca="1" si="41"/>
        <v>9000</v>
      </c>
      <c r="J94" s="361">
        <f t="shared" ca="1" si="42"/>
        <v>0</v>
      </c>
      <c r="K94" s="362">
        <f t="shared" ca="1" si="43"/>
        <v>9000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504">
        <v>4</v>
      </c>
      <c r="C95" s="505" t="s">
        <v>768</v>
      </c>
      <c r="D95" s="358" t="str">
        <f ca="1">IF(ISERROR(OFFSET('HARGA SATUAN'!$D$6,MATCH(RAB!C95,'HARGA SATUAN'!$C$7:$C$1492,0),0)),"",OFFSET('HARGA SATUAN'!$D$6,MATCH(RAB!C95,'HARGA SATUAN'!$C$7:$C$1492,0),0))</f>
        <v>JASA</v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484">
        <f>F91*1</f>
        <v>2</v>
      </c>
      <c r="G95" s="360">
        <f ca="1">IF(ISERROR(OFFSET('HARGA SATUAN'!$I$6,MATCH(RAB!C95,'HARGA SATUAN'!$C$7:$C$1492,0),0)),0,OFFSET('HARGA SATUAN'!$I$6,MATCH(RAB!C95,'HARGA SATUAN'!$C$7:$C$1492,0),0))</f>
        <v>55500</v>
      </c>
      <c r="H95" s="361">
        <f t="shared" ca="1" si="40"/>
        <v>0</v>
      </c>
      <c r="I95" s="361">
        <f t="shared" ca="1" si="41"/>
        <v>0</v>
      </c>
      <c r="J95" s="361">
        <f t="shared" ca="1" si="42"/>
        <v>111000</v>
      </c>
      <c r="K95" s="362">
        <f t="shared" ca="1" si="43"/>
        <v>111000</v>
      </c>
      <c r="L95" s="342"/>
      <c r="M95" s="342"/>
      <c r="N95" s="369"/>
      <c r="O95" s="344"/>
      <c r="P95" s="344"/>
      <c r="Q95" s="398"/>
      <c r="R95" s="344"/>
      <c r="S95" s="398"/>
      <c r="T95" s="399"/>
      <c r="U95" s="399"/>
      <c r="V95" s="399"/>
    </row>
    <row r="96" spans="1:22" s="365" customFormat="1">
      <c r="A96" s="336"/>
      <c r="B96" s="504"/>
      <c r="C96" s="505"/>
      <c r="D96" s="358"/>
      <c r="E96" s="359"/>
      <c r="F96" s="484"/>
      <c r="G96" s="360"/>
      <c r="H96" s="361"/>
      <c r="I96" s="361"/>
      <c r="J96" s="361"/>
      <c r="K96" s="362"/>
      <c r="L96" s="342"/>
      <c r="M96" s="342"/>
      <c r="N96" s="369"/>
      <c r="O96" s="344"/>
      <c r="P96" s="344"/>
      <c r="Q96" s="398"/>
      <c r="R96" s="344"/>
      <c r="S96" s="398"/>
      <c r="T96" s="399"/>
      <c r="U96" s="399"/>
      <c r="V96" s="399"/>
    </row>
    <row r="97" spans="1:22" s="365" customFormat="1">
      <c r="A97" s="336"/>
      <c r="B97" s="504" t="s">
        <v>1035</v>
      </c>
      <c r="C97" s="505" t="s">
        <v>1633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>Unit</v>
      </c>
      <c r="F97" s="484">
        <f>F83</f>
        <v>2</v>
      </c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40"/>
        <v>0</v>
      </c>
      <c r="I97" s="361">
        <f t="shared" ca="1" si="41"/>
        <v>0</v>
      </c>
      <c r="J97" s="361">
        <f t="shared" ca="1" si="42"/>
        <v>0</v>
      </c>
      <c r="K97" s="362">
        <f t="shared" ca="1" si="43"/>
        <v>0</v>
      </c>
      <c r="L97" s="342"/>
      <c r="M97" s="342"/>
      <c r="N97" s="369"/>
      <c r="O97" s="344"/>
      <c r="P97" s="344"/>
      <c r="Q97" s="398"/>
      <c r="R97" s="344"/>
      <c r="S97" s="398"/>
      <c r="T97" s="399"/>
      <c r="U97" s="399"/>
      <c r="V97" s="399"/>
    </row>
    <row r="98" spans="1:22" s="365" customFormat="1">
      <c r="A98" s="336"/>
      <c r="B98" s="504">
        <v>1</v>
      </c>
      <c r="C98" s="505" t="s">
        <v>30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84">
        <f>F97*1</f>
        <v>2</v>
      </c>
      <c r="G98" s="360">
        <f ca="1">IF(ISERROR(OFFSET('HARGA SATUAN'!$I$6,MATCH(RAB!C98,'HARGA SATUAN'!$C$7:$C$1492,0),0)),0,OFFSET('HARGA SATUAN'!$I$6,MATCH(RAB!C98,'HARGA SATUAN'!$C$7:$C$1492,0),0))</f>
        <v>47459</v>
      </c>
      <c r="H98" s="361">
        <f t="shared" ca="1" si="40"/>
        <v>0</v>
      </c>
      <c r="I98" s="361">
        <f t="shared" ca="1" si="41"/>
        <v>94918</v>
      </c>
      <c r="J98" s="361">
        <f t="shared" ca="1" si="42"/>
        <v>0</v>
      </c>
      <c r="K98" s="362">
        <f t="shared" ca="1" si="43"/>
        <v>94918</v>
      </c>
      <c r="L98" s="342"/>
      <c r="M98" s="342"/>
      <c r="N98" s="369"/>
      <c r="O98" s="344"/>
      <c r="P98" s="344"/>
      <c r="Q98" s="398"/>
      <c r="R98" s="344"/>
      <c r="S98" s="398"/>
      <c r="T98" s="399"/>
      <c r="U98" s="399"/>
      <c r="V98" s="399"/>
    </row>
    <row r="99" spans="1:22" s="365" customFormat="1">
      <c r="A99" s="336"/>
      <c r="B99" s="504">
        <v>2</v>
      </c>
      <c r="C99" s="505" t="s">
        <v>32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Mtr</v>
      </c>
      <c r="F99" s="484">
        <f>F97*1</f>
        <v>2</v>
      </c>
      <c r="G99" s="360">
        <f ca="1">IF(ISERROR(OFFSET('HARGA SATUAN'!$I$6,MATCH(RAB!C99,'HARGA SATUAN'!$C$7:$C$1492,0),0)),0,OFFSET('HARGA SATUAN'!$I$6,MATCH(RAB!C99,'HARGA SATUAN'!$C$7:$C$1492,0),0))</f>
        <v>30000</v>
      </c>
      <c r="H99" s="361">
        <f t="shared" ca="1" si="40"/>
        <v>0</v>
      </c>
      <c r="I99" s="361">
        <f t="shared" ca="1" si="41"/>
        <v>60000</v>
      </c>
      <c r="J99" s="361">
        <f t="shared" ca="1" si="42"/>
        <v>0</v>
      </c>
      <c r="K99" s="362">
        <f t="shared" ca="1" si="43"/>
        <v>60000</v>
      </c>
      <c r="L99" s="342"/>
      <c r="M99" s="342"/>
      <c r="N99" s="369"/>
      <c r="O99" s="344"/>
      <c r="P99" s="344"/>
      <c r="Q99" s="398"/>
      <c r="R99" s="344"/>
      <c r="S99" s="398"/>
      <c r="T99" s="399"/>
      <c r="U99" s="399"/>
      <c r="V99" s="399"/>
    </row>
    <row r="100" spans="1:22" s="365" customFormat="1">
      <c r="A100" s="336"/>
      <c r="B100" s="504">
        <v>3</v>
      </c>
      <c r="C100" s="505" t="s">
        <v>33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84">
        <f>F97*1</f>
        <v>2</v>
      </c>
      <c r="G100" s="360">
        <f ca="1">IF(ISERROR(OFFSET('HARGA SATUAN'!$I$6,MATCH(RAB!C100,'HARGA SATUAN'!$C$7:$C$1492,0),0)),0,OFFSET('HARGA SATUAN'!$I$6,MATCH(RAB!C100,'HARGA SATUAN'!$C$7:$C$1492,0),0))</f>
        <v>9500</v>
      </c>
      <c r="H100" s="361">
        <f t="shared" ca="1" si="40"/>
        <v>0</v>
      </c>
      <c r="I100" s="361">
        <f t="shared" ca="1" si="41"/>
        <v>19000</v>
      </c>
      <c r="J100" s="361">
        <f t="shared" ca="1" si="42"/>
        <v>0</v>
      </c>
      <c r="K100" s="362">
        <f t="shared" ca="1" si="43"/>
        <v>19000</v>
      </c>
      <c r="L100" s="342"/>
      <c r="M100" s="342"/>
      <c r="N100" s="369"/>
      <c r="O100" s="344"/>
      <c r="P100" s="344"/>
      <c r="Q100" s="398"/>
      <c r="R100" s="344"/>
      <c r="S100" s="398"/>
      <c r="T100" s="399"/>
      <c r="U100" s="399"/>
      <c r="V100" s="399"/>
    </row>
    <row r="101" spans="1:22" s="365" customFormat="1">
      <c r="A101" s="336"/>
      <c r="B101" s="504">
        <v>4</v>
      </c>
      <c r="C101" s="505" t="s">
        <v>738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484">
        <f>F97*1</f>
        <v>2</v>
      </c>
      <c r="G101" s="360">
        <f ca="1">IF(ISERROR(OFFSET('HARGA SATUAN'!$I$6,MATCH(RAB!C101,'HARGA SATUAN'!$C$7:$C$1492,0),0)),0,OFFSET('HARGA SATUAN'!$I$6,MATCH(RAB!C101,'HARGA SATUAN'!$C$7:$C$1492,0),0))</f>
        <v>21200</v>
      </c>
      <c r="H101" s="361">
        <f t="shared" ca="1" si="40"/>
        <v>0</v>
      </c>
      <c r="I101" s="361">
        <f t="shared" ca="1" si="41"/>
        <v>0</v>
      </c>
      <c r="J101" s="361">
        <f t="shared" ca="1" si="42"/>
        <v>42400</v>
      </c>
      <c r="K101" s="362">
        <f t="shared" ca="1" si="43"/>
        <v>42400</v>
      </c>
      <c r="L101" s="342"/>
      <c r="M101" s="342"/>
      <c r="N101" s="369"/>
      <c r="O101" s="344"/>
      <c r="P101" s="344"/>
      <c r="Q101" s="398"/>
      <c r="R101" s="344"/>
      <c r="S101" s="398"/>
      <c r="T101" s="399"/>
      <c r="U101" s="399"/>
      <c r="V101" s="399"/>
    </row>
    <row r="102" spans="1:22" s="365" customFormat="1">
      <c r="A102" s="336"/>
      <c r="B102" s="504"/>
      <c r="C102" s="505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84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ref="H102:H117" ca="1" si="44">IF(OR(D102="MDU",D102="MDU-KD"),(IF($O$3="RAB NON MDU","PLN KD",G102*F102)),0)</f>
        <v>0</v>
      </c>
      <c r="I102" s="361">
        <f t="shared" ref="I102:I117" ca="1" si="45">IF(D102="HDW",G102*F102,0)</f>
        <v>0</v>
      </c>
      <c r="J102" s="361">
        <f t="shared" ref="J102:J117" ca="1" si="46">IF(D102="JASA",G102*F102,0)</f>
        <v>0</v>
      </c>
      <c r="K102" s="362">
        <f t="shared" ref="K102:K117" ca="1" si="47">SUM(H102:J102)</f>
        <v>0</v>
      </c>
      <c r="L102" s="342"/>
      <c r="M102" s="342"/>
      <c r="N102" s="369"/>
      <c r="O102" s="344"/>
      <c r="P102" s="344"/>
      <c r="Q102" s="398"/>
      <c r="R102" s="344"/>
      <c r="S102" s="398"/>
      <c r="T102" s="399"/>
      <c r="U102" s="399"/>
      <c r="V102" s="399"/>
    </row>
    <row r="103" spans="1:22" s="365" customFormat="1">
      <c r="A103" s="336"/>
      <c r="B103" s="524" t="s">
        <v>1035</v>
      </c>
      <c r="C103" s="527" t="s">
        <v>1642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>Unit</v>
      </c>
      <c r="F103" s="484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44"/>
        <v>0</v>
      </c>
      <c r="I103" s="361">
        <f t="shared" ca="1" si="45"/>
        <v>0</v>
      </c>
      <c r="J103" s="361">
        <f t="shared" ca="1" si="46"/>
        <v>0</v>
      </c>
      <c r="K103" s="362">
        <f t="shared" ca="1" si="47"/>
        <v>0</v>
      </c>
      <c r="L103" s="342"/>
      <c r="M103" s="342"/>
      <c r="N103" s="369"/>
      <c r="O103" s="344"/>
      <c r="P103" s="344"/>
      <c r="Q103" s="398"/>
      <c r="R103" s="344"/>
      <c r="S103" s="398"/>
      <c r="T103" s="399"/>
      <c r="U103" s="399"/>
      <c r="V103" s="399"/>
    </row>
    <row r="104" spans="1:22" s="365" customFormat="1">
      <c r="A104" s="336"/>
      <c r="B104" s="504"/>
      <c r="C104" s="505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484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44"/>
        <v>0</v>
      </c>
      <c r="I104" s="361">
        <f t="shared" ca="1" si="45"/>
        <v>0</v>
      </c>
      <c r="J104" s="361">
        <f t="shared" ca="1" si="46"/>
        <v>0</v>
      </c>
      <c r="K104" s="362">
        <f t="shared" ca="1" si="47"/>
        <v>0</v>
      </c>
      <c r="L104" s="342"/>
      <c r="M104" s="342"/>
      <c r="N104" s="369"/>
      <c r="O104" s="344"/>
      <c r="P104" s="344"/>
      <c r="Q104" s="398"/>
      <c r="R104" s="344"/>
      <c r="S104" s="398"/>
      <c r="T104" s="399"/>
      <c r="U104" s="399"/>
      <c r="V104" s="399"/>
    </row>
    <row r="105" spans="1:22" s="365" customFormat="1">
      <c r="A105" s="336"/>
      <c r="B105" s="524" t="s">
        <v>1035</v>
      </c>
      <c r="C105" s="526" t="s">
        <v>1643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484">
        <v>2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44"/>
        <v>0</v>
      </c>
      <c r="I105" s="361">
        <f t="shared" ca="1" si="45"/>
        <v>0</v>
      </c>
      <c r="J105" s="361">
        <f t="shared" ca="1" si="46"/>
        <v>0</v>
      </c>
      <c r="K105" s="362">
        <f t="shared" ca="1" si="47"/>
        <v>0</v>
      </c>
      <c r="L105" s="342"/>
      <c r="M105" s="342"/>
      <c r="N105" s="369"/>
      <c r="O105" s="344"/>
      <c r="P105" s="344"/>
      <c r="Q105" s="398"/>
      <c r="R105" s="344"/>
      <c r="S105" s="398"/>
      <c r="T105" s="399"/>
      <c r="U105" s="399"/>
      <c r="V105" s="399"/>
    </row>
    <row r="106" spans="1:22" s="365" customFormat="1">
      <c r="A106" s="336"/>
      <c r="B106" s="524">
        <v>1</v>
      </c>
      <c r="C106" s="526" t="s">
        <v>595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484">
        <f>F105*1</f>
        <v>2</v>
      </c>
      <c r="G106" s="360">
        <f ca="1">IF(ISERROR(OFFSET('HARGA SATUAN'!$I$6,MATCH(RAB!C106,'HARGA SATUAN'!$C$7:$C$1492,0),0)),0,OFFSET('HARGA SATUAN'!$I$6,MATCH(RAB!C106,'HARGA SATUAN'!$C$7:$C$1492,0),0))</f>
        <v>78500</v>
      </c>
      <c r="H106" s="361">
        <f t="shared" ca="1" si="44"/>
        <v>0</v>
      </c>
      <c r="I106" s="361">
        <f t="shared" ca="1" si="45"/>
        <v>157000</v>
      </c>
      <c r="J106" s="361">
        <f t="shared" ca="1" si="46"/>
        <v>0</v>
      </c>
      <c r="K106" s="362">
        <f t="shared" ca="1" si="47"/>
        <v>157000</v>
      </c>
      <c r="L106" s="342"/>
      <c r="M106" s="342"/>
      <c r="N106" s="369"/>
      <c r="O106" s="344"/>
      <c r="P106" s="344"/>
      <c r="Q106" s="398"/>
      <c r="R106" s="344"/>
      <c r="S106" s="398"/>
      <c r="T106" s="399"/>
      <c r="U106" s="399"/>
      <c r="V106" s="399"/>
    </row>
    <row r="107" spans="1:22" s="365" customFormat="1">
      <c r="A107" s="336"/>
      <c r="B107" s="524">
        <v>2</v>
      </c>
      <c r="C107" s="526" t="s">
        <v>229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84">
        <f>F105*1</f>
        <v>2</v>
      </c>
      <c r="G107" s="360">
        <f ca="1">IF(ISERROR(OFFSET('HARGA SATUAN'!$I$6,MATCH(RAB!C107,'HARGA SATUAN'!$C$7:$C$1492,0),0)),0,OFFSET('HARGA SATUAN'!$I$6,MATCH(RAB!C107,'HARGA SATUAN'!$C$7:$C$1492,0),0))</f>
        <v>4212</v>
      </c>
      <c r="H107" s="361">
        <f t="shared" ca="1" si="44"/>
        <v>0</v>
      </c>
      <c r="I107" s="361">
        <f t="shared" ca="1" si="45"/>
        <v>8424</v>
      </c>
      <c r="J107" s="361">
        <f t="shared" ca="1" si="46"/>
        <v>0</v>
      </c>
      <c r="K107" s="362">
        <f t="shared" ca="1" si="47"/>
        <v>8424</v>
      </c>
      <c r="L107" s="342"/>
      <c r="M107" s="342"/>
      <c r="N107" s="369"/>
      <c r="O107" s="344"/>
      <c r="P107" s="344"/>
      <c r="Q107" s="398"/>
      <c r="R107" s="344"/>
      <c r="S107" s="398"/>
      <c r="T107" s="399"/>
      <c r="U107" s="399"/>
      <c r="V107" s="399"/>
    </row>
    <row r="108" spans="1:22" s="365" customFormat="1">
      <c r="A108" s="336"/>
      <c r="B108" s="524">
        <v>3</v>
      </c>
      <c r="C108" s="526" t="s">
        <v>266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Mtr</v>
      </c>
      <c r="F108" s="484">
        <f>F105*1</f>
        <v>2</v>
      </c>
      <c r="G108" s="360">
        <f ca="1">IF(ISERROR(OFFSET('HARGA SATUAN'!$I$6,MATCH(RAB!C108,'HARGA SATUAN'!$C$7:$C$1492,0),0)),0,OFFSET('HARGA SATUAN'!$I$6,MATCH(RAB!C108,'HARGA SATUAN'!$C$7:$C$1492,0),0))</f>
        <v>23310</v>
      </c>
      <c r="H108" s="361">
        <f t="shared" ca="1" si="44"/>
        <v>0</v>
      </c>
      <c r="I108" s="361">
        <f t="shared" ca="1" si="45"/>
        <v>46620</v>
      </c>
      <c r="J108" s="361">
        <f t="shared" ca="1" si="46"/>
        <v>0</v>
      </c>
      <c r="K108" s="362">
        <f t="shared" ca="1" si="47"/>
        <v>46620</v>
      </c>
      <c r="L108" s="342"/>
      <c r="M108" s="342"/>
      <c r="N108" s="369"/>
      <c r="O108" s="344"/>
      <c r="P108" s="344"/>
      <c r="Q108" s="398"/>
      <c r="R108" s="344"/>
      <c r="S108" s="398"/>
      <c r="T108" s="399"/>
      <c r="U108" s="399"/>
      <c r="V108" s="399"/>
    </row>
    <row r="109" spans="1:22" s="365" customFormat="1">
      <c r="A109" s="336"/>
      <c r="B109" s="524">
        <v>4</v>
      </c>
      <c r="C109" s="526" t="s">
        <v>35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84">
        <f>F105*1</f>
        <v>2</v>
      </c>
      <c r="G109" s="360">
        <f ca="1">IF(ISERROR(OFFSET('HARGA SATUAN'!$I$6,MATCH(RAB!C109,'HARGA SATUAN'!$C$7:$C$1492,0),0)),0,OFFSET('HARGA SATUAN'!$I$6,MATCH(RAB!C109,'HARGA SATUAN'!$C$7:$C$1492,0),0))</f>
        <v>2300</v>
      </c>
      <c r="H109" s="361">
        <f t="shared" ca="1" si="44"/>
        <v>0</v>
      </c>
      <c r="I109" s="361">
        <f t="shared" ca="1" si="45"/>
        <v>4600</v>
      </c>
      <c r="J109" s="361">
        <f t="shared" ca="1" si="46"/>
        <v>0</v>
      </c>
      <c r="K109" s="362">
        <f t="shared" ca="1" si="47"/>
        <v>4600</v>
      </c>
      <c r="L109" s="342"/>
      <c r="M109" s="342"/>
      <c r="N109" s="369"/>
      <c r="O109" s="344"/>
      <c r="P109" s="344"/>
      <c r="Q109" s="398"/>
      <c r="R109" s="344"/>
      <c r="S109" s="398"/>
      <c r="T109" s="399"/>
      <c r="U109" s="399"/>
      <c r="V109" s="399"/>
    </row>
    <row r="110" spans="1:22" s="365" customFormat="1">
      <c r="A110" s="336"/>
      <c r="B110" s="524">
        <v>5</v>
      </c>
      <c r="C110" s="526" t="s">
        <v>630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484">
        <f>F105*1</f>
        <v>2</v>
      </c>
      <c r="G110" s="360">
        <f ca="1">IF(ISERROR(OFFSET('HARGA SATUAN'!$I$6,MATCH(RAB!C110,'HARGA SATUAN'!$C$7:$C$1492,0),0)),0,OFFSET('HARGA SATUAN'!$I$6,MATCH(RAB!C110,'HARGA SATUAN'!$C$7:$C$1492,0),0))</f>
        <v>35700</v>
      </c>
      <c r="H110" s="361">
        <f t="shared" ca="1" si="44"/>
        <v>0</v>
      </c>
      <c r="I110" s="361">
        <f t="shared" ca="1" si="45"/>
        <v>0</v>
      </c>
      <c r="J110" s="361">
        <f t="shared" ca="1" si="46"/>
        <v>71400</v>
      </c>
      <c r="K110" s="362">
        <f t="shared" ca="1" si="47"/>
        <v>71400</v>
      </c>
      <c r="L110" s="342"/>
      <c r="M110" s="342"/>
      <c r="N110" s="369"/>
      <c r="O110" s="344"/>
      <c r="P110" s="344"/>
      <c r="Q110" s="398"/>
      <c r="R110" s="344"/>
      <c r="S110" s="398"/>
      <c r="T110" s="399"/>
      <c r="U110" s="399"/>
      <c r="V110" s="399"/>
    </row>
    <row r="111" spans="1:22" s="365" customFormat="1">
      <c r="A111" s="336"/>
      <c r="B111" s="504"/>
      <c r="C111" s="505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484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44"/>
        <v>0</v>
      </c>
      <c r="I111" s="361">
        <f t="shared" ca="1" si="45"/>
        <v>0</v>
      </c>
      <c r="J111" s="361">
        <f t="shared" ca="1" si="46"/>
        <v>0</v>
      </c>
      <c r="K111" s="362">
        <f t="shared" ca="1" si="47"/>
        <v>0</v>
      </c>
      <c r="L111" s="342"/>
      <c r="M111" s="342"/>
      <c r="N111" s="369"/>
      <c r="O111" s="344"/>
      <c r="P111" s="344"/>
      <c r="Q111" s="398"/>
      <c r="R111" s="344"/>
      <c r="S111" s="398"/>
      <c r="T111" s="399"/>
      <c r="U111" s="399"/>
      <c r="V111" s="399"/>
    </row>
    <row r="112" spans="1:22" s="365" customFormat="1">
      <c r="A112" s="336"/>
      <c r="B112" s="504"/>
      <c r="C112" s="505"/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484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44"/>
        <v>0</v>
      </c>
      <c r="I112" s="361">
        <f t="shared" ca="1" si="45"/>
        <v>0</v>
      </c>
      <c r="J112" s="361">
        <f t="shared" ca="1" si="46"/>
        <v>0</v>
      </c>
      <c r="K112" s="362">
        <f t="shared" ca="1" si="47"/>
        <v>0</v>
      </c>
      <c r="L112" s="342"/>
      <c r="M112" s="342"/>
      <c r="N112" s="369"/>
      <c r="O112" s="344"/>
      <c r="P112" s="344"/>
      <c r="Q112" s="398"/>
      <c r="R112" s="344"/>
      <c r="S112" s="398"/>
      <c r="T112" s="399"/>
      <c r="U112" s="399"/>
      <c r="V112" s="399"/>
    </row>
    <row r="113" spans="1:22" s="365" customFormat="1">
      <c r="A113" s="336"/>
      <c r="B113" s="504">
        <v>1</v>
      </c>
      <c r="C113" s="109" t="s">
        <v>1462</v>
      </c>
      <c r="D113" s="358" t="str">
        <f ca="1">IF(ISERROR(OFFSET('HARGA SATUAN'!$D$6,MATCH(RAB!C113,'HARGA SATUAN'!$C$7:$C$1492,0),0)),"",OFFSET('HARGA SATUAN'!$D$6,MATCH(RAB!C113,'HARGA SATUAN'!$C$7:$C$1492,0),0))</f>
        <v>MDU-KD</v>
      </c>
      <c r="E113" s="359" t="str">
        <f ca="1">IF(B113="+","Unit",IF(ISERROR(OFFSET('HARGA SATUAN'!$E$6,MATCH(RAB!C113,'HARGA SATUAN'!$C$7:$C$1492,0),0)),"",OFFSET('HARGA SATUAN'!$E$6,MATCH(RAB!C113,'HARGA SATUAN'!$C$7:$C$1492,0),0)))</f>
        <v>Mtr</v>
      </c>
      <c r="F113" s="484">
        <v>50</v>
      </c>
      <c r="G113" s="360">
        <f ca="1">IF(ISERROR(OFFSET('HARGA SATUAN'!$I$6,MATCH(RAB!C113,'HARGA SATUAN'!$C$7:$C$1492,0),0)),0,OFFSET('HARGA SATUAN'!$I$6,MATCH(RAB!C113,'HARGA SATUAN'!$C$7:$C$1492,0),0))</f>
        <v>54500</v>
      </c>
      <c r="H113" s="361">
        <f t="shared" ca="1" si="44"/>
        <v>2725000</v>
      </c>
      <c r="I113" s="361">
        <f t="shared" ca="1" si="45"/>
        <v>0</v>
      </c>
      <c r="J113" s="361">
        <f t="shared" ca="1" si="46"/>
        <v>0</v>
      </c>
      <c r="K113" s="362">
        <f t="shared" ca="1" si="47"/>
        <v>2725000</v>
      </c>
      <c r="L113" s="342"/>
      <c r="M113" s="342"/>
      <c r="N113" s="369"/>
      <c r="O113" s="344"/>
      <c r="P113" s="344"/>
      <c r="Q113" s="398"/>
      <c r="R113" s="344"/>
      <c r="S113" s="398"/>
      <c r="T113" s="399"/>
      <c r="U113" s="399"/>
      <c r="V113" s="399"/>
    </row>
    <row r="114" spans="1:22" s="365" customFormat="1">
      <c r="A114" s="336"/>
      <c r="B114" s="504">
        <v>2</v>
      </c>
      <c r="C114" s="109" t="s">
        <v>346</v>
      </c>
      <c r="D114" s="358" t="str">
        <f ca="1">IF(ISERROR(OFFSET('HARGA SATUAN'!$D$6,MATCH(RAB!C114,'HARGA SATUAN'!$C$7:$C$1492,0),0)),"",OFFSET('HARGA SATUAN'!$D$6,MATCH(RAB!C114,'HARGA SATUAN'!$C$7:$C$1492,0),0))</f>
        <v>JASA</v>
      </c>
      <c r="E114" s="359" t="str">
        <f ca="1">IF(B114="+","Unit",IF(ISERROR(OFFSET('HARGA SATUAN'!$E$6,MATCH(RAB!C114,'HARGA SATUAN'!$C$7:$C$1492,0),0)),"",OFFSET('HARGA SATUAN'!$E$6,MATCH(RAB!C114,'HARGA SATUAN'!$C$7:$C$1492,0),0)))</f>
        <v>Per 50 m</v>
      </c>
      <c r="F114" s="484">
        <f>F113/50</f>
        <v>1</v>
      </c>
      <c r="G114" s="360">
        <f ca="1">IF(ISERROR(OFFSET('HARGA SATUAN'!$I$6,MATCH(RAB!C114,'HARGA SATUAN'!$C$7:$C$1492,0),0)),0,OFFSET('HARGA SATUAN'!$I$6,MATCH(RAB!C114,'HARGA SATUAN'!$C$7:$C$1492,0),0))</f>
        <v>223500</v>
      </c>
      <c r="H114" s="361">
        <f t="shared" ca="1" si="44"/>
        <v>0</v>
      </c>
      <c r="I114" s="361">
        <f t="shared" ca="1" si="45"/>
        <v>0</v>
      </c>
      <c r="J114" s="361">
        <f t="shared" ca="1" si="46"/>
        <v>223500</v>
      </c>
      <c r="K114" s="362">
        <f t="shared" ca="1" si="47"/>
        <v>223500</v>
      </c>
      <c r="L114" s="342"/>
      <c r="M114" s="342"/>
      <c r="N114" s="369"/>
      <c r="O114" s="344"/>
      <c r="P114" s="344"/>
      <c r="Q114" s="398"/>
      <c r="R114" s="344"/>
      <c r="S114" s="398"/>
      <c r="T114" s="399"/>
      <c r="U114" s="399"/>
      <c r="V114" s="399"/>
    </row>
    <row r="115" spans="1:22" s="365" customFormat="1">
      <c r="A115" s="336"/>
      <c r="B115" s="504"/>
      <c r="C115" s="505"/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484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44"/>
        <v>0</v>
      </c>
      <c r="I115" s="361">
        <f t="shared" ca="1" si="45"/>
        <v>0</v>
      </c>
      <c r="J115" s="361">
        <f t="shared" ca="1" si="46"/>
        <v>0</v>
      </c>
      <c r="K115" s="362">
        <f t="shared" ca="1" si="47"/>
        <v>0</v>
      </c>
      <c r="L115" s="342"/>
      <c r="M115" s="342"/>
      <c r="N115" s="369"/>
      <c r="O115" s="344"/>
      <c r="P115" s="344"/>
      <c r="Q115" s="398"/>
      <c r="R115" s="344"/>
      <c r="S115" s="398"/>
      <c r="T115" s="399"/>
      <c r="U115" s="399"/>
      <c r="V115" s="399"/>
    </row>
    <row r="116" spans="1:22" s="365" customFormat="1">
      <c r="A116" s="336"/>
      <c r="B116" s="373" t="s">
        <v>1549</v>
      </c>
      <c r="C116" s="374" t="s">
        <v>1619</v>
      </c>
      <c r="D116" s="358" t="str">
        <f ca="1">IF(ISERROR(OFFSET('HARGA SATUAN'!$D$6,MATCH(RAB!C116,'HARGA SATUAN'!$C$7:$C$1492,0),0)),"",OFFSET('HARGA SATUAN'!$D$6,MATCH(RAB!C116,'HARGA SATUAN'!$C$7:$C$1492,0),0))</f>
        <v/>
      </c>
      <c r="E116" s="359" t="str">
        <f ca="1">IF(B116="+","Unit",IF(ISERROR(OFFSET('HARGA SATUAN'!$E$6,MATCH(RAB!C116,'HARGA SATUAN'!$C$7:$C$1492,0),0)),"",OFFSET('HARGA SATUAN'!$E$6,MATCH(RAB!C116,'HARGA SATUAN'!$C$7:$C$1492,0),0)))</f>
        <v/>
      </c>
      <c r="F116" s="484"/>
      <c r="G116" s="360">
        <f ca="1">IF(ISERROR(OFFSET('HARGA SATUAN'!$I$6,MATCH(RAB!C116,'HARGA SATUAN'!$C$7:$C$1492,0),0)),0,OFFSET('HARGA SATUAN'!$I$6,MATCH(RAB!C116,'HARGA SATUAN'!$C$7:$C$1492,0),0))</f>
        <v>0</v>
      </c>
      <c r="H116" s="361">
        <f t="shared" ca="1" si="44"/>
        <v>0</v>
      </c>
      <c r="I116" s="361">
        <f t="shared" ca="1" si="45"/>
        <v>0</v>
      </c>
      <c r="J116" s="361">
        <f t="shared" ca="1" si="46"/>
        <v>0</v>
      </c>
      <c r="K116" s="362">
        <f t="shared" ca="1" si="47"/>
        <v>0</v>
      </c>
      <c r="L116" s="342"/>
      <c r="M116" s="342"/>
      <c r="N116" s="369"/>
      <c r="O116" s="344"/>
      <c r="P116" s="344"/>
      <c r="Q116" s="398"/>
      <c r="R116" s="344"/>
      <c r="S116" s="398"/>
      <c r="T116" s="399"/>
      <c r="U116" s="399"/>
      <c r="V116" s="399"/>
    </row>
    <row r="117" spans="1:22" s="365" customFormat="1">
      <c r="A117" s="336"/>
      <c r="B117" s="373"/>
      <c r="C117" s="374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484"/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ca="1" si="44"/>
        <v>0</v>
      </c>
      <c r="I117" s="361">
        <f t="shared" ca="1" si="45"/>
        <v>0</v>
      </c>
      <c r="J117" s="361">
        <f t="shared" ca="1" si="46"/>
        <v>0</v>
      </c>
      <c r="K117" s="362">
        <f t="shared" ca="1" si="47"/>
        <v>0</v>
      </c>
      <c r="L117" s="342"/>
      <c r="M117" s="342"/>
      <c r="N117" s="369"/>
      <c r="O117" s="344"/>
      <c r="P117" s="344"/>
      <c r="Q117" s="398"/>
      <c r="R117" s="344"/>
      <c r="S117" s="398"/>
      <c r="T117" s="399"/>
      <c r="U117" s="399"/>
      <c r="V117" s="399"/>
    </row>
    <row r="118" spans="1:22" s="365" customFormat="1">
      <c r="A118" s="336"/>
      <c r="B118" s="515" t="s">
        <v>1035</v>
      </c>
      <c r="C118" s="516" t="s">
        <v>1634</v>
      </c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>Unit</v>
      </c>
      <c r="F118" s="484">
        <v>1</v>
      </c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ref="H118:H176" ca="1" si="48">IF(OR(D118="MDU",D118="MDU-KD"),(IF($O$3="RAB NON MDU","PLN KD",G118*F118)),0)</f>
        <v>0</v>
      </c>
      <c r="I118" s="361">
        <f t="shared" ref="I118:I176" ca="1" si="49">IF(D118="HDW",G118*F118,0)</f>
        <v>0</v>
      </c>
      <c r="J118" s="361">
        <f t="shared" ref="J118:J176" ca="1" si="50">IF(D118="JASA",G118*F118,0)</f>
        <v>0</v>
      </c>
      <c r="K118" s="362">
        <f t="shared" ref="K118:K176" ca="1" si="51">SUM(H118:J118)</f>
        <v>0</v>
      </c>
      <c r="L118" s="342"/>
      <c r="M118" s="342"/>
      <c r="N118" s="369"/>
      <c r="O118" s="344"/>
      <c r="P118" s="344"/>
      <c r="Q118" s="344"/>
      <c r="R118" s="344"/>
      <c r="S118" s="344"/>
      <c r="T118" s="403"/>
      <c r="U118" s="403"/>
      <c r="V118" s="403"/>
    </row>
    <row r="119" spans="1:22" s="365" customFormat="1">
      <c r="A119" s="336"/>
      <c r="B119" s="515">
        <v>1</v>
      </c>
      <c r="C119" s="109" t="s">
        <v>1147</v>
      </c>
      <c r="D119" s="358" t="str">
        <f ca="1">IF(ISERROR(OFFSET('HARGA SATUAN'!$D$6,MATCH(RAB!C119,'HARGA SATUAN'!$C$7:$C$1492,0),0)),"",OFFSET('HARGA SATUAN'!$D$6,MATCH(RAB!C119,'HARGA SATUAN'!$C$7:$C$1492,0),0))</f>
        <v>MDU-KD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484">
        <f>F118*1</f>
        <v>1</v>
      </c>
      <c r="G119" s="360">
        <f ca="1">IF(ISERROR(OFFSET('HARGA SATUAN'!$I$6,MATCH(RAB!C119,'HARGA SATUAN'!$C$7:$C$1492,0),0)),0,OFFSET('HARGA SATUAN'!$I$6,MATCH(RAB!C119,'HARGA SATUAN'!$C$7:$C$1492,0),0))</f>
        <v>56838600</v>
      </c>
      <c r="H119" s="361">
        <f t="shared" ca="1" si="48"/>
        <v>56838600</v>
      </c>
      <c r="I119" s="361">
        <f t="shared" ca="1" si="49"/>
        <v>0</v>
      </c>
      <c r="J119" s="361">
        <f t="shared" ca="1" si="50"/>
        <v>0</v>
      </c>
      <c r="K119" s="362">
        <f t="shared" ca="1" si="51"/>
        <v>56838600</v>
      </c>
      <c r="L119" s="342"/>
      <c r="M119" s="342"/>
      <c r="N119" s="369"/>
      <c r="O119" s="344"/>
      <c r="P119" s="344"/>
      <c r="Q119" s="344"/>
      <c r="R119" s="344"/>
      <c r="S119" s="344"/>
      <c r="T119" s="399"/>
      <c r="U119" s="399"/>
      <c r="V119" s="399"/>
    </row>
    <row r="120" spans="1:22" s="365" customFormat="1">
      <c r="A120" s="336"/>
      <c r="B120" s="508">
        <v>2</v>
      </c>
      <c r="C120" s="509" t="s">
        <v>1625</v>
      </c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510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48"/>
        <v>0</v>
      </c>
      <c r="I120" s="361">
        <f t="shared" ca="1" si="49"/>
        <v>0</v>
      </c>
      <c r="J120" s="361">
        <f t="shared" ca="1" si="50"/>
        <v>0</v>
      </c>
      <c r="K120" s="362">
        <f t="shared" ca="1" si="51"/>
        <v>0</v>
      </c>
      <c r="L120" s="342"/>
      <c r="M120" s="342"/>
      <c r="N120" s="369"/>
      <c r="O120" s="344"/>
      <c r="P120" s="344"/>
      <c r="Q120" s="344"/>
      <c r="R120" s="344"/>
      <c r="S120" s="344"/>
      <c r="T120" s="399"/>
      <c r="U120" s="399"/>
      <c r="V120" s="399"/>
    </row>
    <row r="121" spans="1:22" s="365" customFormat="1">
      <c r="A121" s="336"/>
      <c r="B121" s="515"/>
      <c r="C121" s="509" t="s">
        <v>65</v>
      </c>
      <c r="D121" s="358" t="str">
        <f ca="1">IF(ISERROR(OFFSET('HARGA SATUAN'!$D$6,MATCH(RAB!C121,'HARGA SATUAN'!$C$7:$C$1492,0),0)),"",OFFSET('HARGA SATUAN'!$D$6,MATCH(RAB!C121,'HARGA SATUAN'!$C$7:$C$1492,0),0))</f>
        <v>MDU-KD</v>
      </c>
      <c r="E121" s="359" t="str">
        <f ca="1">IF(B121="+","Unit",IF(ISERROR(OFFSET('HARGA SATUAN'!$E$6,MATCH(RAB!C121,'HARGA SATUAN'!$C$7:$C$1492,0),0)),"",OFFSET('HARGA SATUAN'!$E$6,MATCH(RAB!C121,'HARGA SATUAN'!$C$7:$C$1492,0),0)))</f>
        <v>Mtr</v>
      </c>
      <c r="F121" s="484">
        <f>F118*(3*3)</f>
        <v>9</v>
      </c>
      <c r="G121" s="360">
        <f ca="1">IF(ISERROR(OFFSET('HARGA SATUAN'!$I$6,MATCH(RAB!C121,'HARGA SATUAN'!$C$7:$C$1492,0),0)),0,OFFSET('HARGA SATUAN'!$I$6,MATCH(RAB!C121,'HARGA SATUAN'!$C$7:$C$1492,0),0))</f>
        <v>14200</v>
      </c>
      <c r="H121" s="361">
        <f t="shared" ca="1" si="48"/>
        <v>127800</v>
      </c>
      <c r="I121" s="361">
        <f t="shared" ca="1" si="49"/>
        <v>0</v>
      </c>
      <c r="J121" s="361">
        <f t="shared" ca="1" si="50"/>
        <v>0</v>
      </c>
      <c r="K121" s="362">
        <f t="shared" ca="1" si="51"/>
        <v>127800</v>
      </c>
      <c r="L121" s="342"/>
      <c r="M121" s="342"/>
      <c r="N121" s="369"/>
      <c r="O121" s="344"/>
      <c r="P121" s="344"/>
      <c r="Q121" s="344"/>
      <c r="R121" s="344"/>
      <c r="S121" s="344"/>
      <c r="T121" s="403"/>
      <c r="U121" s="403"/>
      <c r="V121" s="403"/>
    </row>
    <row r="122" spans="1:22" s="365" customFormat="1">
      <c r="A122" s="336"/>
      <c r="B122" s="515"/>
      <c r="C122" s="109" t="s">
        <v>1402</v>
      </c>
      <c r="D122" s="358" t="str">
        <f ca="1">IF(ISERROR(OFFSET('HARGA SATUAN'!$D$6,MATCH(RAB!C122,'HARGA SATUAN'!$C$7:$C$1492,0),0)),"",OFFSET('HARGA SATUAN'!$D$6,MATCH(RAB!C122,'HARGA SATUAN'!$C$7:$C$1492,0),0))</f>
        <v>MDU-KD</v>
      </c>
      <c r="E122" s="359" t="str">
        <f ca="1">IF(B122="+","Unit",IF(ISERROR(OFFSET('HARGA SATUAN'!$E$6,MATCH(RAB!C122,'HARGA SATUAN'!$C$7:$C$1492,0),0)),"",OFFSET('HARGA SATUAN'!$E$6,MATCH(RAB!C122,'HARGA SATUAN'!$C$7:$C$1492,0),0)))</f>
        <v>Mtr</v>
      </c>
      <c r="F122" s="484">
        <f>F118*3</f>
        <v>3</v>
      </c>
      <c r="G122" s="360">
        <f ca="1">IF(ISERROR(OFFSET('HARGA SATUAN'!$I$6,MATCH(RAB!C122,'HARGA SATUAN'!$C$7:$C$1492,0),0)),0,OFFSET('HARGA SATUAN'!$I$6,MATCH(RAB!C122,'HARGA SATUAN'!$C$7:$C$1492,0),0))</f>
        <v>53300</v>
      </c>
      <c r="H122" s="361">
        <f t="shared" ca="1" si="48"/>
        <v>159900</v>
      </c>
      <c r="I122" s="361">
        <f t="shared" ca="1" si="49"/>
        <v>0</v>
      </c>
      <c r="J122" s="361">
        <f t="shared" ca="1" si="50"/>
        <v>0</v>
      </c>
      <c r="K122" s="362">
        <f t="shared" ca="1" si="51"/>
        <v>159900</v>
      </c>
      <c r="L122" s="406" t="e">
        <f ca="1">PROPER([94]!terbilang(K182))</f>
        <v>#NAME?</v>
      </c>
      <c r="M122" s="406"/>
      <c r="N122" s="369"/>
      <c r="O122" s="344"/>
      <c r="P122" s="344"/>
      <c r="Q122" s="344"/>
    </row>
    <row r="123" spans="1:22">
      <c r="B123" s="515">
        <v>3</v>
      </c>
      <c r="C123" s="109" t="s">
        <v>559</v>
      </c>
      <c r="D123" s="358" t="str">
        <f ca="1">IF(ISERROR(OFFSET('HARGA SATUAN'!$D$6,MATCH(RAB!C123,'HARGA SATUAN'!$C$7:$C$1492,0),0)),"",OFFSET('HARGA SATUAN'!$D$6,MATCH(RAB!C123,'HARGA SATUAN'!$C$7:$C$1492,0),0))</f>
        <v>MDU-KD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484">
        <f>F118*3</f>
        <v>3</v>
      </c>
      <c r="G123" s="360">
        <f ca="1">IF(ISERROR(OFFSET('HARGA SATUAN'!$I$6,MATCH(RAB!C123,'HARGA SATUAN'!$C$7:$C$1492,0),0)),0,OFFSET('HARGA SATUAN'!$I$6,MATCH(RAB!C123,'HARGA SATUAN'!$C$7:$C$1492,0),0))</f>
        <v>725900</v>
      </c>
      <c r="H123" s="361">
        <f t="shared" ca="1" si="48"/>
        <v>2177700</v>
      </c>
      <c r="I123" s="361">
        <f t="shared" ca="1" si="49"/>
        <v>0</v>
      </c>
      <c r="J123" s="361">
        <f t="shared" ca="1" si="50"/>
        <v>0</v>
      </c>
      <c r="K123" s="362">
        <f t="shared" ca="1" si="51"/>
        <v>2177700</v>
      </c>
    </row>
    <row r="124" spans="1:22">
      <c r="B124" s="515">
        <v>4</v>
      </c>
      <c r="C124" s="516" t="s">
        <v>535</v>
      </c>
      <c r="D124" s="358" t="str">
        <f ca="1">IF(ISERROR(OFFSET('HARGA SATUAN'!$D$6,MATCH(RAB!C124,'HARGA SATUAN'!$C$7:$C$1492,0),0)),"",OFFSET('HARGA SATUAN'!$D$6,MATCH(RAB!C124,'HARGA SATUAN'!$C$7:$C$1492,0),0))</f>
        <v>MDU-KD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484">
        <f>F118*3</f>
        <v>3</v>
      </c>
      <c r="G124" s="360">
        <f ca="1">IF(ISERROR(OFFSET('HARGA SATUAN'!$I$6,MATCH(RAB!C124,'HARGA SATUAN'!$C$7:$C$1492,0),0)),0,OFFSET('HARGA SATUAN'!$I$6,MATCH(RAB!C124,'HARGA SATUAN'!$C$7:$C$1492,0),0))</f>
        <v>848250</v>
      </c>
      <c r="H124" s="361">
        <f t="shared" ca="1" si="48"/>
        <v>2544750</v>
      </c>
      <c r="I124" s="361">
        <f t="shared" ca="1" si="49"/>
        <v>0</v>
      </c>
      <c r="J124" s="361">
        <f t="shared" ca="1" si="50"/>
        <v>0</v>
      </c>
      <c r="K124" s="362">
        <f t="shared" ca="1" si="51"/>
        <v>2544750</v>
      </c>
    </row>
    <row r="125" spans="1:22">
      <c r="B125" s="515">
        <v>5</v>
      </c>
      <c r="C125" s="516" t="s">
        <v>55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84">
        <f>F118*3</f>
        <v>3</v>
      </c>
      <c r="G125" s="360">
        <f ca="1">IF(ISERROR(OFFSET('HARGA SATUAN'!$I$6,MATCH(RAB!C125,'HARGA SATUAN'!$C$7:$C$1492,0),0)),0,OFFSET('HARGA SATUAN'!$I$6,MATCH(RAB!C125,'HARGA SATUAN'!$C$7:$C$1492,0),0))</f>
        <v>18000</v>
      </c>
      <c r="H125" s="361">
        <f t="shared" ca="1" si="48"/>
        <v>0</v>
      </c>
      <c r="I125" s="361">
        <f t="shared" ca="1" si="49"/>
        <v>54000</v>
      </c>
      <c r="J125" s="361">
        <f t="shared" ca="1" si="50"/>
        <v>0</v>
      </c>
      <c r="K125" s="362">
        <f t="shared" ca="1" si="51"/>
        <v>54000</v>
      </c>
    </row>
    <row r="126" spans="1:22">
      <c r="B126" s="515">
        <v>6</v>
      </c>
      <c r="C126" s="109" t="s">
        <v>1581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484">
        <f>F118*13</f>
        <v>13</v>
      </c>
      <c r="G126" s="360">
        <f ca="1">IF(ISERROR(OFFSET('HARGA SATUAN'!$I$6,MATCH(RAB!C126,'HARGA SATUAN'!$C$7:$C$1492,0),0)),0,OFFSET('HARGA SATUAN'!$I$6,MATCH(RAB!C126,'HARGA SATUAN'!$C$7:$C$1492,0),0))</f>
        <v>73300</v>
      </c>
      <c r="H126" s="361">
        <f t="shared" ca="1" si="48"/>
        <v>0</v>
      </c>
      <c r="I126" s="361">
        <f t="shared" ca="1" si="49"/>
        <v>952900</v>
      </c>
      <c r="J126" s="361">
        <f t="shared" ca="1" si="50"/>
        <v>0</v>
      </c>
      <c r="K126" s="362">
        <f t="shared" ca="1" si="51"/>
        <v>952900</v>
      </c>
    </row>
    <row r="127" spans="1:22">
      <c r="B127" s="515">
        <v>7</v>
      </c>
      <c r="C127" s="516" t="s">
        <v>163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484">
        <f>F118*28</f>
        <v>28</v>
      </c>
      <c r="G127" s="360">
        <f ca="1">IF(ISERROR(OFFSET('HARGA SATUAN'!$I$6,MATCH(RAB!C127,'HARGA SATUAN'!$C$7:$C$1492,0),0)),0,OFFSET('HARGA SATUAN'!$I$6,MATCH(RAB!C127,'HARGA SATUAN'!$C$7:$C$1492,0),0))</f>
        <v>7938</v>
      </c>
      <c r="H127" s="361">
        <f t="shared" ca="1" si="48"/>
        <v>0</v>
      </c>
      <c r="I127" s="361">
        <f t="shared" ca="1" si="49"/>
        <v>222264</v>
      </c>
      <c r="J127" s="361">
        <f t="shared" ca="1" si="50"/>
        <v>0</v>
      </c>
      <c r="K127" s="362">
        <f t="shared" ca="1" si="51"/>
        <v>222264</v>
      </c>
    </row>
    <row r="128" spans="1:22">
      <c r="B128" s="515">
        <v>8</v>
      </c>
      <c r="C128" s="516" t="s">
        <v>176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484">
        <f>F118*2</f>
        <v>2</v>
      </c>
      <c r="G128" s="360">
        <f ca="1">IF(ISERROR(OFFSET('HARGA SATUAN'!$I$6,MATCH(RAB!C128,'HARGA SATUAN'!$C$7:$C$1492,0),0)),0,OFFSET('HARGA SATUAN'!$I$6,MATCH(RAB!C128,'HARGA SATUAN'!$C$7:$C$1492,0),0))</f>
        <v>404600</v>
      </c>
      <c r="H128" s="361">
        <f t="shared" ca="1" si="48"/>
        <v>0</v>
      </c>
      <c r="I128" s="361">
        <f t="shared" ca="1" si="49"/>
        <v>809200</v>
      </c>
      <c r="J128" s="361">
        <f t="shared" ca="1" si="50"/>
        <v>0</v>
      </c>
      <c r="K128" s="362">
        <f t="shared" ca="1" si="51"/>
        <v>809200</v>
      </c>
    </row>
    <row r="129" spans="2:11">
      <c r="B129" s="515">
        <v>9</v>
      </c>
      <c r="C129" s="516" t="s">
        <v>184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484">
        <f>F118*3</f>
        <v>3</v>
      </c>
      <c r="G129" s="360">
        <f ca="1">IF(ISERROR(OFFSET('HARGA SATUAN'!$I$6,MATCH(RAB!C129,'HARGA SATUAN'!$C$7:$C$1492,0),0)),0,OFFSET('HARGA SATUAN'!$I$6,MATCH(RAB!C129,'HARGA SATUAN'!$C$7:$C$1492,0),0))</f>
        <v>15900</v>
      </c>
      <c r="H129" s="361">
        <f t="shared" ca="1" si="48"/>
        <v>0</v>
      </c>
      <c r="I129" s="361">
        <f t="shared" ca="1" si="49"/>
        <v>47700</v>
      </c>
      <c r="J129" s="361">
        <f t="shared" ca="1" si="50"/>
        <v>0</v>
      </c>
      <c r="K129" s="362">
        <f t="shared" ca="1" si="51"/>
        <v>47700</v>
      </c>
    </row>
    <row r="130" spans="2:11">
      <c r="B130" s="515">
        <v>10</v>
      </c>
      <c r="C130" s="516" t="s">
        <v>593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484">
        <f>F118*5</f>
        <v>5</v>
      </c>
      <c r="G130" s="360">
        <f ca="1">IF(ISERROR(OFFSET('HARGA SATUAN'!$I$6,MATCH(RAB!C130,'HARGA SATUAN'!$C$7:$C$1492,0),0)),0,OFFSET('HARGA SATUAN'!$I$6,MATCH(RAB!C130,'HARGA SATUAN'!$C$7:$C$1492,0),0))</f>
        <v>380500</v>
      </c>
      <c r="H130" s="361">
        <f t="shared" ca="1" si="48"/>
        <v>0</v>
      </c>
      <c r="I130" s="361">
        <f t="shared" ca="1" si="49"/>
        <v>1902500</v>
      </c>
      <c r="J130" s="361">
        <f t="shared" ca="1" si="50"/>
        <v>0</v>
      </c>
      <c r="K130" s="362">
        <f t="shared" ca="1" si="51"/>
        <v>1902500</v>
      </c>
    </row>
    <row r="131" spans="2:11">
      <c r="B131" s="515">
        <v>11</v>
      </c>
      <c r="C131" s="516" t="s">
        <v>594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484">
        <f>F118*4</f>
        <v>4</v>
      </c>
      <c r="G131" s="360">
        <f ca="1">IF(ISERROR(OFFSET('HARGA SATUAN'!$I$6,MATCH(RAB!C131,'HARGA SATUAN'!$C$7:$C$1492,0),0)),0,OFFSET('HARGA SATUAN'!$I$6,MATCH(RAB!C131,'HARGA SATUAN'!$C$7:$C$1492,0),0))</f>
        <v>559200</v>
      </c>
      <c r="H131" s="361">
        <f t="shared" ca="1" si="48"/>
        <v>0</v>
      </c>
      <c r="I131" s="361">
        <f t="shared" ca="1" si="49"/>
        <v>2236800</v>
      </c>
      <c r="J131" s="361">
        <f t="shared" ca="1" si="50"/>
        <v>0</v>
      </c>
      <c r="K131" s="362">
        <f t="shared" ca="1" si="51"/>
        <v>2236800</v>
      </c>
    </row>
    <row r="132" spans="2:11">
      <c r="B132" s="515">
        <v>12</v>
      </c>
      <c r="C132" s="516" t="s">
        <v>208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Bh</v>
      </c>
      <c r="F132" s="484">
        <f>F118*3</f>
        <v>3</v>
      </c>
      <c r="G132" s="360">
        <f ca="1">IF(ISERROR(OFFSET('HARGA SATUAN'!$I$6,MATCH(RAB!C132,'HARGA SATUAN'!$C$7:$C$1492,0),0)),0,OFFSET('HARGA SATUAN'!$I$6,MATCH(RAB!C132,'HARGA SATUAN'!$C$7:$C$1492,0),0))</f>
        <v>173400</v>
      </c>
      <c r="H132" s="361">
        <f t="shared" ca="1" si="48"/>
        <v>0</v>
      </c>
      <c r="I132" s="361">
        <f t="shared" ca="1" si="49"/>
        <v>520200</v>
      </c>
      <c r="J132" s="361">
        <f t="shared" ca="1" si="50"/>
        <v>0</v>
      </c>
      <c r="K132" s="362">
        <f t="shared" ca="1" si="51"/>
        <v>520200</v>
      </c>
    </row>
    <row r="133" spans="2:11">
      <c r="B133" s="515">
        <v>13</v>
      </c>
      <c r="C133" s="516" t="s">
        <v>247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484">
        <f>F118*2</f>
        <v>2</v>
      </c>
      <c r="G133" s="360">
        <f ca="1">IF(ISERROR(OFFSET('HARGA SATUAN'!$I$6,MATCH(RAB!C133,'HARGA SATUAN'!$C$7:$C$1492,0),0)),0,OFFSET('HARGA SATUAN'!$I$6,MATCH(RAB!C133,'HARGA SATUAN'!$C$7:$C$1492,0),0))</f>
        <v>57690</v>
      </c>
      <c r="H133" s="361">
        <f t="shared" ca="1" si="48"/>
        <v>0</v>
      </c>
      <c r="I133" s="361">
        <f t="shared" ca="1" si="49"/>
        <v>115380</v>
      </c>
      <c r="J133" s="361">
        <f t="shared" ca="1" si="50"/>
        <v>0</v>
      </c>
      <c r="K133" s="362">
        <f t="shared" ca="1" si="51"/>
        <v>115380</v>
      </c>
    </row>
    <row r="134" spans="2:11">
      <c r="B134" s="515">
        <v>14</v>
      </c>
      <c r="C134" s="516" t="s">
        <v>248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484">
        <f>F118*2</f>
        <v>2</v>
      </c>
      <c r="G134" s="360">
        <f ca="1">IF(ISERROR(OFFSET('HARGA SATUAN'!$I$6,MATCH(RAB!C134,'HARGA SATUAN'!$C$7:$C$1492,0),0)),0,OFFSET('HARGA SATUAN'!$I$6,MATCH(RAB!C134,'HARGA SATUAN'!$C$7:$C$1492,0),0))</f>
        <v>60300</v>
      </c>
      <c r="H134" s="361">
        <f t="shared" ca="1" si="48"/>
        <v>0</v>
      </c>
      <c r="I134" s="361">
        <f t="shared" ca="1" si="49"/>
        <v>120600</v>
      </c>
      <c r="J134" s="361">
        <f t="shared" ca="1" si="50"/>
        <v>0</v>
      </c>
      <c r="K134" s="362">
        <f t="shared" ca="1" si="51"/>
        <v>120600</v>
      </c>
    </row>
    <row r="135" spans="2:11">
      <c r="B135" s="515">
        <v>15</v>
      </c>
      <c r="C135" s="516" t="s">
        <v>267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484">
        <f>F118*4</f>
        <v>4</v>
      </c>
      <c r="G135" s="360">
        <f ca="1">IF(ISERROR(OFFSET('HARGA SATUAN'!$I$6,MATCH(RAB!C135,'HARGA SATUAN'!$C$7:$C$1492,0),0)),0,OFFSET('HARGA SATUAN'!$I$6,MATCH(RAB!C135,'HARGA SATUAN'!$C$7:$C$1492,0),0))</f>
        <v>129000</v>
      </c>
      <c r="H135" s="361">
        <f t="shared" ca="1" si="48"/>
        <v>0</v>
      </c>
      <c r="I135" s="361">
        <f t="shared" ca="1" si="49"/>
        <v>516000</v>
      </c>
      <c r="J135" s="361">
        <f t="shared" ca="1" si="50"/>
        <v>0</v>
      </c>
      <c r="K135" s="362">
        <f t="shared" ca="1" si="51"/>
        <v>516000</v>
      </c>
    </row>
    <row r="136" spans="2:11">
      <c r="B136" s="515">
        <v>16</v>
      </c>
      <c r="C136" s="516" t="s">
        <v>786</v>
      </c>
      <c r="D136" s="358" t="str">
        <f ca="1">IF(ISERROR(OFFSET('HARGA SATUAN'!$D$6,MATCH(RAB!C136,'HARGA SATUAN'!$C$7:$C$1492,0),0)),"",OFFSET('HARGA SATUAN'!$D$6,MATCH(RAB!C136,'HARGA SATUAN'!$C$7:$C$1492,0),0))</f>
        <v>JASA</v>
      </c>
      <c r="E136" s="359" t="str">
        <f ca="1">IF(B136="+","Unit",IF(ISERROR(OFFSET('HARGA SATUAN'!$E$6,MATCH(RAB!C136,'HARGA SATUAN'!$C$7:$C$1492,0),0)),"",OFFSET('HARGA SATUAN'!$E$6,MATCH(RAB!C136,'HARGA SATUAN'!$C$7:$C$1492,0),0)))</f>
        <v>Unit</v>
      </c>
      <c r="F136" s="484">
        <f>F118*1</f>
        <v>1</v>
      </c>
      <c r="G136" s="360">
        <f ca="1">IF(ISERROR(OFFSET('HARGA SATUAN'!$I$6,MATCH(RAB!C136,'HARGA SATUAN'!$C$7:$C$1492,0),0)),0,OFFSET('HARGA SATUAN'!$I$6,MATCH(RAB!C136,'HARGA SATUAN'!$C$7:$C$1492,0),0))</f>
        <v>3686500</v>
      </c>
      <c r="H136" s="361">
        <f t="shared" ca="1" si="48"/>
        <v>0</v>
      </c>
      <c r="I136" s="361">
        <f t="shared" ca="1" si="49"/>
        <v>0</v>
      </c>
      <c r="J136" s="361">
        <f t="shared" ca="1" si="50"/>
        <v>3686500</v>
      </c>
      <c r="K136" s="362">
        <f t="shared" ca="1" si="51"/>
        <v>3686500</v>
      </c>
    </row>
    <row r="137" spans="2:11">
      <c r="B137" s="501"/>
      <c r="C137" s="109"/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IF(B137="+","Unit",IF(ISERROR(OFFSET('HARGA SATUAN'!$E$6,MATCH(RAB!C137,'HARGA SATUAN'!$C$7:$C$1492,0),0)),"",OFFSET('HARGA SATUAN'!$E$6,MATCH(RAB!C137,'HARGA SATUAN'!$C$7:$C$1492,0),0)))</f>
        <v/>
      </c>
      <c r="F137" s="484"/>
      <c r="G137" s="360">
        <f ca="1">IF(ISERROR(OFFSET('HARGA SATUAN'!$I$6,MATCH(RAB!C137,'HARGA SATUAN'!$C$7:$C$1492,0),0)),0,OFFSET('HARGA SATUAN'!$I$6,MATCH(RAB!C137,'HARGA SATUAN'!$C$7:$C$1492,0),0))</f>
        <v>0</v>
      </c>
      <c r="H137" s="361">
        <f t="shared" ca="1" si="48"/>
        <v>0</v>
      </c>
      <c r="I137" s="361">
        <f t="shared" ca="1" si="49"/>
        <v>0</v>
      </c>
      <c r="J137" s="361">
        <f t="shared" ca="1" si="50"/>
        <v>0</v>
      </c>
      <c r="K137" s="362">
        <f t="shared" ca="1" si="51"/>
        <v>0</v>
      </c>
    </row>
    <row r="138" spans="2:11">
      <c r="B138" s="508" t="s">
        <v>1035</v>
      </c>
      <c r="C138" s="511" t="s">
        <v>1626</v>
      </c>
      <c r="D138" s="358" t="str">
        <f ca="1">IF(ISERROR(OFFSET('HARGA SATUAN'!$D$6,MATCH(RAB!C138,'HARGA SATUAN'!$C$7:$C$1492,0),0)),"",OFFSET('HARGA SATUAN'!$D$6,MATCH(RAB!C138,'HARGA SATUAN'!$C$7:$C$1492,0),0))</f>
        <v/>
      </c>
      <c r="E138" s="359" t="str">
        <f ca="1">IF(B138="+","Unit",IF(ISERROR(OFFSET('HARGA SATUAN'!$E$6,MATCH(RAB!C138,'HARGA SATUAN'!$C$7:$C$1492,0),0)),"",OFFSET('HARGA SATUAN'!$E$6,MATCH(RAB!C138,'HARGA SATUAN'!$C$7:$C$1492,0),0)))</f>
        <v>Unit</v>
      </c>
      <c r="F138" s="484">
        <v>2</v>
      </c>
      <c r="G138" s="360">
        <f ca="1">IF(ISERROR(OFFSET('HARGA SATUAN'!$I$6,MATCH(RAB!C138,'HARGA SATUAN'!$C$7:$C$1492,0),0)),0,OFFSET('HARGA SATUAN'!$I$6,MATCH(RAB!C138,'HARGA SATUAN'!$C$7:$C$1492,0),0))</f>
        <v>0</v>
      </c>
      <c r="H138" s="361">
        <f t="shared" ca="1" si="48"/>
        <v>0</v>
      </c>
      <c r="I138" s="361">
        <f t="shared" ca="1" si="49"/>
        <v>0</v>
      </c>
      <c r="J138" s="361">
        <f t="shared" ca="1" si="50"/>
        <v>0</v>
      </c>
      <c r="K138" s="362">
        <f t="shared" ca="1" si="51"/>
        <v>0</v>
      </c>
    </row>
    <row r="139" spans="2:11">
      <c r="B139" s="508">
        <v>1</v>
      </c>
      <c r="C139" s="506" t="s">
        <v>29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484">
        <f>F138*1</f>
        <v>2</v>
      </c>
      <c r="G139" s="360">
        <f ca="1">IF(ISERROR(OFFSET('HARGA SATUAN'!$I$6,MATCH(RAB!C139,'HARGA SATUAN'!$C$7:$C$1492,0),0)),0,OFFSET('HARGA SATUAN'!$I$6,MATCH(RAB!C139,'HARGA SATUAN'!$C$7:$C$1492,0),0))</f>
        <v>185200</v>
      </c>
      <c r="H139" s="361">
        <f t="shared" ca="1" si="48"/>
        <v>0</v>
      </c>
      <c r="I139" s="361">
        <f t="shared" ca="1" si="49"/>
        <v>370400</v>
      </c>
      <c r="J139" s="361">
        <f t="shared" ca="1" si="50"/>
        <v>0</v>
      </c>
      <c r="K139" s="362">
        <f t="shared" ca="1" si="51"/>
        <v>370400</v>
      </c>
    </row>
    <row r="140" spans="2:11">
      <c r="B140" s="504">
        <v>2</v>
      </c>
      <c r="C140" s="505" t="s">
        <v>30</v>
      </c>
      <c r="D140" s="358" t="str">
        <f ca="1">IF(ISERROR(OFFSET('HARGA SATUAN'!$D$6,MATCH(RAB!C140,'HARGA SATUAN'!$C$7:$C$1492,0),0)),"",OFFSET('HARGA SATUAN'!$D$6,MATCH(RAB!C140,'HARGA SATUAN'!$C$7:$C$1492,0),0))</f>
        <v>HDW</v>
      </c>
      <c r="E140" s="359" t="str">
        <f ca="1">IF(B140="+","Unit",IF(ISERROR(OFFSET('HARGA SATUAN'!$E$6,MATCH(RAB!C140,'HARGA SATUAN'!$C$7:$C$1492,0),0)),"",OFFSET('HARGA SATUAN'!$E$6,MATCH(RAB!C140,'HARGA SATUAN'!$C$7:$C$1492,0),0)))</f>
        <v>Bh</v>
      </c>
      <c r="F140" s="484">
        <f>F138*1</f>
        <v>2</v>
      </c>
      <c r="G140" s="360">
        <f ca="1">IF(ISERROR(OFFSET('HARGA SATUAN'!$I$6,MATCH(RAB!C140,'HARGA SATUAN'!$C$7:$C$1492,0),0)),0,OFFSET('HARGA SATUAN'!$I$6,MATCH(RAB!C140,'HARGA SATUAN'!$C$7:$C$1492,0),0))</f>
        <v>47459</v>
      </c>
      <c r="H140" s="361">
        <f t="shared" ca="1" si="48"/>
        <v>0</v>
      </c>
      <c r="I140" s="361">
        <f t="shared" ca="1" si="49"/>
        <v>94918</v>
      </c>
      <c r="J140" s="361">
        <f t="shared" ca="1" si="50"/>
        <v>0</v>
      </c>
      <c r="K140" s="362">
        <f t="shared" ca="1" si="51"/>
        <v>94918</v>
      </c>
    </row>
    <row r="141" spans="2:11">
      <c r="B141" s="504">
        <v>3</v>
      </c>
      <c r="C141" s="505" t="s">
        <v>31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484">
        <f>F138*1</f>
        <v>2</v>
      </c>
      <c r="G141" s="360">
        <f ca="1">IF(ISERROR(OFFSET('HARGA SATUAN'!$I$6,MATCH(RAB!C141,'HARGA SATUAN'!$C$7:$C$1492,0),0)),0,OFFSET('HARGA SATUAN'!$I$6,MATCH(RAB!C141,'HARGA SATUAN'!$C$7:$C$1492,0),0))</f>
        <v>4880</v>
      </c>
      <c r="H141" s="361">
        <f t="shared" ca="1" si="48"/>
        <v>0</v>
      </c>
      <c r="I141" s="361">
        <f t="shared" ca="1" si="49"/>
        <v>9760</v>
      </c>
      <c r="J141" s="361">
        <f t="shared" ca="1" si="50"/>
        <v>0</v>
      </c>
      <c r="K141" s="362">
        <f t="shared" ca="1" si="51"/>
        <v>9760</v>
      </c>
    </row>
    <row r="142" spans="2:11">
      <c r="B142" s="504">
        <v>4</v>
      </c>
      <c r="C142" s="505" t="s">
        <v>32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Mtr</v>
      </c>
      <c r="F142" s="484">
        <f>F138*10</f>
        <v>20</v>
      </c>
      <c r="G142" s="360">
        <f ca="1">IF(ISERROR(OFFSET('HARGA SATUAN'!$I$6,MATCH(RAB!C142,'HARGA SATUAN'!$C$7:$C$1492,0),0)),0,OFFSET('HARGA SATUAN'!$I$6,MATCH(RAB!C142,'HARGA SATUAN'!$C$7:$C$1492,0),0))</f>
        <v>30000</v>
      </c>
      <c r="H142" s="361">
        <f t="shared" ca="1" si="48"/>
        <v>0</v>
      </c>
      <c r="I142" s="361">
        <f t="shared" ca="1" si="49"/>
        <v>600000</v>
      </c>
      <c r="J142" s="361">
        <f t="shared" ca="1" si="50"/>
        <v>0</v>
      </c>
      <c r="K142" s="362">
        <f t="shared" ca="1" si="51"/>
        <v>600000</v>
      </c>
    </row>
    <row r="143" spans="2:11">
      <c r="B143" s="504">
        <v>5</v>
      </c>
      <c r="C143" s="505" t="s">
        <v>33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484">
        <f>F138*2</f>
        <v>4</v>
      </c>
      <c r="G143" s="360">
        <f ca="1">IF(ISERROR(OFFSET('HARGA SATUAN'!$I$6,MATCH(RAB!C143,'HARGA SATUAN'!$C$7:$C$1492,0),0)),0,OFFSET('HARGA SATUAN'!$I$6,MATCH(RAB!C143,'HARGA SATUAN'!$C$7:$C$1492,0),0))</f>
        <v>9500</v>
      </c>
      <c r="H143" s="361">
        <f t="shared" ca="1" si="48"/>
        <v>0</v>
      </c>
      <c r="I143" s="361">
        <f t="shared" ca="1" si="49"/>
        <v>38000</v>
      </c>
      <c r="J143" s="361">
        <f t="shared" ca="1" si="50"/>
        <v>0</v>
      </c>
      <c r="K143" s="362">
        <f t="shared" ca="1" si="51"/>
        <v>38000</v>
      </c>
    </row>
    <row r="144" spans="2:11">
      <c r="B144" s="504">
        <v>6</v>
      </c>
      <c r="C144" s="505" t="s">
        <v>34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484">
        <f>F138*5.5</f>
        <v>11</v>
      </c>
      <c r="G144" s="360">
        <f ca="1">IF(ISERROR(OFFSET('HARGA SATUAN'!$I$6,MATCH(RAB!C144,'HARGA SATUAN'!$C$7:$C$1492,0),0)),0,OFFSET('HARGA SATUAN'!$I$6,MATCH(RAB!C144,'HARGA SATUAN'!$C$7:$C$1492,0),0))</f>
        <v>6100</v>
      </c>
      <c r="H144" s="361">
        <f t="shared" ca="1" si="48"/>
        <v>0</v>
      </c>
      <c r="I144" s="361">
        <f t="shared" ca="1" si="49"/>
        <v>67100</v>
      </c>
      <c r="J144" s="361">
        <f t="shared" ca="1" si="50"/>
        <v>0</v>
      </c>
      <c r="K144" s="362">
        <f t="shared" ca="1" si="51"/>
        <v>67100</v>
      </c>
    </row>
    <row r="145" spans="2:11">
      <c r="B145" s="504">
        <v>7</v>
      </c>
      <c r="C145" s="505" t="s">
        <v>35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484">
        <f>F138*6</f>
        <v>12</v>
      </c>
      <c r="G145" s="360">
        <f ca="1">IF(ISERROR(OFFSET('HARGA SATUAN'!$I$6,MATCH(RAB!C145,'HARGA SATUAN'!$C$7:$C$1492,0),0)),0,OFFSET('HARGA SATUAN'!$I$6,MATCH(RAB!C145,'HARGA SATUAN'!$C$7:$C$1492,0),0))</f>
        <v>2300</v>
      </c>
      <c r="H145" s="361">
        <f t="shared" ca="1" si="48"/>
        <v>0</v>
      </c>
      <c r="I145" s="361">
        <f t="shared" ca="1" si="49"/>
        <v>27600</v>
      </c>
      <c r="J145" s="361">
        <f t="shared" ca="1" si="50"/>
        <v>0</v>
      </c>
      <c r="K145" s="362">
        <f t="shared" ca="1" si="51"/>
        <v>27600</v>
      </c>
    </row>
    <row r="146" spans="2:11">
      <c r="B146" s="504">
        <v>8</v>
      </c>
      <c r="C146" s="505" t="s">
        <v>1627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Mtr</v>
      </c>
      <c r="F146" s="484">
        <f>F138*4.8</f>
        <v>9.6</v>
      </c>
      <c r="G146" s="360">
        <f ca="1">IF(ISERROR(OFFSET('HARGA SATUAN'!$I$6,MATCH(RAB!C146,'HARGA SATUAN'!$C$7:$C$1492,0),0)),0,OFFSET('HARGA SATUAN'!$I$6,MATCH(RAB!C146,'HARGA SATUAN'!$C$7:$C$1492,0),0))</f>
        <v>23310</v>
      </c>
      <c r="H146" s="361">
        <f t="shared" ca="1" si="48"/>
        <v>0</v>
      </c>
      <c r="I146" s="361">
        <f t="shared" ca="1" si="49"/>
        <v>223776</v>
      </c>
      <c r="J146" s="361">
        <f t="shared" ca="1" si="50"/>
        <v>0</v>
      </c>
      <c r="K146" s="362">
        <f t="shared" ca="1" si="51"/>
        <v>223776</v>
      </c>
    </row>
    <row r="147" spans="2:11">
      <c r="B147" s="504">
        <v>9</v>
      </c>
      <c r="C147" s="505" t="s">
        <v>736</v>
      </c>
      <c r="D147" s="358" t="str">
        <f ca="1">IF(ISERROR(OFFSET('HARGA SATUAN'!$D$6,MATCH(RAB!C147,'HARGA SATUAN'!$C$7:$C$1492,0),0)),"",OFFSET('HARGA SATUAN'!$D$6,MATCH(RAB!C147,'HARGA SATUAN'!$C$7:$C$1492,0),0))</f>
        <v>JASA</v>
      </c>
      <c r="E147" s="359" t="str">
        <f ca="1">IF(B147="+","Unit",IF(ISERROR(OFFSET('HARGA SATUAN'!$E$6,MATCH(RAB!C147,'HARGA SATUAN'!$C$7:$C$1492,0),0)),"",OFFSET('HARGA SATUAN'!$E$6,MATCH(RAB!C147,'HARGA SATUAN'!$C$7:$C$1492,0),0)))</f>
        <v>Unit</v>
      </c>
      <c r="F147" s="484">
        <f>F138*1</f>
        <v>2</v>
      </c>
      <c r="G147" s="360">
        <f ca="1">IF(ISERROR(OFFSET('HARGA SATUAN'!$I$6,MATCH(RAB!C147,'HARGA SATUAN'!$C$7:$C$1492,0),0)),0,OFFSET('HARGA SATUAN'!$I$6,MATCH(RAB!C147,'HARGA SATUAN'!$C$7:$C$1492,0),0))</f>
        <v>65400</v>
      </c>
      <c r="H147" s="361">
        <f t="shared" ca="1" si="48"/>
        <v>0</v>
      </c>
      <c r="I147" s="361">
        <f t="shared" ca="1" si="49"/>
        <v>0</v>
      </c>
      <c r="J147" s="361">
        <f t="shared" ca="1" si="50"/>
        <v>130800</v>
      </c>
      <c r="K147" s="362">
        <f t="shared" ca="1" si="51"/>
        <v>130800</v>
      </c>
    </row>
    <row r="148" spans="2:11">
      <c r="B148" s="504"/>
      <c r="C148" s="505"/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/>
      </c>
      <c r="F148" s="484"/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ref="H148:H175" ca="1" si="52">IF(OR(D148="MDU",D148="MDU-KD"),(IF($O$3="RAB NON MDU","PLN KD",G148*F148)),0)</f>
        <v>0</v>
      </c>
      <c r="I148" s="361">
        <f t="shared" ref="I148:I175" ca="1" si="53">IF(D148="HDW",G148*F148,0)</f>
        <v>0</v>
      </c>
      <c r="J148" s="361">
        <f t="shared" ref="J148:J175" ca="1" si="54">IF(D148="JASA",G148*F148,0)</f>
        <v>0</v>
      </c>
      <c r="K148" s="362">
        <f t="shared" ref="K148:K175" ca="1" si="55">SUM(H148:J148)</f>
        <v>0</v>
      </c>
    </row>
    <row r="149" spans="2:11">
      <c r="B149" s="373" t="s">
        <v>1550</v>
      </c>
      <c r="C149" s="374" t="s">
        <v>1457</v>
      </c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484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52"/>
        <v>0</v>
      </c>
      <c r="I149" s="361">
        <f t="shared" ca="1" si="53"/>
        <v>0</v>
      </c>
      <c r="J149" s="361">
        <f t="shared" ca="1" si="54"/>
        <v>0</v>
      </c>
      <c r="K149" s="362">
        <f t="shared" ca="1" si="55"/>
        <v>0</v>
      </c>
    </row>
    <row r="150" spans="2:11">
      <c r="B150" s="504"/>
      <c r="C150" s="505"/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/>
      </c>
      <c r="F150" s="484"/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52"/>
        <v>0</v>
      </c>
      <c r="I150" s="361">
        <f t="shared" ca="1" si="53"/>
        <v>0</v>
      </c>
      <c r="J150" s="361">
        <f t="shared" ca="1" si="54"/>
        <v>0</v>
      </c>
      <c r="K150" s="362">
        <f t="shared" ca="1" si="55"/>
        <v>0</v>
      </c>
    </row>
    <row r="151" spans="2:11">
      <c r="B151" s="497" t="s">
        <v>1035</v>
      </c>
      <c r="C151" s="498" t="s">
        <v>1641</v>
      </c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>Unit</v>
      </c>
      <c r="F151" s="503">
        <v>1</v>
      </c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ca="1" si="52"/>
        <v>0</v>
      </c>
      <c r="I151" s="361">
        <f t="shared" ca="1" si="53"/>
        <v>0</v>
      </c>
      <c r="J151" s="361">
        <f t="shared" ca="1" si="54"/>
        <v>0</v>
      </c>
      <c r="K151" s="362">
        <f t="shared" ca="1" si="55"/>
        <v>0</v>
      </c>
    </row>
    <row r="152" spans="2:11" ht="30">
      <c r="B152" s="524">
        <v>1</v>
      </c>
      <c r="C152" s="109" t="s">
        <v>1196</v>
      </c>
      <c r="D152" s="358" t="str">
        <f ca="1">IF(ISERROR(OFFSET('HARGA SATUAN'!$D$6,MATCH(RAB!C152,'HARGA SATUAN'!$C$7:$C$1492,0),0)),"",OFFSET('HARGA SATUAN'!$D$6,MATCH(RAB!C152,'HARGA SATUAN'!$C$7:$C$1492,0),0))</f>
        <v>MDU-KD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503">
        <f>F151*1</f>
        <v>1</v>
      </c>
      <c r="G152" s="360">
        <f ca="1">IF(ISERROR(OFFSET('HARGA SATUAN'!$I$6,MATCH(RAB!C152,'HARGA SATUAN'!$C$7:$C$1492,0),0)),0,OFFSET('HARGA SATUAN'!$I$6,MATCH(RAB!C152,'HARGA SATUAN'!$C$7:$C$1492,0),0))</f>
        <v>1504200</v>
      </c>
      <c r="H152" s="361">
        <f t="shared" ca="1" si="52"/>
        <v>1504200</v>
      </c>
      <c r="I152" s="361">
        <f t="shared" ca="1" si="53"/>
        <v>0</v>
      </c>
      <c r="J152" s="361">
        <f t="shared" ca="1" si="54"/>
        <v>0</v>
      </c>
      <c r="K152" s="362">
        <f t="shared" ca="1" si="55"/>
        <v>1504200</v>
      </c>
    </row>
    <row r="153" spans="2:11">
      <c r="B153" s="524">
        <v>2</v>
      </c>
      <c r="C153" s="525" t="s">
        <v>515</v>
      </c>
      <c r="D153" s="358" t="str">
        <f ca="1">IF(ISERROR(OFFSET('HARGA SATUAN'!$D$6,MATCH(RAB!C153,'HARGA SATUAN'!$C$7:$C$1492,0),0)),"",OFFSET('HARGA SATUAN'!$D$6,MATCH(RAB!C153,'HARGA SATUAN'!$C$7:$C$1492,0),0))</f>
        <v>MDU-KD</v>
      </c>
      <c r="E153" s="359" t="str">
        <f ca="1">IF(B153="+","Unit",IF(ISERROR(OFFSET('HARGA SATUAN'!$E$6,MATCH(RAB!C153,'HARGA SATUAN'!$C$7:$C$1492,0),0)),"",OFFSET('HARGA SATUAN'!$E$6,MATCH(RAB!C153,'HARGA SATUAN'!$C$7:$C$1492,0),0)))</f>
        <v>Unit</v>
      </c>
      <c r="F153" s="503">
        <f>F151*1</f>
        <v>1</v>
      </c>
      <c r="G153" s="360">
        <f ca="1">IF(ISERROR(OFFSET('HARGA SATUAN'!$I$6,MATCH(RAB!C153,'HARGA SATUAN'!$C$7:$C$1492,0),0)),0,OFFSET('HARGA SATUAN'!$I$6,MATCH(RAB!C153,'HARGA SATUAN'!$C$7:$C$1492,0),0))</f>
        <v>13644300</v>
      </c>
      <c r="H153" s="361">
        <f t="shared" ca="1" si="52"/>
        <v>13644300</v>
      </c>
      <c r="I153" s="361">
        <f t="shared" ca="1" si="53"/>
        <v>0</v>
      </c>
      <c r="J153" s="361">
        <f t="shared" ca="1" si="54"/>
        <v>0</v>
      </c>
      <c r="K153" s="362">
        <f t="shared" ca="1" si="55"/>
        <v>13644300</v>
      </c>
    </row>
    <row r="154" spans="2:11">
      <c r="B154" s="524">
        <v>3</v>
      </c>
      <c r="C154" s="525" t="s">
        <v>1142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Unit</v>
      </c>
      <c r="F154" s="503">
        <f>F151*1</f>
        <v>1</v>
      </c>
      <c r="G154" s="360">
        <f ca="1">IF(ISERROR(OFFSET('HARGA SATUAN'!$I$6,MATCH(RAB!C154,'HARGA SATUAN'!$C$7:$C$1492,0),0)),0,OFFSET('HARGA SATUAN'!$I$6,MATCH(RAB!C154,'HARGA SATUAN'!$C$7:$C$1492,0),0))</f>
        <v>1113900</v>
      </c>
      <c r="H154" s="361">
        <f t="shared" ca="1" si="52"/>
        <v>0</v>
      </c>
      <c r="I154" s="361">
        <f t="shared" ca="1" si="53"/>
        <v>1113900</v>
      </c>
      <c r="J154" s="361">
        <f t="shared" ca="1" si="54"/>
        <v>0</v>
      </c>
      <c r="K154" s="362">
        <f t="shared" ca="1" si="55"/>
        <v>1113900</v>
      </c>
    </row>
    <row r="155" spans="2:11">
      <c r="B155" s="524">
        <v>4</v>
      </c>
      <c r="C155" s="525" t="s">
        <v>573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Mtr</v>
      </c>
      <c r="F155" s="503">
        <v>12</v>
      </c>
      <c r="G155" s="360">
        <f ca="1">IF(ISERROR(OFFSET('HARGA SATUAN'!$I$6,MATCH(RAB!C155,'HARGA SATUAN'!$C$7:$C$1492,0),0)),0,OFFSET('HARGA SATUAN'!$I$6,MATCH(RAB!C155,'HARGA SATUAN'!$C$7:$C$1492,0),0))</f>
        <v>164883</v>
      </c>
      <c r="H155" s="361">
        <f t="shared" ca="1" si="52"/>
        <v>0</v>
      </c>
      <c r="I155" s="361">
        <f t="shared" ca="1" si="53"/>
        <v>1978596</v>
      </c>
      <c r="J155" s="361">
        <f t="shared" ca="1" si="54"/>
        <v>0</v>
      </c>
      <c r="K155" s="362">
        <f t="shared" ca="1" si="55"/>
        <v>1978596</v>
      </c>
    </row>
    <row r="156" spans="2:11">
      <c r="B156" s="524">
        <v>5</v>
      </c>
      <c r="C156" s="525" t="s">
        <v>799</v>
      </c>
      <c r="D156" s="358" t="str">
        <f ca="1">IF(ISERROR(OFFSET('HARGA SATUAN'!$D$6,MATCH(RAB!C156,'HARGA SATUAN'!$C$7:$C$1492,0),0)),"",OFFSET('HARGA SATUAN'!$D$6,MATCH(RAB!C156,'HARGA SATUAN'!$C$7:$C$1492,0),0))</f>
        <v>JASA</v>
      </c>
      <c r="E156" s="359" t="str">
        <f ca="1">IF(B156="+","Unit",IF(ISERROR(OFFSET('HARGA SATUAN'!$E$6,MATCH(RAB!C156,'HARGA SATUAN'!$C$7:$C$1492,0),0)),"",OFFSET('HARGA SATUAN'!$E$6,MATCH(RAB!C156,'HARGA SATUAN'!$C$7:$C$1492,0),0)))</f>
        <v>Unit</v>
      </c>
      <c r="F156" s="503">
        <f>F151*1</f>
        <v>1</v>
      </c>
      <c r="G156" s="360">
        <f ca="1">IF(ISERROR(OFFSET('HARGA SATUAN'!$I$6,MATCH(RAB!C156,'HARGA SATUAN'!$C$7:$C$1492,0),0)),0,OFFSET('HARGA SATUAN'!$I$6,MATCH(RAB!C156,'HARGA SATUAN'!$C$7:$C$1492,0),0))</f>
        <v>106400</v>
      </c>
      <c r="H156" s="361">
        <f t="shared" ca="1" si="52"/>
        <v>0</v>
      </c>
      <c r="I156" s="361">
        <f t="shared" ca="1" si="53"/>
        <v>0</v>
      </c>
      <c r="J156" s="361">
        <f t="shared" ca="1" si="54"/>
        <v>106400</v>
      </c>
      <c r="K156" s="362">
        <f t="shared" ca="1" si="55"/>
        <v>106400</v>
      </c>
    </row>
    <row r="157" spans="2:11">
      <c r="B157" s="504"/>
      <c r="C157" s="505"/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/>
      </c>
      <c r="F157" s="484"/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52"/>
        <v>0</v>
      </c>
      <c r="I157" s="361">
        <f t="shared" ca="1" si="53"/>
        <v>0</v>
      </c>
      <c r="J157" s="361">
        <f t="shared" ca="1" si="54"/>
        <v>0</v>
      </c>
      <c r="K157" s="362">
        <f t="shared" ca="1" si="55"/>
        <v>0</v>
      </c>
    </row>
    <row r="158" spans="2:11">
      <c r="B158" s="504" t="s">
        <v>1035</v>
      </c>
      <c r="C158" s="512" t="s">
        <v>1628</v>
      </c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>Unit</v>
      </c>
      <c r="F158" s="503">
        <v>1</v>
      </c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52"/>
        <v>0</v>
      </c>
      <c r="I158" s="361">
        <f t="shared" ca="1" si="53"/>
        <v>0</v>
      </c>
      <c r="J158" s="361">
        <f t="shared" ca="1" si="54"/>
        <v>0</v>
      </c>
      <c r="K158" s="362">
        <f t="shared" ca="1" si="55"/>
        <v>0</v>
      </c>
    </row>
    <row r="159" spans="2:11">
      <c r="B159" s="504">
        <v>1</v>
      </c>
      <c r="C159" s="512" t="s">
        <v>163</v>
      </c>
      <c r="D159" s="358" t="str">
        <f ca="1">IF(ISERROR(OFFSET('HARGA SATUAN'!$D$6,MATCH(RAB!C159,'HARGA SATUAN'!$C$7:$C$1492,0),0)),"",OFFSET('HARGA SATUAN'!$D$6,MATCH(RAB!C159,'HARGA SATUAN'!$C$7:$C$1492,0),0))</f>
        <v>HDW</v>
      </c>
      <c r="E159" s="359" t="str">
        <f ca="1">IF(B159="+","Unit",IF(ISERROR(OFFSET('HARGA SATUAN'!$E$6,MATCH(RAB!C159,'HARGA SATUAN'!$C$7:$C$1492,0),0)),"",OFFSET('HARGA SATUAN'!$E$6,MATCH(RAB!C159,'HARGA SATUAN'!$C$7:$C$1492,0),0)))</f>
        <v>Bh</v>
      </c>
      <c r="F159" s="503">
        <f>F158*4</f>
        <v>4</v>
      </c>
      <c r="G159" s="360">
        <f ca="1">IF(ISERROR(OFFSET('HARGA SATUAN'!$I$6,MATCH(RAB!C159,'HARGA SATUAN'!$C$7:$C$1492,0),0)),0,OFFSET('HARGA SATUAN'!$I$6,MATCH(RAB!C159,'HARGA SATUAN'!$C$7:$C$1492,0),0))</f>
        <v>7938</v>
      </c>
      <c r="H159" s="361">
        <f t="shared" ca="1" si="52"/>
        <v>0</v>
      </c>
      <c r="I159" s="361">
        <f t="shared" ca="1" si="53"/>
        <v>31752</v>
      </c>
      <c r="J159" s="361">
        <f t="shared" ca="1" si="54"/>
        <v>0</v>
      </c>
      <c r="K159" s="362">
        <f t="shared" ca="1" si="55"/>
        <v>31752</v>
      </c>
    </row>
    <row r="160" spans="2:11">
      <c r="B160" s="504">
        <v>2</v>
      </c>
      <c r="C160" s="512" t="s">
        <v>593</v>
      </c>
      <c r="D160" s="358" t="str">
        <f ca="1">IF(ISERROR(OFFSET('HARGA SATUAN'!$D$6,MATCH(RAB!C160,'HARGA SATUAN'!$C$7:$C$1492,0),0)),"",OFFSET('HARGA SATUAN'!$D$6,MATCH(RAB!C160,'HARGA SATUAN'!$C$7:$C$1492,0),0))</f>
        <v>HDW</v>
      </c>
      <c r="E160" s="359" t="str">
        <f ca="1">IF(B160="+","Unit",IF(ISERROR(OFFSET('HARGA SATUAN'!$E$6,MATCH(RAB!C160,'HARGA SATUAN'!$C$7:$C$1492,0),0)),"",OFFSET('HARGA SATUAN'!$E$6,MATCH(RAB!C160,'HARGA SATUAN'!$C$7:$C$1492,0),0)))</f>
        <v>Bh</v>
      </c>
      <c r="F160" s="503">
        <f>F158*1</f>
        <v>1</v>
      </c>
      <c r="G160" s="360">
        <f ca="1">IF(ISERROR(OFFSET('HARGA SATUAN'!$I$6,MATCH(RAB!C160,'HARGA SATUAN'!$C$7:$C$1492,0),0)),0,OFFSET('HARGA SATUAN'!$I$6,MATCH(RAB!C160,'HARGA SATUAN'!$C$7:$C$1492,0),0))</f>
        <v>380500</v>
      </c>
      <c r="H160" s="361">
        <f t="shared" ca="1" si="52"/>
        <v>0</v>
      </c>
      <c r="I160" s="361">
        <f t="shared" ca="1" si="53"/>
        <v>380500</v>
      </c>
      <c r="J160" s="361">
        <f t="shared" ca="1" si="54"/>
        <v>0</v>
      </c>
      <c r="K160" s="362">
        <f t="shared" ca="1" si="55"/>
        <v>380500</v>
      </c>
    </row>
    <row r="161" spans="2:11">
      <c r="B161" s="504">
        <v>3</v>
      </c>
      <c r="C161" s="512" t="s">
        <v>248</v>
      </c>
      <c r="D161" s="358" t="str">
        <f ca="1">IF(ISERROR(OFFSET('HARGA SATUAN'!$D$6,MATCH(RAB!C161,'HARGA SATUAN'!$C$7:$C$1492,0),0)),"",OFFSET('HARGA SATUAN'!$D$6,MATCH(RAB!C161,'HARGA SATUAN'!$C$7:$C$1492,0),0))</f>
        <v>HDW</v>
      </c>
      <c r="E161" s="359" t="str">
        <f ca="1">IF(B161="+","Unit",IF(ISERROR(OFFSET('HARGA SATUAN'!$E$6,MATCH(RAB!C161,'HARGA SATUAN'!$C$7:$C$1492,0),0)),"",OFFSET('HARGA SATUAN'!$E$6,MATCH(RAB!C161,'HARGA SATUAN'!$C$7:$C$1492,0),0)))</f>
        <v>Bh</v>
      </c>
      <c r="F161" s="503">
        <f>F158*2</f>
        <v>2</v>
      </c>
      <c r="G161" s="360">
        <f ca="1">IF(ISERROR(OFFSET('HARGA SATUAN'!$I$6,MATCH(RAB!C161,'HARGA SATUAN'!$C$7:$C$1492,0),0)),0,OFFSET('HARGA SATUAN'!$I$6,MATCH(RAB!C161,'HARGA SATUAN'!$C$7:$C$1492,0),0))</f>
        <v>60300</v>
      </c>
      <c r="H161" s="361">
        <f t="shared" ca="1" si="52"/>
        <v>0</v>
      </c>
      <c r="I161" s="361">
        <f t="shared" ca="1" si="53"/>
        <v>120600</v>
      </c>
      <c r="J161" s="361">
        <f t="shared" ca="1" si="54"/>
        <v>0</v>
      </c>
      <c r="K161" s="362">
        <f t="shared" ca="1" si="55"/>
        <v>120600</v>
      </c>
    </row>
    <row r="162" spans="2:11">
      <c r="B162" s="504">
        <v>4</v>
      </c>
      <c r="C162" s="505" t="s">
        <v>595</v>
      </c>
      <c r="D162" s="358" t="str">
        <f ca="1">IF(ISERROR(OFFSET('HARGA SATUAN'!$D$6,MATCH(RAB!C162,'HARGA SATUAN'!$C$7:$C$1492,0),0)),"",OFFSET('HARGA SATUAN'!$D$6,MATCH(RAB!C162,'HARGA SATUAN'!$C$7:$C$1492,0),0))</f>
        <v>HDW</v>
      </c>
      <c r="E162" s="359" t="str">
        <f ca="1">IF(B162="+","Unit",IF(ISERROR(OFFSET('HARGA SATUAN'!$E$6,MATCH(RAB!C162,'HARGA SATUAN'!$C$7:$C$1492,0),0)),"",OFFSET('HARGA SATUAN'!$E$6,MATCH(RAB!C162,'HARGA SATUAN'!$C$7:$C$1492,0),0)))</f>
        <v>Bh</v>
      </c>
      <c r="F162" s="484">
        <f>F158*1</f>
        <v>1</v>
      </c>
      <c r="G162" s="360">
        <f ca="1">IF(ISERROR(OFFSET('HARGA SATUAN'!$I$6,MATCH(RAB!C162,'HARGA SATUAN'!$C$7:$C$1492,0),0)),0,OFFSET('HARGA SATUAN'!$I$6,MATCH(RAB!C162,'HARGA SATUAN'!$C$7:$C$1492,0),0))</f>
        <v>78500</v>
      </c>
      <c r="H162" s="361">
        <f t="shared" ca="1" si="52"/>
        <v>0</v>
      </c>
      <c r="I162" s="361">
        <f t="shared" ca="1" si="53"/>
        <v>78500</v>
      </c>
      <c r="J162" s="361">
        <f t="shared" ca="1" si="54"/>
        <v>0</v>
      </c>
      <c r="K162" s="362">
        <f t="shared" ca="1" si="55"/>
        <v>78500</v>
      </c>
    </row>
    <row r="163" spans="2:11">
      <c r="B163" s="504">
        <v>5</v>
      </c>
      <c r="C163" s="505" t="s">
        <v>229</v>
      </c>
      <c r="D163" s="358" t="str">
        <f ca="1">IF(ISERROR(OFFSET('HARGA SATUAN'!$D$6,MATCH(RAB!C163,'HARGA SATUAN'!$C$7:$C$1492,0),0)),"",OFFSET('HARGA SATUAN'!$D$6,MATCH(RAB!C163,'HARGA SATUAN'!$C$7:$C$1492,0),0))</f>
        <v>HDW</v>
      </c>
      <c r="E163" s="359" t="str">
        <f ca="1">IF(B163="+","Unit",IF(ISERROR(OFFSET('HARGA SATUAN'!$E$6,MATCH(RAB!C163,'HARGA SATUAN'!$C$7:$C$1492,0),0)),"",OFFSET('HARGA SATUAN'!$E$6,MATCH(RAB!C163,'HARGA SATUAN'!$C$7:$C$1492,0),0)))</f>
        <v>Bh</v>
      </c>
      <c r="F163" s="484">
        <f>F158*1</f>
        <v>1</v>
      </c>
      <c r="G163" s="360">
        <f ca="1">IF(ISERROR(OFFSET('HARGA SATUAN'!$I$6,MATCH(RAB!C163,'HARGA SATUAN'!$C$7:$C$1492,0),0)),0,OFFSET('HARGA SATUAN'!$I$6,MATCH(RAB!C163,'HARGA SATUAN'!$C$7:$C$1492,0),0))</f>
        <v>4212</v>
      </c>
      <c r="H163" s="361">
        <f t="shared" ca="1" si="52"/>
        <v>0</v>
      </c>
      <c r="I163" s="361">
        <f t="shared" ca="1" si="53"/>
        <v>4212</v>
      </c>
      <c r="J163" s="361">
        <f t="shared" ca="1" si="54"/>
        <v>0</v>
      </c>
      <c r="K163" s="362">
        <f t="shared" ca="1" si="55"/>
        <v>4212</v>
      </c>
    </row>
    <row r="164" spans="2:11">
      <c r="B164" s="504">
        <v>6</v>
      </c>
      <c r="C164" s="505" t="s">
        <v>266</v>
      </c>
      <c r="D164" s="358" t="str">
        <f ca="1">IF(ISERROR(OFFSET('HARGA SATUAN'!$D$6,MATCH(RAB!C164,'HARGA SATUAN'!$C$7:$C$1492,0),0)),"",OFFSET('HARGA SATUAN'!$D$6,MATCH(RAB!C164,'HARGA SATUAN'!$C$7:$C$1492,0),0))</f>
        <v>HDW</v>
      </c>
      <c r="E164" s="359" t="str">
        <f ca="1">IF(B164="+","Unit",IF(ISERROR(OFFSET('HARGA SATUAN'!$E$6,MATCH(RAB!C164,'HARGA SATUAN'!$C$7:$C$1492,0),0)),"",OFFSET('HARGA SATUAN'!$E$6,MATCH(RAB!C164,'HARGA SATUAN'!$C$7:$C$1492,0),0)))</f>
        <v>Mtr</v>
      </c>
      <c r="F164" s="484">
        <f>F158*1</f>
        <v>1</v>
      </c>
      <c r="G164" s="360">
        <f ca="1">IF(ISERROR(OFFSET('HARGA SATUAN'!$I$6,MATCH(RAB!C164,'HARGA SATUAN'!$C$7:$C$1492,0),0)),0,OFFSET('HARGA SATUAN'!$I$6,MATCH(RAB!C164,'HARGA SATUAN'!$C$7:$C$1492,0),0))</f>
        <v>23310</v>
      </c>
      <c r="H164" s="361">
        <f t="shared" ca="1" si="52"/>
        <v>0</v>
      </c>
      <c r="I164" s="361">
        <f t="shared" ca="1" si="53"/>
        <v>23310</v>
      </c>
      <c r="J164" s="361">
        <f t="shared" ca="1" si="54"/>
        <v>0</v>
      </c>
      <c r="K164" s="362">
        <f t="shared" ca="1" si="55"/>
        <v>23310</v>
      </c>
    </row>
    <row r="165" spans="2:11">
      <c r="B165" s="504">
        <v>7</v>
      </c>
      <c r="C165" s="505" t="s">
        <v>35</v>
      </c>
      <c r="D165" s="358" t="str">
        <f ca="1">IF(ISERROR(OFFSET('HARGA SATUAN'!$D$6,MATCH(RAB!C165,'HARGA SATUAN'!$C$7:$C$1492,0),0)),"",OFFSET('HARGA SATUAN'!$D$6,MATCH(RAB!C165,'HARGA SATUAN'!$C$7:$C$1492,0),0))</f>
        <v>HDW</v>
      </c>
      <c r="E165" s="359" t="str">
        <f ca="1">IF(B165="+","Unit",IF(ISERROR(OFFSET('HARGA SATUAN'!$E$6,MATCH(RAB!C165,'HARGA SATUAN'!$C$7:$C$1492,0),0)),"",OFFSET('HARGA SATUAN'!$E$6,MATCH(RAB!C165,'HARGA SATUAN'!$C$7:$C$1492,0),0)))</f>
        <v>Bh</v>
      </c>
      <c r="F165" s="484">
        <f>F158*1</f>
        <v>1</v>
      </c>
      <c r="G165" s="360">
        <f ca="1">IF(ISERROR(OFFSET('HARGA SATUAN'!$I$6,MATCH(RAB!C165,'HARGA SATUAN'!$C$7:$C$1492,0),0)),0,OFFSET('HARGA SATUAN'!$I$6,MATCH(RAB!C165,'HARGA SATUAN'!$C$7:$C$1492,0),0))</f>
        <v>2300</v>
      </c>
      <c r="H165" s="361">
        <f t="shared" ca="1" si="52"/>
        <v>0</v>
      </c>
      <c r="I165" s="361">
        <f t="shared" ca="1" si="53"/>
        <v>2300</v>
      </c>
      <c r="J165" s="361">
        <f t="shared" ca="1" si="54"/>
        <v>0</v>
      </c>
      <c r="K165" s="362">
        <f t="shared" ca="1" si="55"/>
        <v>2300</v>
      </c>
    </row>
    <row r="166" spans="2:11">
      <c r="B166" s="504"/>
      <c r="C166" s="505"/>
      <c r="D166" s="358"/>
      <c r="E166" s="359"/>
      <c r="F166" s="484"/>
      <c r="G166" s="360"/>
      <c r="H166" s="361"/>
      <c r="I166" s="361"/>
      <c r="J166" s="361"/>
      <c r="K166" s="362"/>
    </row>
    <row r="167" spans="2:11">
      <c r="B167" s="504" t="s">
        <v>1035</v>
      </c>
      <c r="C167" s="505" t="s">
        <v>1629</v>
      </c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>Unit</v>
      </c>
      <c r="F167" s="484">
        <v>1</v>
      </c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52"/>
        <v>0</v>
      </c>
      <c r="I167" s="361">
        <f t="shared" ca="1" si="53"/>
        <v>0</v>
      </c>
      <c r="J167" s="361">
        <f t="shared" ca="1" si="54"/>
        <v>0</v>
      </c>
      <c r="K167" s="362">
        <f t="shared" ca="1" si="55"/>
        <v>0</v>
      </c>
    </row>
    <row r="168" spans="2:11">
      <c r="B168" s="504">
        <v>1</v>
      </c>
      <c r="C168" s="505" t="s">
        <v>29</v>
      </c>
      <c r="D168" s="358" t="str">
        <f ca="1">IF(ISERROR(OFFSET('HARGA SATUAN'!$D$6,MATCH(RAB!C168,'HARGA SATUAN'!$C$7:$C$1492,0),0)),"",OFFSET('HARGA SATUAN'!$D$6,MATCH(RAB!C168,'HARGA SATUAN'!$C$7:$C$1492,0),0))</f>
        <v>HDW</v>
      </c>
      <c r="E168" s="359" t="str">
        <f ca="1">IF(B168="+","Unit",IF(ISERROR(OFFSET('HARGA SATUAN'!$E$6,MATCH(RAB!C168,'HARGA SATUAN'!$C$7:$C$1492,0),0)),"",OFFSET('HARGA SATUAN'!$E$6,MATCH(RAB!C168,'HARGA SATUAN'!$C$7:$C$1492,0),0)))</f>
        <v>Bh</v>
      </c>
      <c r="F168" s="484">
        <f>F167*1</f>
        <v>1</v>
      </c>
      <c r="G168" s="360">
        <f ca="1">IF(ISERROR(OFFSET('HARGA SATUAN'!$I$6,MATCH(RAB!C168,'HARGA SATUAN'!$C$7:$C$1492,0),0)),0,OFFSET('HARGA SATUAN'!$I$6,MATCH(RAB!C168,'HARGA SATUAN'!$C$7:$C$1492,0),0))</f>
        <v>185200</v>
      </c>
      <c r="H168" s="361">
        <f t="shared" ca="1" si="52"/>
        <v>0</v>
      </c>
      <c r="I168" s="361">
        <f t="shared" ca="1" si="53"/>
        <v>185200</v>
      </c>
      <c r="J168" s="361">
        <f t="shared" ca="1" si="54"/>
        <v>0</v>
      </c>
      <c r="K168" s="362">
        <f t="shared" ca="1" si="55"/>
        <v>185200</v>
      </c>
    </row>
    <row r="169" spans="2:11">
      <c r="B169" s="504">
        <v>2</v>
      </c>
      <c r="C169" s="505" t="s">
        <v>30</v>
      </c>
      <c r="D169" s="358" t="str">
        <f ca="1">IF(ISERROR(OFFSET('HARGA SATUAN'!$D$6,MATCH(RAB!C169,'HARGA SATUAN'!$C$7:$C$1492,0),0)),"",OFFSET('HARGA SATUAN'!$D$6,MATCH(RAB!C169,'HARGA SATUAN'!$C$7:$C$1492,0),0))</f>
        <v>HDW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484">
        <f>F167*1</f>
        <v>1</v>
      </c>
      <c r="G169" s="360">
        <f ca="1">IF(ISERROR(OFFSET('HARGA SATUAN'!$I$6,MATCH(RAB!C169,'HARGA SATUAN'!$C$7:$C$1492,0),0)),0,OFFSET('HARGA SATUAN'!$I$6,MATCH(RAB!C169,'HARGA SATUAN'!$C$7:$C$1492,0),0))</f>
        <v>47459</v>
      </c>
      <c r="H169" s="361">
        <f t="shared" ca="1" si="52"/>
        <v>0</v>
      </c>
      <c r="I169" s="361">
        <f t="shared" ca="1" si="53"/>
        <v>47459</v>
      </c>
      <c r="J169" s="361">
        <f t="shared" ca="1" si="54"/>
        <v>0</v>
      </c>
      <c r="K169" s="362">
        <f t="shared" ca="1" si="55"/>
        <v>47459</v>
      </c>
    </row>
    <row r="170" spans="2:11">
      <c r="B170" s="504">
        <v>3</v>
      </c>
      <c r="C170" s="505" t="s">
        <v>32</v>
      </c>
      <c r="D170" s="358" t="str">
        <f ca="1">IF(ISERROR(OFFSET('HARGA SATUAN'!$D$6,MATCH(RAB!C170,'HARGA SATUAN'!$C$7:$C$1492,0),0)),"",OFFSET('HARGA SATUAN'!$D$6,MATCH(RAB!C170,'HARGA SATUAN'!$C$7:$C$1492,0),0))</f>
        <v>HDW</v>
      </c>
      <c r="E170" s="359" t="str">
        <f ca="1">IF(B170="+","Unit",IF(ISERROR(OFFSET('HARGA SATUAN'!$E$6,MATCH(RAB!C170,'HARGA SATUAN'!$C$7:$C$1492,0),0)),"",OFFSET('HARGA SATUAN'!$E$6,MATCH(RAB!C170,'HARGA SATUAN'!$C$7:$C$1492,0),0)))</f>
        <v>Mtr</v>
      </c>
      <c r="F170" s="484">
        <f>F167*1.5</f>
        <v>1.5</v>
      </c>
      <c r="G170" s="360">
        <f ca="1">IF(ISERROR(OFFSET('HARGA SATUAN'!$I$6,MATCH(RAB!C170,'HARGA SATUAN'!$C$7:$C$1492,0),0)),0,OFFSET('HARGA SATUAN'!$I$6,MATCH(RAB!C170,'HARGA SATUAN'!$C$7:$C$1492,0),0))</f>
        <v>30000</v>
      </c>
      <c r="H170" s="361">
        <f t="shared" ca="1" si="52"/>
        <v>0</v>
      </c>
      <c r="I170" s="361">
        <f t="shared" ca="1" si="53"/>
        <v>45000</v>
      </c>
      <c r="J170" s="361">
        <f t="shared" ca="1" si="54"/>
        <v>0</v>
      </c>
      <c r="K170" s="362">
        <f t="shared" ca="1" si="55"/>
        <v>45000</v>
      </c>
    </row>
    <row r="171" spans="2:11">
      <c r="B171" s="504">
        <v>4</v>
      </c>
      <c r="C171" s="505" t="s">
        <v>33</v>
      </c>
      <c r="D171" s="358" t="str">
        <f ca="1">IF(ISERROR(OFFSET('HARGA SATUAN'!$D$6,MATCH(RAB!C171,'HARGA SATUAN'!$C$7:$C$1492,0),0)),"",OFFSET('HARGA SATUAN'!$D$6,MATCH(RAB!C171,'HARGA SATUAN'!$C$7:$C$1492,0),0))</f>
        <v>HDW</v>
      </c>
      <c r="E171" s="359" t="str">
        <f ca="1">IF(B171="+","Unit",IF(ISERROR(OFFSET('HARGA SATUAN'!$E$6,MATCH(RAB!C171,'HARGA SATUAN'!$C$7:$C$1492,0),0)),"",OFFSET('HARGA SATUAN'!$E$6,MATCH(RAB!C171,'HARGA SATUAN'!$C$7:$C$1492,0),0)))</f>
        <v>Bh</v>
      </c>
      <c r="F171" s="484">
        <f>F167*2</f>
        <v>2</v>
      </c>
      <c r="G171" s="360">
        <f ca="1">IF(ISERROR(OFFSET('HARGA SATUAN'!$I$6,MATCH(RAB!C171,'HARGA SATUAN'!$C$7:$C$1492,0),0)),0,OFFSET('HARGA SATUAN'!$I$6,MATCH(RAB!C171,'HARGA SATUAN'!$C$7:$C$1492,0),0))</f>
        <v>9500</v>
      </c>
      <c r="H171" s="361">
        <f t="shared" ca="1" si="52"/>
        <v>0</v>
      </c>
      <c r="I171" s="361">
        <f t="shared" ca="1" si="53"/>
        <v>19000</v>
      </c>
      <c r="J171" s="361">
        <f t="shared" ca="1" si="54"/>
        <v>0</v>
      </c>
      <c r="K171" s="362">
        <f t="shared" ca="1" si="55"/>
        <v>19000</v>
      </c>
    </row>
    <row r="172" spans="2:11">
      <c r="B172" s="504">
        <v>5</v>
      </c>
      <c r="C172" s="505" t="s">
        <v>735</v>
      </c>
      <c r="D172" s="358" t="str">
        <f ca="1">IF(ISERROR(OFFSET('HARGA SATUAN'!$D$6,MATCH(RAB!C172,'HARGA SATUAN'!$C$7:$C$1492,0),0)),"",OFFSET('HARGA SATUAN'!$D$6,MATCH(RAB!C172,'HARGA SATUAN'!$C$7:$C$1492,0),0))</f>
        <v>JASA</v>
      </c>
      <c r="E172" s="359" t="str">
        <f ca="1">IF(B172="+","Unit",IF(ISERROR(OFFSET('HARGA SATUAN'!$E$6,MATCH(RAB!C172,'HARGA SATUAN'!$C$7:$C$1492,0),0)),"",OFFSET('HARGA SATUAN'!$E$6,MATCH(RAB!C172,'HARGA SATUAN'!$C$7:$C$1492,0),0)))</f>
        <v>Unit</v>
      </c>
      <c r="F172" s="484">
        <f>F167*1</f>
        <v>1</v>
      </c>
      <c r="G172" s="360">
        <f ca="1">IF(ISERROR(OFFSET('HARGA SATUAN'!$I$6,MATCH(RAB!C172,'HARGA SATUAN'!$C$7:$C$1492,0),0)),0,OFFSET('HARGA SATUAN'!$I$6,MATCH(RAB!C172,'HARGA SATUAN'!$C$7:$C$1492,0),0))</f>
        <v>56400</v>
      </c>
      <c r="H172" s="361">
        <f t="shared" ca="1" si="52"/>
        <v>0</v>
      </c>
      <c r="I172" s="361">
        <f t="shared" ca="1" si="53"/>
        <v>0</v>
      </c>
      <c r="J172" s="361">
        <f t="shared" ca="1" si="54"/>
        <v>56400</v>
      </c>
      <c r="K172" s="362">
        <f t="shared" ca="1" si="55"/>
        <v>56400</v>
      </c>
    </row>
    <row r="173" spans="2:11">
      <c r="B173" s="504"/>
      <c r="C173" s="505"/>
      <c r="D173" s="358" t="str">
        <f ca="1">IF(ISERROR(OFFSET('HARGA SATUAN'!$D$6,MATCH(RAB!C173,'HARGA SATUAN'!$C$7:$C$1492,0),0)),"",OFFSET('HARGA SATUAN'!$D$6,MATCH(RAB!C173,'HARGA SATUAN'!$C$7:$C$1492,0),0))</f>
        <v/>
      </c>
      <c r="E173" s="359" t="str">
        <f ca="1">IF(B173="+","Unit",IF(ISERROR(OFFSET('HARGA SATUAN'!$E$6,MATCH(RAB!C173,'HARGA SATUAN'!$C$7:$C$1492,0),0)),"",OFFSET('HARGA SATUAN'!$E$6,MATCH(RAB!C173,'HARGA SATUAN'!$C$7:$C$1492,0),0)))</f>
        <v/>
      </c>
      <c r="F173" s="484"/>
      <c r="G173" s="360">
        <f ca="1">IF(ISERROR(OFFSET('HARGA SATUAN'!$I$6,MATCH(RAB!C173,'HARGA SATUAN'!$C$7:$C$1492,0),0)),0,OFFSET('HARGA SATUAN'!$I$6,MATCH(RAB!C173,'HARGA SATUAN'!$C$7:$C$1492,0),0))</f>
        <v>0</v>
      </c>
      <c r="H173" s="361">
        <f t="shared" ca="1" si="52"/>
        <v>0</v>
      </c>
      <c r="I173" s="361">
        <f t="shared" ca="1" si="53"/>
        <v>0</v>
      </c>
      <c r="J173" s="361">
        <f t="shared" ca="1" si="54"/>
        <v>0</v>
      </c>
      <c r="K173" s="362">
        <f t="shared" ca="1" si="55"/>
        <v>0</v>
      </c>
    </row>
    <row r="174" spans="2:11">
      <c r="B174" s="373" t="s">
        <v>1550</v>
      </c>
      <c r="C174" s="374" t="s">
        <v>1615</v>
      </c>
      <c r="D174" s="358" t="str">
        <f ca="1">IF(ISERROR(OFFSET('HARGA SATUAN'!$D$6,MATCH(RAB!C174,'HARGA SATUAN'!$C$7:$C$1492,0),0)),"",OFFSET('HARGA SATUAN'!$D$6,MATCH(RAB!C174,'HARGA SATUAN'!$C$7:$C$1492,0),0))</f>
        <v/>
      </c>
      <c r="E174" s="359" t="str">
        <f ca="1">IF(B174="+","Unit",IF(ISERROR(OFFSET('HARGA SATUAN'!$E$6,MATCH(RAB!C174,'HARGA SATUAN'!$C$7:$C$1492,0),0)),"",OFFSET('HARGA SATUAN'!$E$6,MATCH(RAB!C174,'HARGA SATUAN'!$C$7:$C$1492,0),0)))</f>
        <v/>
      </c>
      <c r="F174" s="484"/>
      <c r="G174" s="360">
        <f ca="1">IF(ISERROR(OFFSET('HARGA SATUAN'!$I$6,MATCH(RAB!C174,'HARGA SATUAN'!$C$7:$C$1492,0),0)),0,OFFSET('HARGA SATUAN'!$I$6,MATCH(RAB!C174,'HARGA SATUAN'!$C$7:$C$1492,0),0))</f>
        <v>0</v>
      </c>
      <c r="H174" s="361">
        <f t="shared" ca="1" si="52"/>
        <v>0</v>
      </c>
      <c r="I174" s="361">
        <f t="shared" ca="1" si="53"/>
        <v>0</v>
      </c>
      <c r="J174" s="361">
        <f t="shared" ca="1" si="54"/>
        <v>0</v>
      </c>
      <c r="K174" s="362">
        <f t="shared" ca="1" si="55"/>
        <v>0</v>
      </c>
    </row>
    <row r="175" spans="2:11">
      <c r="B175" s="375"/>
      <c r="C175" s="109"/>
      <c r="D175" s="358" t="str">
        <f ca="1">IF(ISERROR(OFFSET('HARGA SATUAN'!$D$6,MATCH(RAB!C175,'HARGA SATUAN'!$C$7:$C$1492,0),0)),"",OFFSET('HARGA SATUAN'!$D$6,MATCH(RAB!C175,'HARGA SATUAN'!$C$7:$C$1492,0),0))</f>
        <v/>
      </c>
      <c r="E175" s="359" t="str">
        <f ca="1">IF(B175="+","Unit",IF(ISERROR(OFFSET('HARGA SATUAN'!$E$6,MATCH(RAB!C175,'HARGA SATUAN'!$C$7:$C$1492,0),0)),"",OFFSET('HARGA SATUAN'!$E$6,MATCH(RAB!C175,'HARGA SATUAN'!$C$7:$C$1492,0),0)))</f>
        <v/>
      </c>
      <c r="F175" s="484"/>
      <c r="G175" s="360">
        <f ca="1">IF(ISERROR(OFFSET('HARGA SATUAN'!$I$6,MATCH(RAB!C175,'HARGA SATUAN'!$C$7:$C$1492,0),0)),0,OFFSET('HARGA SATUAN'!$I$6,MATCH(RAB!C175,'HARGA SATUAN'!$C$7:$C$1492,0),0))</f>
        <v>0</v>
      </c>
      <c r="H175" s="361">
        <f t="shared" ca="1" si="52"/>
        <v>0</v>
      </c>
      <c r="I175" s="361">
        <f t="shared" ca="1" si="53"/>
        <v>0</v>
      </c>
      <c r="J175" s="361">
        <f t="shared" ca="1" si="54"/>
        <v>0</v>
      </c>
      <c r="K175" s="362">
        <f t="shared" ca="1" si="55"/>
        <v>0</v>
      </c>
    </row>
    <row r="176" spans="2:11">
      <c r="B176" s="376"/>
      <c r="C176" s="377" t="s">
        <v>475</v>
      </c>
      <c r="D176" s="358" t="str">
        <f ca="1">IF(ISERROR(OFFSET('HARGA SATUAN'!$D$6,MATCH(RAB!C176,'HARGA SATUAN'!$C$7:$C$1492,0),0)),"",OFFSET('HARGA SATUAN'!$D$6,MATCH(RAB!C176,'HARGA SATUAN'!$C$7:$C$1492,0),0))</f>
        <v/>
      </c>
      <c r="E176" s="359" t="str">
        <f ca="1">IF(B176="+","Unit",IF(ISERROR(OFFSET('HARGA SATUAN'!$E$6,MATCH(RAB!C176,'HARGA SATUAN'!$C$7:$C$1492,0),0)),"",OFFSET('HARGA SATUAN'!$E$6,MATCH(RAB!C176,'HARGA SATUAN'!$C$7:$C$1492,0),0)))</f>
        <v/>
      </c>
      <c r="F176" s="484"/>
      <c r="G176" s="360">
        <f ca="1">IF(ISERROR(OFFSET('HARGA SATUAN'!$I$6,MATCH(RAB!C176,'HARGA SATUAN'!$C$7:$C$1492,0),0)),0,OFFSET('HARGA SATUAN'!$I$6,MATCH(RAB!C176,'HARGA SATUAN'!$C$7:$C$1492,0),0))</f>
        <v>0</v>
      </c>
      <c r="H176" s="361">
        <f t="shared" ca="1" si="48"/>
        <v>0</v>
      </c>
      <c r="I176" s="361">
        <f t="shared" ca="1" si="49"/>
        <v>0</v>
      </c>
      <c r="J176" s="361">
        <f t="shared" ca="1" si="50"/>
        <v>0</v>
      </c>
      <c r="K176" s="362">
        <f t="shared" ca="1" si="51"/>
        <v>0</v>
      </c>
    </row>
    <row r="177" spans="2:13">
      <c r="B177" s="379">
        <v>1</v>
      </c>
      <c r="C177" s="380" t="s">
        <v>1091</v>
      </c>
      <c r="D177" s="381" t="str">
        <f ca="1">IF(ISERROR(OFFSET('HARGA SATUAN'!$D$6,MATCH(RAB!C177,'HARGA SATUAN'!$C$7:$C$1492,0),0)),"",OFFSET('HARGA SATUAN'!$D$6,MATCH(RAB!C177,'HARGA SATUAN'!$C$7:$C$1492,0),0))</f>
        <v>JASA</v>
      </c>
      <c r="E177" s="382" t="str">
        <f ca="1">IF(ISERROR(OFFSET('HARGA SATUAN'!$E$6,MATCH(RAB!C177,'HARGA SATUAN'!$C$7:$C$1492,0),0)),"",OFFSET('HARGA SATUAN'!$E$6,MATCH(RAB!C177,'HARGA SATUAN'!$C$7:$C$1492,0),0))</f>
        <v>Lot</v>
      </c>
      <c r="F177" s="383">
        <v>1</v>
      </c>
      <c r="G177" s="384">
        <f ca="1">IF(ISERROR(OFFSET('HARGA SATUAN'!$I$6,MATCH(RAB!C177,'HARGA SATUAN'!$C$7:$C$1492,0),0)),0,OFFSET('HARGA SATUAN'!$I$6,MATCH(RAB!C177,'HARGA SATUAN'!$C$7:$C$1492,0),0))</f>
        <v>2.5000000000000001E-2</v>
      </c>
      <c r="H177" s="385">
        <f ca="1">2.5%*(SUM(H14:H176))</f>
        <v>2550816.25</v>
      </c>
      <c r="I177" s="385">
        <f t="shared" ref="I177" ca="1" si="56">2.5%*(SUM(I14:I176))</f>
        <v>1841809.2183333335</v>
      </c>
      <c r="J177" s="385">
        <f ca="1">2.5%*(SUM(J14:J176))</f>
        <v>189509.41666666666</v>
      </c>
      <c r="K177" s="386">
        <f ca="1">SUM(H177:J177)</f>
        <v>4582134.8850000007</v>
      </c>
    </row>
    <row r="178" spans="2:13">
      <c r="B178" s="387"/>
      <c r="C178" s="388"/>
      <c r="D178" s="358" t="str">
        <f ca="1">IF(ISERROR(OFFSET('HARGA SATUAN'!$D$6,MATCH(RAB!C178,'HARGA SATUAN'!$C$7:$C$1492,0),0)),"",OFFSET('HARGA SATUAN'!$D$6,MATCH(RAB!C178,'HARGA SATUAN'!$C$7:$C$1492,0),0))</f>
        <v/>
      </c>
      <c r="E178" s="359" t="str">
        <f ca="1">IF(ISERROR(OFFSET('HARGA SATUAN'!$E$6,MATCH(RAB!C178,'HARGA SATUAN'!$C$7:$C$1492,0),0)),"",OFFSET('HARGA SATUAN'!$E$6,MATCH(RAB!C178,'HARGA SATUAN'!$C$7:$C$1492,0),0))</f>
        <v/>
      </c>
      <c r="F178" s="378"/>
      <c r="G178" s="360" t="str">
        <f ca="1">IF(ISERROR(OFFSET('HARGA SATUAN'!$I$6,MATCH(RAB!C178,'HARGA SATUAN'!$C$7:$C$1492,0),0)),"",OFFSET('HARGA SATUAN'!$I$6,MATCH(RAB!C178,'HARGA SATUAN'!$C$7:$C$1492,0),0))</f>
        <v/>
      </c>
      <c r="H178" s="361">
        <f ca="1">IF(OR(D178="MDU",D178="MDU-KD"),IF(G178="PLN",0,G178*F178),0)</f>
        <v>0</v>
      </c>
      <c r="I178" s="361">
        <f ca="1">IF(D178="HDW",IF(G178="PLN",0,G178*F178),0)</f>
        <v>0</v>
      </c>
      <c r="J178" s="361">
        <f ca="1">IF(D178="JASA",IF(G178="PLN",0,G178*F178),0)</f>
        <v>0</v>
      </c>
      <c r="K178" s="362">
        <f ca="1">SUM(H178:J178)</f>
        <v>0</v>
      </c>
    </row>
    <row r="179" spans="2:13" ht="15.75" thickBot="1">
      <c r="B179" s="389"/>
      <c r="C179" s="390"/>
      <c r="D179" s="391"/>
      <c r="E179" s="392"/>
      <c r="F179" s="392"/>
      <c r="G179" s="392"/>
      <c r="H179" s="393"/>
      <c r="I179" s="393"/>
      <c r="J179" s="393"/>
      <c r="K179" s="394"/>
    </row>
    <row r="180" spans="2:13">
      <c r="B180" s="395"/>
      <c r="C180" s="628" t="s">
        <v>1008</v>
      </c>
      <c r="D180" s="628"/>
      <c r="E180" s="628"/>
      <c r="F180" s="628"/>
      <c r="G180" s="396" t="s">
        <v>9</v>
      </c>
      <c r="H180" s="397">
        <f ca="1">SUM(H14:H178)</f>
        <v>104583466.25</v>
      </c>
      <c r="I180" s="397">
        <f ca="1">SUM(I14:I178)</f>
        <v>75514177.951666668</v>
      </c>
      <c r="J180" s="397">
        <f ca="1">SUM(J14:J178)</f>
        <v>7769886.083333333</v>
      </c>
      <c r="K180" s="397">
        <f ca="1">SUM(K14:K178)</f>
        <v>187867530.285</v>
      </c>
    </row>
    <row r="181" spans="2:13">
      <c r="B181" s="400"/>
      <c r="C181" s="644" t="s">
        <v>1460</v>
      </c>
      <c r="D181" s="644"/>
      <c r="E181" s="644"/>
      <c r="F181" s="644"/>
      <c r="G181" s="401" t="s">
        <v>9</v>
      </c>
      <c r="H181" s="402">
        <f ca="1">H180*0.11</f>
        <v>11504181.2875</v>
      </c>
      <c r="I181" s="402">
        <f ca="1">I180*0.11</f>
        <v>8306559.5746833337</v>
      </c>
      <c r="J181" s="402">
        <f ca="1">J180*0.11</f>
        <v>854687.46916666662</v>
      </c>
      <c r="K181" s="402">
        <f ca="1">K180*0.11</f>
        <v>20665428.331349999</v>
      </c>
    </row>
    <row r="182" spans="2:13" ht="15.75" thickBot="1">
      <c r="B182" s="400"/>
      <c r="C182" s="642" t="s">
        <v>463</v>
      </c>
      <c r="D182" s="642"/>
      <c r="E182" s="642"/>
      <c r="F182" s="642"/>
      <c r="G182" s="404" t="s">
        <v>9</v>
      </c>
      <c r="H182" s="405">
        <f ca="1">SUM(H180:H181)</f>
        <v>116087647.53749999</v>
      </c>
      <c r="I182" s="405">
        <f ca="1">SUM(I180:I181)</f>
        <v>83820737.526350006</v>
      </c>
      <c r="J182" s="404">
        <f ca="1">SUM(J180:J181)</f>
        <v>8624573.5525000002</v>
      </c>
      <c r="K182" s="404">
        <f ca="1">SUM(K180:K181)</f>
        <v>208532958.61635</v>
      </c>
      <c r="M182" s="487"/>
    </row>
    <row r="183" spans="2:13">
      <c r="B183" s="645" t="str">
        <f ca="1">"Terbilang : "&amp;PROPER(IF(K182=0,"nol",IF(K182&lt;0,"minus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IF(--MID(TEXT(ABS(K182),"000000000000000"),1,3)=0,"",MID(TEXT(ABS(K182),"000000000000000"),1,1)&amp;" ratus "&amp;MID(TEXT(ABS(K182),"000000000000000"),2,1)&amp;" puluh "&amp;MID(TEXT(ABS(K182),"000000000000000"),3,1)&amp;" trilyun ")&amp; IF(--MID(TEXT(ABS(K182),"000000000000000"),4,3)=0,"",MID(TEXT(ABS(K182),"000000000000000"),4,1)&amp;" ratus "&amp;MID(TEXT(ABS(K182),"000000000000000"),5,1)&amp;" puluh "&amp;MID(TEXT(ABS(K182),"000000000000000"),6,1)&amp;" milyar ")&amp; IF(--MID(TEXT(ABS(K182),"000000000000000"),7,3)=0,"",MID(TEXT(ABS(K182),"000000000000000"),7,1)&amp;" ratus "&amp;MID(TEXT(ABS(K182),"000000000000000"),8,1)&amp;" puluh "&amp;MID(TEXT(ABS(K182),"000000000000000"),9,1)&amp;" juta ")&amp; IF(--MID(TEXT(ABS(K182),"000000000000000"),10,3)=0,"",IF(--MID(TEXT(ABS(K182),"000000000000000"),10,3)=1,"*",MID(TEXT(ABS(K182),"000000000000000"),10,1)&amp;" ratus "&amp;MID(TEXT(ABS(K182),"000000000000000"),11,1)&amp;" puluh ")&amp;MID(TEXT(ABS(K182),"000000000000000"),12,1)&amp;" ribu ")&amp; IF(--MID(TEXT(ABS(K182),"000000000000000"),13,3)=0,"",MID(TEXT(ABS(K182),"000000000000000"),13,1)&amp;" ratus "&amp;MID(TEXT(ABS(K182),"000000000000000"),14,1)&amp;" puluh "&amp;MID(TEXT(ABS(K182),"000000000000000"),15,1)),1,"satu"),2,"dua"),3,"tiga"),4,"empat"),5,"lima"),6,"enam"),7,"tujuh"),8,"delapan"),9,"sembilan"),"0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Delapan Juta Lima Ratus Tiga Puluh Dua Ribu Sembilan Ratus Lima Puluh Sembilan Rupiah</v>
      </c>
      <c r="C183" s="646"/>
      <c r="D183" s="646"/>
      <c r="E183" s="646"/>
      <c r="F183" s="646"/>
      <c r="G183" s="646"/>
      <c r="H183" s="646"/>
      <c r="I183" s="646"/>
      <c r="J183" s="646"/>
      <c r="K183" s="647"/>
    </row>
    <row r="184" spans="2:13">
      <c r="B184" s="648"/>
      <c r="C184" s="649"/>
      <c r="D184" s="649"/>
      <c r="E184" s="649"/>
      <c r="F184" s="649"/>
      <c r="G184" s="649"/>
      <c r="H184" s="649"/>
      <c r="I184" s="649"/>
      <c r="J184" s="649"/>
      <c r="K184" s="650"/>
    </row>
    <row r="185" spans="2:13" ht="15.75" thickBot="1">
      <c r="B185" s="407" t="str">
        <f>"Harga yang dipakai adalah "&amp;'HARGA SATUAN'!I5&amp;""</f>
        <v>Harga yang dipakai adalah RAB HSS 2023</v>
      </c>
      <c r="C185" s="408"/>
      <c r="D185" s="409"/>
      <c r="E185" s="409"/>
      <c r="F185" s="409"/>
      <c r="G185" s="410"/>
      <c r="H185" s="410"/>
      <c r="I185" s="410"/>
      <c r="J185" s="410"/>
      <c r="K185" s="411"/>
    </row>
    <row r="186" spans="2:13">
      <c r="C186" s="412"/>
      <c r="E186" s="414"/>
      <c r="F186" s="414"/>
      <c r="G186" s="414"/>
    </row>
    <row r="187" spans="2:13">
      <c r="C187" s="337"/>
      <c r="E187" s="414"/>
      <c r="F187" s="414"/>
      <c r="G187" s="414"/>
      <c r="H187" s="651"/>
      <c r="I187" s="651"/>
      <c r="J187" s="652"/>
      <c r="K187" s="652"/>
    </row>
    <row r="188" spans="2:13">
      <c r="C188" s="337"/>
      <c r="E188" s="414"/>
      <c r="F188" s="414"/>
      <c r="G188" s="414"/>
      <c r="H188" s="415"/>
      <c r="I188" s="641" t="s">
        <v>1613</v>
      </c>
      <c r="J188" s="641"/>
      <c r="K188" s="641"/>
    </row>
    <row r="189" spans="2:13">
      <c r="C189" s="337"/>
      <c r="E189" s="414"/>
      <c r="F189" s="414"/>
      <c r="G189" s="414"/>
      <c r="H189" s="415"/>
      <c r="I189" s="641" t="s">
        <v>1551</v>
      </c>
      <c r="J189" s="641"/>
      <c r="K189" s="641"/>
    </row>
    <row r="190" spans="2:13">
      <c r="C190" s="337"/>
      <c r="E190" s="414"/>
      <c r="F190" s="414"/>
      <c r="G190" s="414"/>
      <c r="H190" s="416"/>
      <c r="I190" s="417"/>
      <c r="J190" s="417"/>
      <c r="K190" s="417"/>
    </row>
    <row r="191" spans="2:13">
      <c r="C191" s="337"/>
      <c r="E191" s="414"/>
      <c r="F191" s="414"/>
      <c r="G191" s="414"/>
      <c r="H191" s="416"/>
      <c r="I191" s="416"/>
      <c r="J191" s="416"/>
      <c r="K191" s="416"/>
    </row>
    <row r="192" spans="2:13">
      <c r="C192" s="337"/>
      <c r="E192" s="414"/>
      <c r="F192" s="414"/>
      <c r="G192" s="414"/>
      <c r="H192" s="416"/>
      <c r="I192" s="416"/>
      <c r="J192" s="416"/>
      <c r="K192" s="416"/>
    </row>
    <row r="193" spans="3:11">
      <c r="C193" s="337"/>
      <c r="E193" s="414"/>
      <c r="F193" s="414"/>
      <c r="G193" s="414"/>
      <c r="H193" s="416"/>
      <c r="I193" s="416"/>
      <c r="J193" s="416"/>
      <c r="K193" s="416"/>
    </row>
    <row r="194" spans="3:11">
      <c r="C194" s="337"/>
      <c r="E194" s="414"/>
      <c r="F194" s="414"/>
      <c r="G194" s="414"/>
      <c r="H194" s="418"/>
      <c r="I194" s="641" t="s">
        <v>1552</v>
      </c>
      <c r="J194" s="641"/>
      <c r="K194" s="641"/>
    </row>
    <row r="195" spans="3:11">
      <c r="C195" s="412"/>
      <c r="E195" s="414"/>
      <c r="F195" s="414"/>
      <c r="G195" s="414"/>
      <c r="H195" s="416"/>
      <c r="I195" s="416"/>
      <c r="J195" s="416"/>
      <c r="K195" s="416"/>
    </row>
    <row r="196" spans="3:11">
      <c r="C196" s="412"/>
      <c r="E196" s="414"/>
      <c r="F196" s="414"/>
      <c r="G196" s="414"/>
      <c r="H196" s="416"/>
      <c r="I196" s="416"/>
      <c r="J196" s="416"/>
      <c r="K196" s="416"/>
    </row>
    <row r="197" spans="3:11">
      <c r="C197" s="412"/>
      <c r="E197" s="414"/>
      <c r="F197" s="414"/>
      <c r="G197" s="414"/>
      <c r="H197" s="416"/>
      <c r="I197" s="416"/>
      <c r="J197" s="416"/>
      <c r="K197" s="416"/>
    </row>
  </sheetData>
  <sheetProtection sort="0" autoFilter="0"/>
  <protectedRanges>
    <protectedRange sqref="B175 B130:B137" name="Range1_1"/>
    <protectedRange sqref="F14:F16 F22:F24" name="Range1_1_2_2"/>
    <protectedRange sqref="B174:C174 B59:C60 B66:C67 B76:B79 B149:C149 B80:C96 B116:C117 C130:C137 B73:C75" name="Range1_1_1"/>
    <protectedRange sqref="C175" name="Range1_1_3_12"/>
    <protectedRange sqref="C41 C43:C58" name="Range1_1_3_2"/>
    <protectedRange sqref="F17:F21" name="Range1_1_2_2_1_1"/>
    <protectedRange sqref="B28:C28 B30:C39 B25:B27" name="Range1_1_1_1"/>
    <protectedRange sqref="B29:C29" name="Range1_6_1_1"/>
    <protectedRange sqref="F25:F39" name="Range1_1_2_2_1_3"/>
    <protectedRange sqref="C26 C69" name="Range1_1_3_3"/>
    <protectedRange sqref="C27" name="Range1_1_3_4"/>
    <protectedRange sqref="C42" name="Range1_1_3_5"/>
    <protectedRange sqref="C76" name="Range1_1_3_6"/>
    <protectedRange sqref="C77" name="Range1_1_3_8"/>
    <protectedRange sqref="C78" name="Range1_1_3_9"/>
    <protectedRange sqref="C79" name="Range1_1_3_10"/>
    <protectedRange sqref="C155" name="Range1_1_3_18"/>
    <protectedRange sqref="C122" name="Range1_1_3_16"/>
    <protectedRange sqref="C126" name="Range1_1_3_17"/>
    <protectedRange sqref="C119" name="Range1_1_3"/>
    <protectedRange sqref="C113" name="Range1_1_3_1"/>
    <protectedRange sqref="C114" name="Range1_1_3_7"/>
  </protectedRanges>
  <mergeCells count="22">
    <mergeCell ref="I189:K189"/>
    <mergeCell ref="I194:K194"/>
    <mergeCell ref="C182:F182"/>
    <mergeCell ref="G6:K6"/>
    <mergeCell ref="I188:K188"/>
    <mergeCell ref="C181:F181"/>
    <mergeCell ref="B183:K184"/>
    <mergeCell ref="H187:K187"/>
    <mergeCell ref="H11:K11"/>
    <mergeCell ref="H12:H13"/>
    <mergeCell ref="J12:J13"/>
    <mergeCell ref="K12:K13"/>
    <mergeCell ref="O3:P4"/>
    <mergeCell ref="B4:K4"/>
    <mergeCell ref="C180:F180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">
    <cfRule type="cellIs" dxfId="16" priority="463" operator="equal">
      <formula>0</formula>
    </cfRule>
  </conditionalFormatting>
  <conditionalFormatting sqref="C17:C21">
    <cfRule type="cellIs" dxfId="15" priority="48" operator="equal">
      <formula>0</formula>
    </cfRule>
  </conditionalFormatting>
  <conditionalFormatting sqref="C26:C27">
    <cfRule type="cellIs" dxfId="14" priority="43" operator="equal">
      <formula>0</formula>
    </cfRule>
  </conditionalFormatting>
  <conditionalFormatting sqref="C42">
    <cfRule type="cellIs" dxfId="13" priority="38" operator="equal">
      <formula>0</formula>
    </cfRule>
  </conditionalFormatting>
  <conditionalFormatting sqref="C76:C79">
    <cfRule type="cellIs" dxfId="12" priority="32" operator="equal">
      <formula>0</formula>
    </cfRule>
  </conditionalFormatting>
  <conditionalFormatting sqref="C113:C114">
    <cfRule type="cellIs" dxfId="11" priority="3" operator="equal">
      <formula>0</formula>
    </cfRule>
  </conditionalFormatting>
  <conditionalFormatting sqref="C119">
    <cfRule type="cellIs" dxfId="10" priority="6" operator="equal">
      <formula>0</formula>
    </cfRule>
  </conditionalFormatting>
  <conditionalFormatting sqref="C122:C123">
    <cfRule type="cellIs" dxfId="9" priority="9" operator="equal">
      <formula>0</formula>
    </cfRule>
  </conditionalFormatting>
  <conditionalFormatting sqref="C126">
    <cfRule type="cellIs" dxfId="8" priority="8" operator="equal">
      <formula>0</formula>
    </cfRule>
  </conditionalFormatting>
  <conditionalFormatting sqref="C137">
    <cfRule type="cellIs" dxfId="7" priority="54" operator="equal">
      <formula>0</formula>
    </cfRule>
  </conditionalFormatting>
  <conditionalFormatting sqref="C152">
    <cfRule type="cellIs" dxfId="6" priority="7" operator="equal">
      <formula>0</formula>
    </cfRule>
  </conditionalFormatting>
  <conditionalFormatting sqref="C175">
    <cfRule type="cellIs" dxfId="5" priority="61" operator="equal">
      <formula>0</formula>
    </cfRule>
  </conditionalFormatting>
  <conditionalFormatting sqref="E1:E3 G1:G13 E5:E13 H12:I12 O13 S14:V58 E177:G177 H177:K179 E178:H178 E179:F179 E73:K176">
    <cfRule type="cellIs" dxfId="4" priority="1043" stopIfTrue="1" operator="equal">
      <formula>0</formula>
    </cfRule>
  </conditionalFormatting>
  <conditionalFormatting sqref="E14:K67 E68:E72 G68:K72">
    <cfRule type="cellIs" dxfId="3" priority="5" stopIfTrue="1" operator="equal">
      <formula>0</formula>
    </cfRule>
  </conditionalFormatting>
  <conditionalFormatting sqref="G178:G65644 E183:E65644">
    <cfRule type="cellIs" dxfId="2" priority="177" stopIfTrue="1" operator="equal">
      <formula>0</formula>
    </cfRule>
  </conditionalFormatting>
  <conditionalFormatting sqref="F68:F72">
    <cfRule type="cellIs" dxfId="1" priority="2" stopIfTrue="1" operator="equal">
      <formula>0</formula>
    </cfRule>
  </conditionalFormatting>
  <conditionalFormatting sqref="C6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5:F40 F157 F162:F176 C120:C121 F60:F93 H14:K179 F95:F15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22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2" zoomScale="130" zoomScaleNormal="115" zoomScaleSheetLayoutView="130" workbookViewId="0">
      <selection activeCell="P39" sqref="P39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5" t="s">
        <v>1439</v>
      </c>
      <c r="X2" s="656"/>
      <c r="Y2" s="656"/>
      <c r="Z2" s="656"/>
      <c r="AA2" s="656"/>
      <c r="AB2" s="656"/>
      <c r="AC2" s="656"/>
      <c r="AD2" s="657"/>
    </row>
    <row r="3" spans="3:30">
      <c r="C3" s="238"/>
      <c r="W3" s="658"/>
      <c r="X3" s="659"/>
      <c r="Y3" s="659"/>
      <c r="Z3" s="659"/>
      <c r="AA3" s="659"/>
      <c r="AB3" s="659"/>
      <c r="AC3" s="659"/>
      <c r="AD3" s="660"/>
    </row>
    <row r="4" spans="3:30">
      <c r="C4" s="238"/>
      <c r="W4" s="239" t="s">
        <v>987</v>
      </c>
      <c r="AD4" s="240"/>
    </row>
    <row r="5" spans="3:30">
      <c r="C5" s="238"/>
      <c r="E5" s="235" t="str">
        <f>PETA!$C$6</f>
        <v>KOORDINAT : -6.885402, 110.666358</v>
      </c>
      <c r="W5" s="241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238"/>
      <c r="W6" s="241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238"/>
      <c r="E7" s="493"/>
      <c r="W7" s="241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238"/>
      <c r="W8" s="241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238"/>
      <c r="W9" s="241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238"/>
      <c r="W10" s="241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238"/>
      <c r="W11" s="241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238"/>
      <c r="W12" s="241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238"/>
      <c r="W13" s="241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238"/>
      <c r="W14" s="241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238"/>
      <c r="W15" s="241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238"/>
      <c r="W16" s="241">
        <v>11</v>
      </c>
      <c r="X16" s="661" t="s">
        <v>1458</v>
      </c>
      <c r="Y16" s="661"/>
      <c r="Z16" s="661"/>
      <c r="AA16" s="661"/>
      <c r="AB16" s="661"/>
      <c r="AC16" s="661"/>
      <c r="AD16" s="662"/>
    </row>
    <row r="17" spans="3:30">
      <c r="C17" s="238"/>
      <c r="S17" s="242"/>
      <c r="W17" s="241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243"/>
      <c r="D18" s="244"/>
      <c r="E18" s="244"/>
      <c r="W18" s="241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238"/>
      <c r="W19" s="245"/>
      <c r="X19" s="676"/>
      <c r="Y19" s="676"/>
      <c r="Z19" s="676"/>
      <c r="AA19" s="676"/>
      <c r="AB19" s="676"/>
      <c r="AC19" s="676"/>
      <c r="AD19" s="677"/>
    </row>
    <row r="20" spans="3:30">
      <c r="C20" s="238"/>
      <c r="W20" s="663" t="s">
        <v>992</v>
      </c>
      <c r="X20" s="664"/>
      <c r="Y20" s="664"/>
      <c r="Z20" s="664"/>
      <c r="AA20" s="664"/>
      <c r="AB20" s="664"/>
      <c r="AC20" s="664"/>
      <c r="AD20" s="665"/>
    </row>
    <row r="21" spans="3:30">
      <c r="C21" s="238"/>
      <c r="W21" s="666" t="s">
        <v>985</v>
      </c>
      <c r="X21" s="667"/>
      <c r="Y21" s="667"/>
      <c r="Z21" s="668"/>
      <c r="AA21" s="669" t="s">
        <v>986</v>
      </c>
      <c r="AB21" s="670"/>
      <c r="AC21" s="670"/>
      <c r="AD21" s="671"/>
    </row>
    <row r="22" spans="3:30">
      <c r="C22" s="238"/>
      <c r="W22" s="678" t="s">
        <v>1622</v>
      </c>
      <c r="X22" s="679"/>
      <c r="Y22" s="518" t="s">
        <v>1058</v>
      </c>
      <c r="Z22" s="519">
        <v>2</v>
      </c>
      <c r="AA22" s="672"/>
      <c r="AB22" s="673"/>
      <c r="AC22" s="248"/>
      <c r="AD22" s="249"/>
    </row>
    <row r="23" spans="3:30">
      <c r="C23" s="238"/>
      <c r="W23" s="680" t="s">
        <v>1635</v>
      </c>
      <c r="X23" s="681"/>
      <c r="Y23" s="518" t="s">
        <v>1058</v>
      </c>
      <c r="Z23" s="519">
        <v>2</v>
      </c>
      <c r="AA23" s="674"/>
      <c r="AB23" s="675"/>
      <c r="AC23" s="248"/>
      <c r="AD23" s="249"/>
    </row>
    <row r="24" spans="3:30">
      <c r="C24" s="238"/>
      <c r="W24" s="680" t="s">
        <v>1621</v>
      </c>
      <c r="X24" s="681"/>
      <c r="Y24" s="518" t="s">
        <v>1058</v>
      </c>
      <c r="Z24" s="519">
        <v>1</v>
      </c>
      <c r="AA24" s="684"/>
      <c r="AB24" s="685"/>
      <c r="AC24" s="248"/>
      <c r="AD24" s="249"/>
    </row>
    <row r="25" spans="3:30">
      <c r="C25" s="238"/>
      <c r="W25" s="680"/>
      <c r="X25" s="681"/>
      <c r="Y25" s="518"/>
      <c r="Z25" s="519"/>
      <c r="AA25" s="674"/>
      <c r="AB25" s="675"/>
      <c r="AC25" s="248"/>
      <c r="AD25" s="249"/>
    </row>
    <row r="26" spans="3:30">
      <c r="C26" s="238"/>
      <c r="W26" s="680" t="s">
        <v>1623</v>
      </c>
      <c r="X26" s="681"/>
      <c r="Y26" s="518" t="s">
        <v>1058</v>
      </c>
      <c r="Z26" s="519">
        <v>2</v>
      </c>
      <c r="AA26" s="674"/>
      <c r="AB26" s="675"/>
      <c r="AC26" s="248"/>
      <c r="AD26" s="249"/>
    </row>
    <row r="27" spans="3:30">
      <c r="C27" s="238"/>
      <c r="W27" s="680" t="s">
        <v>1626</v>
      </c>
      <c r="X27" s="681"/>
      <c r="Y27" s="518" t="s">
        <v>1058</v>
      </c>
      <c r="Z27" s="519">
        <v>2</v>
      </c>
      <c r="AA27" s="682"/>
      <c r="AB27" s="683"/>
      <c r="AC27" s="248"/>
      <c r="AD27" s="249"/>
    </row>
    <row r="28" spans="3:30">
      <c r="C28" s="238"/>
      <c r="E28" s="517"/>
      <c r="W28" s="680"/>
      <c r="X28" s="681"/>
      <c r="Y28" s="518"/>
      <c r="Z28" s="519"/>
      <c r="AA28" s="682"/>
      <c r="AB28" s="683"/>
      <c r="AC28" s="248"/>
      <c r="AD28" s="249"/>
    </row>
    <row r="29" spans="3:30">
      <c r="C29" s="238"/>
      <c r="W29" s="680" t="s">
        <v>1636</v>
      </c>
      <c r="X29" s="681"/>
      <c r="Y29" s="518" t="s">
        <v>1058</v>
      </c>
      <c r="Z29" s="519">
        <v>1</v>
      </c>
      <c r="AA29" s="682"/>
      <c r="AB29" s="683"/>
      <c r="AC29" s="248"/>
      <c r="AD29" s="249"/>
    </row>
    <row r="30" spans="3:30" ht="11.25" customHeight="1">
      <c r="C30" s="238"/>
      <c r="W30" s="680" t="s">
        <v>1631</v>
      </c>
      <c r="X30" s="681"/>
      <c r="Y30" s="518" t="s">
        <v>1058</v>
      </c>
      <c r="Z30" s="519">
        <v>1</v>
      </c>
      <c r="AA30" s="682"/>
      <c r="AB30" s="683"/>
      <c r="AC30" s="248"/>
      <c r="AD30" s="249"/>
    </row>
    <row r="31" spans="3:30">
      <c r="C31" s="238"/>
      <c r="U31" s="250"/>
      <c r="W31" s="680" t="s">
        <v>1632</v>
      </c>
      <c r="X31" s="681"/>
      <c r="Y31" s="518" t="s">
        <v>1058</v>
      </c>
      <c r="Z31" s="519">
        <v>1</v>
      </c>
      <c r="AA31" s="682"/>
      <c r="AB31" s="683"/>
      <c r="AC31" s="248"/>
      <c r="AD31" s="249"/>
    </row>
    <row r="32" spans="3:30">
      <c r="C32" s="238"/>
      <c r="U32" s="250"/>
      <c r="W32" s="686" t="s">
        <v>1633</v>
      </c>
      <c r="X32" s="687"/>
      <c r="Y32" s="520" t="s">
        <v>1058</v>
      </c>
      <c r="Z32" s="521">
        <v>1</v>
      </c>
      <c r="AA32" s="682"/>
      <c r="AB32" s="683"/>
      <c r="AC32" s="248"/>
      <c r="AD32" s="249"/>
    </row>
    <row r="33" spans="3:30">
      <c r="C33" s="238"/>
      <c r="W33" s="699"/>
      <c r="X33" s="700"/>
      <c r="Y33" s="522"/>
      <c r="Z33" s="523"/>
      <c r="AA33" s="682"/>
      <c r="AB33" s="683"/>
      <c r="AC33" s="248"/>
      <c r="AD33" s="249"/>
    </row>
    <row r="34" spans="3:30">
      <c r="C34" s="238"/>
      <c r="W34" s="485"/>
      <c r="X34" s="486"/>
      <c r="Y34" s="246"/>
      <c r="Z34" s="247"/>
      <c r="AA34" s="682"/>
      <c r="AB34" s="683"/>
      <c r="AC34" s="248"/>
      <c r="AD34" s="249"/>
    </row>
    <row r="35" spans="3:30">
      <c r="C35" s="238"/>
      <c r="W35" s="697"/>
      <c r="X35" s="698"/>
      <c r="Y35" s="246"/>
      <c r="Z35" s="247"/>
      <c r="AA35" s="682"/>
      <c r="AB35" s="683"/>
      <c r="AC35" s="248"/>
      <c r="AD35" s="249"/>
    </row>
    <row r="36" spans="3:30">
      <c r="C36" s="238"/>
      <c r="W36" s="688"/>
      <c r="X36" s="689"/>
      <c r="Y36" s="246"/>
      <c r="Z36" s="251"/>
      <c r="AA36" s="690"/>
      <c r="AB36" s="683"/>
      <c r="AC36" s="248"/>
      <c r="AD36" s="249"/>
    </row>
    <row r="37" spans="3:30" ht="12.75" customHeight="1">
      <c r="C37" s="238"/>
      <c r="W37" s="691"/>
      <c r="X37" s="692"/>
      <c r="Y37" s="246"/>
      <c r="Z37" s="251"/>
      <c r="AA37" s="693"/>
      <c r="AB37" s="694"/>
      <c r="AC37" s="252"/>
      <c r="AD37" s="253"/>
    </row>
    <row r="38" spans="3:30" ht="12.75" customHeight="1">
      <c r="C38" s="238"/>
      <c r="W38" s="691"/>
      <c r="X38" s="69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91"/>
      <c r="X39" s="692"/>
      <c r="Y39" s="254"/>
      <c r="Z39" s="257"/>
      <c r="AA39" s="695"/>
      <c r="AB39" s="696"/>
      <c r="AC39" s="252"/>
      <c r="AD39" s="253"/>
    </row>
    <row r="40" spans="3:30" ht="12" customHeight="1">
      <c r="C40" s="238"/>
      <c r="W40" s="704"/>
      <c r="X40" s="70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706"/>
      <c r="X41" s="707"/>
      <c r="Y41" s="260"/>
      <c r="Z41" s="261"/>
      <c r="AA41" s="695"/>
      <c r="AB41" s="696"/>
      <c r="AC41" s="252"/>
      <c r="AD41" s="253"/>
    </row>
    <row r="42" spans="3:30" ht="12" customHeight="1">
      <c r="C42" s="238"/>
      <c r="W42" s="708" t="s">
        <v>1459</v>
      </c>
      <c r="X42" s="709"/>
      <c r="Y42" s="709"/>
      <c r="Z42" s="70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701" t="s">
        <v>11</v>
      </c>
      <c r="X44" s="702"/>
      <c r="Y44" s="661"/>
      <c r="Z44" s="661"/>
      <c r="AA44" s="661"/>
      <c r="AB44" s="661"/>
      <c r="AC44" s="661"/>
      <c r="AD44" s="66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701" t="s">
        <v>984</v>
      </c>
      <c r="X45" s="702"/>
      <c r="Y45" s="661">
        <v>1</v>
      </c>
      <c r="Z45" s="661"/>
      <c r="AA45" s="661"/>
      <c r="AB45" s="661" t="s">
        <v>12</v>
      </c>
      <c r="AC45" s="66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701" t="s">
        <v>15</v>
      </c>
      <c r="X46" s="702"/>
      <c r="Y46" s="703"/>
      <c r="Z46" s="703"/>
      <c r="AA46" s="703"/>
      <c r="AB46" s="661" t="s">
        <v>16</v>
      </c>
      <c r="AC46" s="66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14" t="s">
        <v>17</v>
      </c>
      <c r="X47" s="714"/>
      <c r="Y47" s="714"/>
      <c r="Z47" s="714"/>
      <c r="AA47" s="714"/>
      <c r="AB47" s="714"/>
      <c r="AC47" s="714"/>
      <c r="AD47" s="71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6" t="str">
        <f>RAB!G6</f>
        <v>PABRIK ES MOMO MRANAK</v>
      </c>
      <c r="X48" s="716"/>
      <c r="Y48" s="716"/>
      <c r="Z48" s="716"/>
      <c r="AA48" s="716"/>
      <c r="AB48" s="716"/>
      <c r="AC48" s="716"/>
      <c r="AD48" s="71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6"/>
      <c r="X49" s="716"/>
      <c r="Y49" s="716"/>
      <c r="Z49" s="716"/>
      <c r="AA49" s="716"/>
      <c r="AB49" s="716"/>
      <c r="AC49" s="716"/>
      <c r="AD49" s="71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6"/>
      <c r="X50" s="716"/>
      <c r="Y50" s="716"/>
      <c r="Z50" s="716"/>
      <c r="AA50" s="716"/>
      <c r="AB50" s="716"/>
      <c r="AC50" s="716"/>
      <c r="AD50" s="71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8"/>
      <c r="X51" s="718"/>
      <c r="Y51" s="718"/>
      <c r="Z51" s="718"/>
      <c r="AA51" s="718"/>
      <c r="AB51" s="718"/>
      <c r="AC51" s="718"/>
      <c r="AD51" s="71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701" t="s">
        <v>18</v>
      </c>
      <c r="X52" s="702"/>
      <c r="Y52" s="661" t="s">
        <v>1616</v>
      </c>
      <c r="Z52" s="661"/>
      <c r="AA52" s="661"/>
      <c r="AB52" s="661"/>
      <c r="AC52" s="661"/>
      <c r="AD52" s="66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701" t="s">
        <v>19</v>
      </c>
      <c r="X53" s="702"/>
      <c r="Y53" s="661" t="s">
        <v>1617</v>
      </c>
      <c r="Z53" s="661"/>
      <c r="AA53" s="661"/>
      <c r="AB53" s="661"/>
      <c r="AC53" s="661"/>
      <c r="AD53" s="66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701" t="s">
        <v>20</v>
      </c>
      <c r="X54" s="702"/>
      <c r="Y54" s="710" t="s">
        <v>1618</v>
      </c>
      <c r="Z54" s="710"/>
      <c r="AA54" s="710"/>
      <c r="AB54" s="661"/>
      <c r="AC54" s="661"/>
      <c r="AD54" s="66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11" t="s">
        <v>21</v>
      </c>
      <c r="X55" s="712"/>
      <c r="Y55" s="710" t="s">
        <v>1554</v>
      </c>
      <c r="Z55" s="710"/>
      <c r="AA55" s="710"/>
      <c r="AB55" s="710"/>
      <c r="AC55" s="710"/>
      <c r="AD55" s="713"/>
    </row>
  </sheetData>
  <mergeCells count="109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W25:X25"/>
    <mergeCell ref="W26:X26"/>
    <mergeCell ref="W27:X27"/>
    <mergeCell ref="W24:X24"/>
    <mergeCell ref="W32:X32"/>
    <mergeCell ref="W28:X28"/>
    <mergeCell ref="W29:X29"/>
    <mergeCell ref="W30:X30"/>
    <mergeCell ref="W31:X31"/>
    <mergeCell ref="AA30:AB30"/>
    <mergeCell ref="AA31:AB31"/>
    <mergeCell ref="AA32:AB32"/>
    <mergeCell ref="AA27:AB27"/>
    <mergeCell ref="AA28:AB28"/>
    <mergeCell ref="AA29:AB29"/>
    <mergeCell ref="AA24:AB24"/>
    <mergeCell ref="AA25:AB25"/>
    <mergeCell ref="AA26:AB26"/>
    <mergeCell ref="W20:AD20"/>
    <mergeCell ref="W21:Z21"/>
    <mergeCell ref="AA21:AD21"/>
    <mergeCell ref="AA22:AB22"/>
    <mergeCell ref="AA23:AB23"/>
    <mergeCell ref="X18:Z18"/>
    <mergeCell ref="AA18:AB18"/>
    <mergeCell ref="AC18:AD18"/>
    <mergeCell ref="X19:Z19"/>
    <mergeCell ref="AA19:AB19"/>
    <mergeCell ref="AC19:AD19"/>
    <mergeCell ref="W22:X22"/>
    <mergeCell ref="W23:X23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16" zoomScale="70" zoomScaleNormal="55" zoomScaleSheetLayoutView="70" workbookViewId="0">
      <selection activeCell="Y24" sqref="Y24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20" t="s">
        <v>1531</v>
      </c>
      <c r="E4" s="721"/>
      <c r="F4" s="721"/>
      <c r="G4" s="721"/>
      <c r="H4" s="721"/>
      <c r="I4" s="721"/>
      <c r="J4" s="721"/>
      <c r="K4" s="721"/>
      <c r="L4" s="721"/>
      <c r="M4" s="721"/>
      <c r="N4" s="721"/>
      <c r="O4" s="721"/>
      <c r="P4" s="721"/>
      <c r="Q4" s="721"/>
      <c r="R4" s="721"/>
      <c r="S4" s="721"/>
      <c r="T4" s="721"/>
      <c r="U4" s="721"/>
      <c r="V4" s="721"/>
      <c r="W4" s="721"/>
      <c r="X4" s="721"/>
      <c r="Y4" s="721"/>
      <c r="Z4" s="721"/>
      <c r="AA4" s="721"/>
      <c r="AB4" s="721"/>
      <c r="AC4" s="722"/>
      <c r="AD4" s="217"/>
      <c r="AE4" s="216"/>
      <c r="AF4" s="216"/>
    </row>
    <row r="5" spans="2:32" ht="13.5" customHeight="1">
      <c r="B5" s="215"/>
      <c r="C5" s="215"/>
      <c r="D5" s="723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4"/>
      <c r="P5" s="724"/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4"/>
      <c r="AC5" s="725"/>
      <c r="AD5" s="217"/>
      <c r="AE5" s="216"/>
      <c r="AF5" s="216"/>
    </row>
    <row r="6" spans="2:32" ht="12.75" customHeight="1">
      <c r="B6" s="215"/>
      <c r="C6" s="215"/>
      <c r="D6" s="723"/>
      <c r="E6" s="724"/>
      <c r="F6" s="724"/>
      <c r="G6" s="724"/>
      <c r="H6" s="724"/>
      <c r="I6" s="724"/>
      <c r="J6" s="724"/>
      <c r="K6" s="724"/>
      <c r="L6" s="724"/>
      <c r="M6" s="724"/>
      <c r="N6" s="724"/>
      <c r="O6" s="724"/>
      <c r="P6" s="724"/>
      <c r="Q6" s="724"/>
      <c r="R6" s="724"/>
      <c r="S6" s="724"/>
      <c r="T6" s="724"/>
      <c r="U6" s="724"/>
      <c r="V6" s="724"/>
      <c r="W6" s="724"/>
      <c r="X6" s="724"/>
      <c r="Y6" s="724"/>
      <c r="Z6" s="724"/>
      <c r="AA6" s="724"/>
      <c r="AB6" s="724"/>
      <c r="AC6" s="725"/>
      <c r="AE6" s="216"/>
      <c r="AF6" s="216"/>
    </row>
    <row r="7" spans="2:32" ht="12.75" customHeight="1" thickBot="1">
      <c r="B7" s="215"/>
      <c r="C7" s="215"/>
      <c r="D7" s="726"/>
      <c r="E7" s="727"/>
      <c r="F7" s="727"/>
      <c r="G7" s="727"/>
      <c r="H7" s="727"/>
      <c r="I7" s="727"/>
      <c r="J7" s="727"/>
      <c r="K7" s="727"/>
      <c r="L7" s="727"/>
      <c r="M7" s="727"/>
      <c r="N7" s="727"/>
      <c r="O7" s="727"/>
      <c r="P7" s="727"/>
      <c r="Q7" s="727"/>
      <c r="R7" s="727"/>
      <c r="S7" s="727"/>
      <c r="T7" s="727"/>
      <c r="U7" s="727"/>
      <c r="V7" s="727"/>
      <c r="W7" s="727"/>
      <c r="X7" s="727"/>
      <c r="Y7" s="727"/>
      <c r="Z7" s="727"/>
      <c r="AA7" s="727"/>
      <c r="AB7" s="727"/>
      <c r="AC7" s="72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2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U42" sqref="U42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4" t="s">
        <v>1530</v>
      </c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24"/>
      <c r="D4" s="724"/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9" t="s">
        <v>1639</v>
      </c>
      <c r="D6" s="729"/>
      <c r="E6" s="729"/>
      <c r="F6" s="729"/>
      <c r="G6" s="729"/>
      <c r="H6" s="729"/>
      <c r="I6" s="729"/>
      <c r="J6" s="729"/>
      <c r="K6" s="729"/>
      <c r="L6" s="729"/>
      <c r="M6" s="729"/>
      <c r="W6" s="182"/>
      <c r="Y6" s="432"/>
      <c r="Z6" s="432"/>
      <c r="AA6" s="432"/>
      <c r="AB6" s="433"/>
      <c r="AC6" s="433"/>
    </row>
    <row r="7" spans="1:29" ht="18" customHeight="1">
      <c r="A7" s="181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2024-03-15T02:21:22Z</dcterms:modified>
</cp:coreProperties>
</file>