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GIYA PUTRA MANGUNWIJAYA\"/>
    </mc:Choice>
  </mc:AlternateContent>
  <xr:revisionPtr revIDLastSave="0" documentId="13_ncr:1_{B4E25A4F-7E3C-43F3-97F6-325E9A278B5F}" xr6:coauthVersionLast="45" xr6:coauthVersionMax="47" xr10:uidLastSave="{00000000-0000-0000-0000-000000000000}"/>
  <bookViews>
    <workbookView xWindow="-108" yWindow="-108" windowWidth="23256" windowHeight="12456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RAB!$A$1:$L$192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G171" i="11" l="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E171" i="11"/>
  <c r="D171" i="11"/>
  <c r="H171" i="11" s="1"/>
  <c r="E170" i="11"/>
  <c r="D170" i="11"/>
  <c r="E169" i="11"/>
  <c r="D169" i="11"/>
  <c r="J169" i="11" s="1"/>
  <c r="E168" i="11"/>
  <c r="D168" i="11"/>
  <c r="J168" i="11" s="1"/>
  <c r="E167" i="11"/>
  <c r="D167" i="11"/>
  <c r="H167" i="11" s="1"/>
  <c r="E166" i="11"/>
  <c r="D166" i="11"/>
  <c r="J166" i="11" s="1"/>
  <c r="E165" i="11"/>
  <c r="D165" i="11"/>
  <c r="J165" i="11" s="1"/>
  <c r="E164" i="11"/>
  <c r="D164" i="11"/>
  <c r="J164" i="11" s="1"/>
  <c r="E163" i="11"/>
  <c r="D163" i="11"/>
  <c r="H163" i="11" s="1"/>
  <c r="E162" i="11"/>
  <c r="D162" i="11"/>
  <c r="H162" i="11" s="1"/>
  <c r="E161" i="11"/>
  <c r="D161" i="11"/>
  <c r="J161" i="11" s="1"/>
  <c r="E160" i="11"/>
  <c r="D160" i="11"/>
  <c r="E159" i="11"/>
  <c r="D159" i="11"/>
  <c r="I159" i="11" s="1"/>
  <c r="E158" i="11"/>
  <c r="D158" i="11"/>
  <c r="I158" i="11" s="1"/>
  <c r="F171" i="11"/>
  <c r="F170" i="11"/>
  <c r="F169" i="11"/>
  <c r="F168" i="11"/>
  <c r="F167" i="11"/>
  <c r="F166" i="11"/>
  <c r="F165" i="11"/>
  <c r="F162" i="11"/>
  <c r="F161" i="11"/>
  <c r="F160" i="11"/>
  <c r="F159" i="11"/>
  <c r="H160" i="11" l="1"/>
  <c r="I168" i="11"/>
  <c r="H168" i="11"/>
  <c r="J158" i="11"/>
  <c r="H165" i="11"/>
  <c r="I163" i="11"/>
  <c r="J163" i="11"/>
  <c r="I171" i="11"/>
  <c r="I160" i="11"/>
  <c r="H164" i="11"/>
  <c r="J160" i="11"/>
  <c r="I165" i="11"/>
  <c r="I166" i="11"/>
  <c r="I170" i="11"/>
  <c r="J171" i="11"/>
  <c r="H159" i="11"/>
  <c r="I162" i="11"/>
  <c r="J159" i="11"/>
  <c r="H161" i="11"/>
  <c r="I164" i="11"/>
  <c r="J167" i="11"/>
  <c r="H169" i="11"/>
  <c r="J162" i="11"/>
  <c r="I167" i="11"/>
  <c r="J170" i="11"/>
  <c r="H158" i="11"/>
  <c r="I161" i="11"/>
  <c r="H166" i="11"/>
  <c r="I169" i="11"/>
  <c r="H170" i="11"/>
  <c r="K165" i="11" l="1"/>
  <c r="K166" i="11"/>
  <c r="K168" i="11"/>
  <c r="K169" i="11"/>
  <c r="K158" i="11"/>
  <c r="K160" i="11"/>
  <c r="K171" i="11"/>
  <c r="K163" i="11"/>
  <c r="K162" i="11"/>
  <c r="K167" i="11"/>
  <c r="K164" i="11"/>
  <c r="K161" i="11"/>
  <c r="K159" i="11"/>
  <c r="K170" i="11"/>
  <c r="F155" i="11" l="1"/>
  <c r="F150" i="11"/>
  <c r="F151" i="11" s="1"/>
  <c r="G155" i="11"/>
  <c r="E155" i="11"/>
  <c r="D155" i="11"/>
  <c r="G154" i="11"/>
  <c r="E154" i="11"/>
  <c r="D154" i="11"/>
  <c r="J154" i="11" s="1"/>
  <c r="G153" i="11"/>
  <c r="D153" i="11"/>
  <c r="J153" i="11" s="1"/>
  <c r="G151" i="11"/>
  <c r="E151" i="11"/>
  <c r="D151" i="11"/>
  <c r="G150" i="11"/>
  <c r="E150" i="11"/>
  <c r="D150" i="11"/>
  <c r="J150" i="11" s="1"/>
  <c r="G149" i="11"/>
  <c r="D149" i="11"/>
  <c r="J149" i="11" s="1"/>
  <c r="F146" i="11"/>
  <c r="F145" i="11"/>
  <c r="F144" i="11"/>
  <c r="F143" i="11"/>
  <c r="F142" i="11"/>
  <c r="F141" i="11"/>
  <c r="F140" i="11"/>
  <c r="F139" i="11"/>
  <c r="F138" i="11"/>
  <c r="F137" i="11"/>
  <c r="F135" i="11"/>
  <c r="G146" i="11"/>
  <c r="E146" i="11"/>
  <c r="D146" i="11"/>
  <c r="G145" i="11"/>
  <c r="E145" i="11"/>
  <c r="D145" i="11"/>
  <c r="J145" i="11" s="1"/>
  <c r="G144" i="11"/>
  <c r="E144" i="11"/>
  <c r="D144" i="11"/>
  <c r="J144" i="11" s="1"/>
  <c r="G143" i="11"/>
  <c r="E143" i="11"/>
  <c r="D143" i="11"/>
  <c r="J143" i="11" s="1"/>
  <c r="G142" i="11"/>
  <c r="E142" i="11"/>
  <c r="D142" i="11"/>
  <c r="J142" i="11" s="1"/>
  <c r="G141" i="11"/>
  <c r="E141" i="11"/>
  <c r="D141" i="11"/>
  <c r="J141" i="11" s="1"/>
  <c r="G140" i="11"/>
  <c r="E140" i="11"/>
  <c r="D140" i="11"/>
  <c r="J140" i="11" s="1"/>
  <c r="G139" i="11"/>
  <c r="E139" i="11"/>
  <c r="D139" i="11"/>
  <c r="J139" i="11" s="1"/>
  <c r="G138" i="11"/>
  <c r="E138" i="11"/>
  <c r="D138" i="11"/>
  <c r="J138" i="11" s="1"/>
  <c r="G137" i="11"/>
  <c r="E137" i="11"/>
  <c r="D137" i="11"/>
  <c r="J137" i="11" s="1"/>
  <c r="G136" i="11"/>
  <c r="E136" i="11"/>
  <c r="D136" i="11"/>
  <c r="J136" i="11" s="1"/>
  <c r="G135" i="11"/>
  <c r="E135" i="11"/>
  <c r="D135" i="11"/>
  <c r="J135" i="11" s="1"/>
  <c r="G134" i="11"/>
  <c r="E134" i="11"/>
  <c r="D134" i="11"/>
  <c r="J134" i="11" s="1"/>
  <c r="F131" i="11"/>
  <c r="F130" i="11"/>
  <c r="F129" i="11"/>
  <c r="F128" i="11"/>
  <c r="F125" i="11"/>
  <c r="F124" i="11"/>
  <c r="F123" i="11"/>
  <c r="F122" i="11"/>
  <c r="F118" i="11"/>
  <c r="F117" i="11"/>
  <c r="F116" i="11"/>
  <c r="F115" i="11"/>
  <c r="F114" i="11"/>
  <c r="F113" i="11"/>
  <c r="F112" i="11"/>
  <c r="F111" i="11"/>
  <c r="F110" i="11"/>
  <c r="G131" i="11"/>
  <c r="E131" i="11"/>
  <c r="D131" i="11"/>
  <c r="G130" i="11"/>
  <c r="E130" i="11"/>
  <c r="D130" i="11"/>
  <c r="J130" i="11" s="1"/>
  <c r="G129" i="11"/>
  <c r="E129" i="11"/>
  <c r="D129" i="11"/>
  <c r="J129" i="11" s="1"/>
  <c r="G128" i="11"/>
  <c r="E128" i="11"/>
  <c r="D128" i="11"/>
  <c r="J128" i="11" s="1"/>
  <c r="G127" i="11"/>
  <c r="E127" i="11"/>
  <c r="D127" i="11"/>
  <c r="J127" i="11" s="1"/>
  <c r="G126" i="11"/>
  <c r="E126" i="11"/>
  <c r="D126" i="11"/>
  <c r="J126" i="11" s="1"/>
  <c r="G125" i="11"/>
  <c r="E125" i="11"/>
  <c r="D125" i="11"/>
  <c r="G124" i="11"/>
  <c r="E124" i="11"/>
  <c r="D124" i="11"/>
  <c r="J124" i="11" s="1"/>
  <c r="G123" i="11"/>
  <c r="E123" i="11"/>
  <c r="D123" i="11"/>
  <c r="J123" i="11" s="1"/>
  <c r="G122" i="11"/>
  <c r="E122" i="11"/>
  <c r="D122" i="11"/>
  <c r="J122" i="11" s="1"/>
  <c r="G121" i="11"/>
  <c r="E121" i="11"/>
  <c r="D121" i="11"/>
  <c r="J121" i="11" s="1"/>
  <c r="G120" i="11"/>
  <c r="E120" i="11"/>
  <c r="D120" i="11"/>
  <c r="J120" i="11" s="1"/>
  <c r="G119" i="11"/>
  <c r="E119" i="11"/>
  <c r="D119" i="11"/>
  <c r="J119" i="11" s="1"/>
  <c r="G118" i="11"/>
  <c r="E118" i="11"/>
  <c r="D118" i="11"/>
  <c r="G117" i="11"/>
  <c r="E117" i="11"/>
  <c r="D117" i="11"/>
  <c r="J117" i="11" s="1"/>
  <c r="G116" i="11"/>
  <c r="E116" i="11"/>
  <c r="D116" i="11"/>
  <c r="J116" i="11" s="1"/>
  <c r="G115" i="11"/>
  <c r="E115" i="11"/>
  <c r="D115" i="11"/>
  <c r="J115" i="11" s="1"/>
  <c r="G114" i="11"/>
  <c r="E114" i="11"/>
  <c r="D114" i="11"/>
  <c r="J114" i="11" s="1"/>
  <c r="G113" i="11"/>
  <c r="E113" i="11"/>
  <c r="D113" i="11"/>
  <c r="J113" i="11" s="1"/>
  <c r="G112" i="11"/>
  <c r="E112" i="11"/>
  <c r="D112" i="11"/>
  <c r="J112" i="11" s="1"/>
  <c r="G111" i="11"/>
  <c r="E111" i="11"/>
  <c r="D111" i="11"/>
  <c r="J111" i="11" s="1"/>
  <c r="G110" i="11"/>
  <c r="E110" i="11"/>
  <c r="D110" i="11"/>
  <c r="J110" i="11" s="1"/>
  <c r="G109" i="11"/>
  <c r="E109" i="11"/>
  <c r="D109" i="11"/>
  <c r="J109" i="11" s="1"/>
  <c r="F107" i="11"/>
  <c r="F106" i="11"/>
  <c r="F105" i="11"/>
  <c r="F104" i="11"/>
  <c r="F101" i="11"/>
  <c r="F100" i="11"/>
  <c r="F99" i="11"/>
  <c r="F98" i="11"/>
  <c r="G107" i="11"/>
  <c r="E107" i="11"/>
  <c r="D107" i="11"/>
  <c r="G106" i="11"/>
  <c r="E106" i="11"/>
  <c r="D106" i="11"/>
  <c r="J106" i="11" s="1"/>
  <c r="G105" i="11"/>
  <c r="E105" i="11"/>
  <c r="D105" i="11"/>
  <c r="J105" i="11" s="1"/>
  <c r="G104" i="11"/>
  <c r="E104" i="11"/>
  <c r="D104" i="11"/>
  <c r="J104" i="11" s="1"/>
  <c r="G103" i="11"/>
  <c r="E103" i="11"/>
  <c r="D103" i="11"/>
  <c r="J103" i="11" s="1"/>
  <c r="G102" i="11"/>
  <c r="E102" i="11"/>
  <c r="D102" i="11"/>
  <c r="J102" i="11" s="1"/>
  <c r="G101" i="11"/>
  <c r="E101" i="11"/>
  <c r="D101" i="11"/>
  <c r="G100" i="11"/>
  <c r="E100" i="11"/>
  <c r="D100" i="11"/>
  <c r="J100" i="11" s="1"/>
  <c r="G99" i="11"/>
  <c r="E99" i="11"/>
  <c r="D99" i="11"/>
  <c r="J99" i="11" s="1"/>
  <c r="G98" i="11"/>
  <c r="E98" i="11"/>
  <c r="D98" i="11"/>
  <c r="J98" i="11" s="1"/>
  <c r="G97" i="11"/>
  <c r="E97" i="11"/>
  <c r="D97" i="11"/>
  <c r="J97" i="11" s="1"/>
  <c r="F95" i="11"/>
  <c r="F94" i="11"/>
  <c r="F93" i="11"/>
  <c r="F92" i="11"/>
  <c r="F91" i="11"/>
  <c r="F90" i="11"/>
  <c r="F87" i="11"/>
  <c r="F86" i="11"/>
  <c r="F85" i="11"/>
  <c r="F84" i="11"/>
  <c r="F83" i="11"/>
  <c r="F82" i="11"/>
  <c r="G95" i="11"/>
  <c r="E95" i="11"/>
  <c r="D95" i="11"/>
  <c r="G94" i="11"/>
  <c r="E94" i="11"/>
  <c r="D94" i="11"/>
  <c r="J94" i="11" s="1"/>
  <c r="G93" i="11"/>
  <c r="E93" i="11"/>
  <c r="D93" i="11"/>
  <c r="J93" i="11" s="1"/>
  <c r="G92" i="11"/>
  <c r="E92" i="11"/>
  <c r="D92" i="11"/>
  <c r="J92" i="11" s="1"/>
  <c r="G91" i="11"/>
  <c r="E91" i="11"/>
  <c r="D91" i="11"/>
  <c r="J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G86" i="11"/>
  <c r="E86" i="11"/>
  <c r="D86" i="11"/>
  <c r="J86" i="11" s="1"/>
  <c r="G85" i="11"/>
  <c r="E85" i="11"/>
  <c r="D85" i="11"/>
  <c r="J85" i="11" s="1"/>
  <c r="G84" i="11"/>
  <c r="E84" i="11"/>
  <c r="D84" i="11"/>
  <c r="J84" i="11" s="1"/>
  <c r="G83" i="11"/>
  <c r="E83" i="11"/>
  <c r="D83" i="11"/>
  <c r="J83" i="11" s="1"/>
  <c r="G82" i="11"/>
  <c r="E82" i="11"/>
  <c r="D82" i="11"/>
  <c r="J82" i="11" s="1"/>
  <c r="G81" i="11"/>
  <c r="E81" i="11"/>
  <c r="D81" i="11"/>
  <c r="J81" i="11" s="1"/>
  <c r="F78" i="11"/>
  <c r="F77" i="11"/>
  <c r="F76" i="11"/>
  <c r="F75" i="11"/>
  <c r="F74" i="11"/>
  <c r="F71" i="11"/>
  <c r="F70" i="11"/>
  <c r="F69" i="11"/>
  <c r="F68" i="11"/>
  <c r="F67" i="11"/>
  <c r="F64" i="11"/>
  <c r="F63" i="11"/>
  <c r="F62" i="11"/>
  <c r="F61" i="11"/>
  <c r="F60" i="11"/>
  <c r="G78" i="11"/>
  <c r="E78" i="11"/>
  <c r="D78" i="11"/>
  <c r="G77" i="11"/>
  <c r="E77" i="11"/>
  <c r="D77" i="11"/>
  <c r="J77" i="11" s="1"/>
  <c r="G76" i="11"/>
  <c r="E76" i="11"/>
  <c r="D76" i="11"/>
  <c r="J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J73" i="11" s="1"/>
  <c r="G72" i="11"/>
  <c r="E72" i="11"/>
  <c r="D72" i="11"/>
  <c r="J72" i="11" s="1"/>
  <c r="G71" i="11"/>
  <c r="E71" i="11"/>
  <c r="D71" i="11"/>
  <c r="G70" i="11"/>
  <c r="E70" i="11"/>
  <c r="D70" i="11"/>
  <c r="J70" i="11" s="1"/>
  <c r="G69" i="11"/>
  <c r="E69" i="11"/>
  <c r="D69" i="11"/>
  <c r="J69" i="11" s="1"/>
  <c r="G68" i="11"/>
  <c r="E68" i="11"/>
  <c r="D68" i="11"/>
  <c r="J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G64" i="11"/>
  <c r="E64" i="11"/>
  <c r="D64" i="11"/>
  <c r="G63" i="11"/>
  <c r="E63" i="11"/>
  <c r="D63" i="11"/>
  <c r="J63" i="11" s="1"/>
  <c r="G62" i="11"/>
  <c r="E62" i="11"/>
  <c r="D62" i="11"/>
  <c r="J62" i="11" s="1"/>
  <c r="G61" i="11"/>
  <c r="E61" i="11"/>
  <c r="D61" i="11"/>
  <c r="J61" i="11" s="1"/>
  <c r="G60" i="11"/>
  <c r="E60" i="11"/>
  <c r="D60" i="11"/>
  <c r="J60" i="11" s="1"/>
  <c r="G59" i="11"/>
  <c r="E59" i="11"/>
  <c r="D59" i="11"/>
  <c r="J59" i="11" s="1"/>
  <c r="G58" i="11"/>
  <c r="E58" i="11"/>
  <c r="D58" i="11"/>
  <c r="J58" i="11" s="1"/>
  <c r="F56" i="11"/>
  <c r="F55" i="11"/>
  <c r="F54" i="11"/>
  <c r="F53" i="11"/>
  <c r="F52" i="11"/>
  <c r="F51" i="11"/>
  <c r="F50" i="11"/>
  <c r="F49" i="11"/>
  <c r="F48" i="11"/>
  <c r="F47" i="11"/>
  <c r="F44" i="11"/>
  <c r="F43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G56" i="11"/>
  <c r="E56" i="11"/>
  <c r="D56" i="11"/>
  <c r="G55" i="11"/>
  <c r="E55" i="11"/>
  <c r="D55" i="11"/>
  <c r="J55" i="11" s="1"/>
  <c r="G54" i="11"/>
  <c r="E54" i="11"/>
  <c r="D54" i="11"/>
  <c r="G53" i="11"/>
  <c r="E53" i="11"/>
  <c r="D53" i="11"/>
  <c r="H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I46" i="11" s="1"/>
  <c r="G45" i="11"/>
  <c r="E45" i="11"/>
  <c r="D45" i="11"/>
  <c r="H45" i="11" s="1"/>
  <c r="G44" i="11"/>
  <c r="E44" i="11"/>
  <c r="D44" i="11"/>
  <c r="G43" i="11"/>
  <c r="E43" i="11"/>
  <c r="D43" i="11"/>
  <c r="J43" i="11" s="1"/>
  <c r="G42" i="11"/>
  <c r="E42" i="11"/>
  <c r="D42" i="11"/>
  <c r="J42" i="11" s="1"/>
  <c r="G41" i="11"/>
  <c r="E41" i="11"/>
  <c r="D41" i="11"/>
  <c r="J41" i="11" s="1"/>
  <c r="G40" i="11"/>
  <c r="E40" i="11"/>
  <c r="D40" i="11"/>
  <c r="J40" i="11" s="1"/>
  <c r="G39" i="11"/>
  <c r="E39" i="11"/>
  <c r="D39" i="11"/>
  <c r="H39" i="11" s="1"/>
  <c r="G38" i="11"/>
  <c r="E38" i="11"/>
  <c r="D38" i="11"/>
  <c r="G37" i="11"/>
  <c r="E37" i="11"/>
  <c r="D37" i="11"/>
  <c r="H37" i="11" s="1"/>
  <c r="G36" i="11"/>
  <c r="E36" i="11"/>
  <c r="D36" i="11"/>
  <c r="J36" i="11" s="1"/>
  <c r="G35" i="11"/>
  <c r="E35" i="11"/>
  <c r="D35" i="11"/>
  <c r="I35" i="11" s="1"/>
  <c r="G34" i="11"/>
  <c r="E34" i="11"/>
  <c r="D34" i="11"/>
  <c r="J34" i="11" s="1"/>
  <c r="G33" i="11"/>
  <c r="E33" i="11"/>
  <c r="D33" i="11"/>
  <c r="I33" i="11" s="1"/>
  <c r="G32" i="11"/>
  <c r="E32" i="11"/>
  <c r="D32" i="11"/>
  <c r="H32" i="11" s="1"/>
  <c r="G31" i="11"/>
  <c r="E31" i="11"/>
  <c r="D31" i="11"/>
  <c r="J31" i="11" s="1"/>
  <c r="G30" i="11"/>
  <c r="E30" i="11"/>
  <c r="D30" i="11"/>
  <c r="J30" i="11" s="1"/>
  <c r="G29" i="11"/>
  <c r="E29" i="11"/>
  <c r="D29" i="11"/>
  <c r="J29" i="11" s="1"/>
  <c r="G28" i="11"/>
  <c r="E28" i="11"/>
  <c r="D28" i="11"/>
  <c r="J28" i="11" s="1"/>
  <c r="G27" i="11"/>
  <c r="E27" i="11"/>
  <c r="D27" i="11"/>
  <c r="G26" i="11"/>
  <c r="E26" i="11"/>
  <c r="D26" i="11"/>
  <c r="H26" i="11" s="1"/>
  <c r="G25" i="11"/>
  <c r="E25" i="11"/>
  <c r="D25" i="11"/>
  <c r="J25" i="11" s="1"/>
  <c r="G24" i="11"/>
  <c r="E24" i="11"/>
  <c r="D24" i="11"/>
  <c r="J24" i="11" s="1"/>
  <c r="G23" i="11"/>
  <c r="E23" i="11"/>
  <c r="D23" i="11"/>
  <c r="J23" i="11" s="1"/>
  <c r="G20" i="11"/>
  <c r="E20" i="11"/>
  <c r="D20" i="11"/>
  <c r="G19" i="11"/>
  <c r="E19" i="11"/>
  <c r="D19" i="11"/>
  <c r="G18" i="11"/>
  <c r="E18" i="11"/>
  <c r="D18" i="11"/>
  <c r="G17" i="11"/>
  <c r="E17" i="11"/>
  <c r="D17" i="11"/>
  <c r="H17" i="11" s="1"/>
  <c r="G16" i="11"/>
  <c r="E16" i="11"/>
  <c r="D16" i="11"/>
  <c r="J16" i="11" s="1"/>
  <c r="D20" i="59"/>
  <c r="Y39" i="74"/>
  <c r="Y40" i="74"/>
  <c r="J155" i="11" l="1"/>
  <c r="J151" i="11"/>
  <c r="H149" i="11"/>
  <c r="H150" i="11"/>
  <c r="H151" i="11"/>
  <c r="H153" i="11"/>
  <c r="H154" i="11"/>
  <c r="H155" i="11"/>
  <c r="I149" i="11"/>
  <c r="I150" i="11"/>
  <c r="I151" i="11"/>
  <c r="I153" i="11"/>
  <c r="I154" i="11"/>
  <c r="I155" i="11"/>
  <c r="J146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J125" i="11"/>
  <c r="J131" i="11"/>
  <c r="J11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J107" i="11"/>
  <c r="J101" i="11"/>
  <c r="I97" i="11"/>
  <c r="I98" i="11"/>
  <c r="I99" i="11"/>
  <c r="I100" i="11"/>
  <c r="I101" i="11"/>
  <c r="I102" i="11"/>
  <c r="I103" i="11"/>
  <c r="I104" i="11"/>
  <c r="I105" i="11"/>
  <c r="I106" i="11"/>
  <c r="I107" i="11"/>
  <c r="H97" i="11"/>
  <c r="H98" i="11"/>
  <c r="H99" i="11"/>
  <c r="H100" i="11"/>
  <c r="H101" i="11"/>
  <c r="H102" i="11"/>
  <c r="H103" i="11"/>
  <c r="H104" i="11"/>
  <c r="H105" i="11"/>
  <c r="H106" i="11"/>
  <c r="H107" i="11"/>
  <c r="J87" i="11"/>
  <c r="J95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J71" i="11"/>
  <c r="J64" i="11"/>
  <c r="J78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J56" i="11"/>
  <c r="I31" i="11"/>
  <c r="I27" i="11"/>
  <c r="J26" i="11"/>
  <c r="I53" i="11"/>
  <c r="J32" i="11"/>
  <c r="H31" i="11"/>
  <c r="H33" i="11"/>
  <c r="J33" i="11"/>
  <c r="J44" i="11"/>
  <c r="I25" i="11"/>
  <c r="H25" i="11"/>
  <c r="I38" i="11"/>
  <c r="H24" i="11"/>
  <c r="I50" i="11"/>
  <c r="I54" i="11"/>
  <c r="I45" i="11"/>
  <c r="I32" i="11"/>
  <c r="I39" i="11"/>
  <c r="J50" i="11"/>
  <c r="H52" i="11"/>
  <c r="J54" i="11"/>
  <c r="I24" i="11"/>
  <c r="J27" i="11"/>
  <c r="I26" i="11"/>
  <c r="J39" i="11"/>
  <c r="H48" i="11"/>
  <c r="I51" i="11"/>
  <c r="I37" i="11"/>
  <c r="I40" i="11"/>
  <c r="H44" i="11"/>
  <c r="J46" i="11"/>
  <c r="H35" i="11"/>
  <c r="I36" i="11"/>
  <c r="J37" i="11"/>
  <c r="H43" i="11"/>
  <c r="I44" i="11"/>
  <c r="J45" i="11"/>
  <c r="H51" i="11"/>
  <c r="I52" i="11"/>
  <c r="J53" i="11"/>
  <c r="I34" i="11"/>
  <c r="J35" i="11"/>
  <c r="H30" i="11"/>
  <c r="H29" i="11"/>
  <c r="I30" i="11"/>
  <c r="H28" i="11"/>
  <c r="I29" i="11"/>
  <c r="H36" i="11"/>
  <c r="J38" i="11"/>
  <c r="H27" i="11"/>
  <c r="I28" i="11"/>
  <c r="H34" i="11"/>
  <c r="H42" i="11"/>
  <c r="I43" i="11"/>
  <c r="H50" i="11"/>
  <c r="H41" i="11"/>
  <c r="I42" i="11"/>
  <c r="H49" i="11"/>
  <c r="H40" i="11"/>
  <c r="I41" i="11"/>
  <c r="I49" i="11"/>
  <c r="H56" i="11"/>
  <c r="H47" i="11"/>
  <c r="I48" i="11"/>
  <c r="H55" i="11"/>
  <c r="I56" i="11"/>
  <c r="H38" i="11"/>
  <c r="H46" i="11"/>
  <c r="I47" i="11"/>
  <c r="H54" i="11"/>
  <c r="I55" i="11"/>
  <c r="H23" i="11"/>
  <c r="I23" i="11"/>
  <c r="J19" i="11"/>
  <c r="I20" i="11"/>
  <c r="J17" i="11"/>
  <c r="I18" i="11"/>
  <c r="H18" i="11"/>
  <c r="I19" i="11"/>
  <c r="J20" i="11"/>
  <c r="H16" i="11"/>
  <c r="I17" i="11"/>
  <c r="J18" i="11"/>
  <c r="I16" i="11"/>
  <c r="H20" i="11"/>
  <c r="H19" i="11"/>
  <c r="K155" i="11" l="1"/>
  <c r="K126" i="11"/>
  <c r="K154" i="11"/>
  <c r="K153" i="11"/>
  <c r="K151" i="11"/>
  <c r="K150" i="11"/>
  <c r="K149" i="11"/>
  <c r="K118" i="11"/>
  <c r="K140" i="11"/>
  <c r="K137" i="11"/>
  <c r="K145" i="11"/>
  <c r="K146" i="11"/>
  <c r="K138" i="11"/>
  <c r="K139" i="11"/>
  <c r="K141" i="11"/>
  <c r="K144" i="11"/>
  <c r="K136" i="11"/>
  <c r="K143" i="11"/>
  <c r="K135" i="11"/>
  <c r="K128" i="11"/>
  <c r="K120" i="11"/>
  <c r="K112" i="11"/>
  <c r="K142" i="11"/>
  <c r="K134" i="11"/>
  <c r="K105" i="11"/>
  <c r="K97" i="11"/>
  <c r="K110" i="11"/>
  <c r="K91" i="11"/>
  <c r="K127" i="11"/>
  <c r="K119" i="11"/>
  <c r="K111" i="11"/>
  <c r="K124" i="11"/>
  <c r="K116" i="11"/>
  <c r="K130" i="11"/>
  <c r="K122" i="11"/>
  <c r="K114" i="11"/>
  <c r="K99" i="11"/>
  <c r="K106" i="11"/>
  <c r="K98" i="11"/>
  <c r="K129" i="11"/>
  <c r="K121" i="11"/>
  <c r="K113" i="11"/>
  <c r="K125" i="11"/>
  <c r="K117" i="11"/>
  <c r="K109" i="11"/>
  <c r="K131" i="11"/>
  <c r="K123" i="11"/>
  <c r="K115" i="11"/>
  <c r="K100" i="11"/>
  <c r="K83" i="11"/>
  <c r="K101" i="11"/>
  <c r="K107" i="11"/>
  <c r="K93" i="11"/>
  <c r="K85" i="11"/>
  <c r="K86" i="11"/>
  <c r="K104" i="11"/>
  <c r="K103" i="11"/>
  <c r="K102" i="11"/>
  <c r="K90" i="11"/>
  <c r="K94" i="11"/>
  <c r="K92" i="11"/>
  <c r="K84" i="11"/>
  <c r="K82" i="11"/>
  <c r="K89" i="11"/>
  <c r="K81" i="11"/>
  <c r="K88" i="11"/>
  <c r="K95" i="11"/>
  <c r="K87" i="11"/>
  <c r="K77" i="11"/>
  <c r="K69" i="11"/>
  <c r="K61" i="11"/>
  <c r="K76" i="11"/>
  <c r="K68" i="11"/>
  <c r="K60" i="11"/>
  <c r="K78" i="11"/>
  <c r="K70" i="11"/>
  <c r="K62" i="11"/>
  <c r="K63" i="11"/>
  <c r="K71" i="11"/>
  <c r="K72" i="11"/>
  <c r="K64" i="11"/>
  <c r="K52" i="11"/>
  <c r="K75" i="11"/>
  <c r="K67" i="11"/>
  <c r="K59" i="11"/>
  <c r="K31" i="11"/>
  <c r="K74" i="11"/>
  <c r="K66" i="11"/>
  <c r="K58" i="11"/>
  <c r="K73" i="11"/>
  <c r="K65" i="11"/>
  <c r="K32" i="11"/>
  <c r="K53" i="11"/>
  <c r="K26" i="11"/>
  <c r="K33" i="11"/>
  <c r="K55" i="11"/>
  <c r="K37" i="11"/>
  <c r="K39" i="11"/>
  <c r="K25" i="11"/>
  <c r="K51" i="11"/>
  <c r="K48" i="11"/>
  <c r="K42" i="11"/>
  <c r="K45" i="11"/>
  <c r="K46" i="11"/>
  <c r="K34" i="11"/>
  <c r="K29" i="11"/>
  <c r="K27" i="11"/>
  <c r="K44" i="11"/>
  <c r="K38" i="11"/>
  <c r="K40" i="11"/>
  <c r="K30" i="11"/>
  <c r="K36" i="11"/>
  <c r="K24" i="11"/>
  <c r="K50" i="11"/>
  <c r="K23" i="11"/>
  <c r="K54" i="11"/>
  <c r="K56" i="11"/>
  <c r="K28" i="11"/>
  <c r="K49" i="11"/>
  <c r="K43" i="11"/>
  <c r="K41" i="11"/>
  <c r="K35" i="11"/>
  <c r="K47" i="11"/>
  <c r="K19" i="11"/>
  <c r="K17" i="11"/>
  <c r="K20" i="11"/>
  <c r="K16" i="11"/>
  <c r="K18" i="1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172" i="11" l="1"/>
  <c r="J172" i="11" s="1"/>
  <c r="E172" i="11"/>
  <c r="G172" i="11"/>
  <c r="D173" i="11"/>
  <c r="J173" i="11" s="1"/>
  <c r="E173" i="11"/>
  <c r="G173" i="11"/>
  <c r="I172" i="11" l="1"/>
  <c r="H172" i="11"/>
  <c r="H173" i="11"/>
  <c r="I173" i="11"/>
  <c r="D14" i="11"/>
  <c r="J14" i="11" s="1"/>
  <c r="E14" i="11"/>
  <c r="G14" i="11"/>
  <c r="K19" i="60"/>
  <c r="D19" i="60"/>
  <c r="K173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74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74" i="11"/>
  <c r="D175" i="11"/>
  <c r="E175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669" i="10"/>
  <c r="N920" i="10"/>
  <c r="N966" i="10"/>
  <c r="N936" i="10"/>
  <c r="N806" i="10"/>
  <c r="N672" i="10"/>
  <c r="N653" i="10"/>
  <c r="N1001" i="10"/>
  <c r="N821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75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74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82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28" i="10"/>
  <c r="N912" i="10"/>
  <c r="N880" i="10"/>
  <c r="N844" i="10"/>
  <c r="N840" i="10"/>
  <c r="N829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121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N323" i="10" s="1"/>
  <c r="M105" i="10"/>
  <c r="N105" i="10" s="1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222" i="10" l="1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75" i="11"/>
  <c r="J175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175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75" i="11"/>
  <c r="E227" i="29" l="1"/>
  <c r="F253" i="29"/>
  <c r="H177" i="11"/>
  <c r="H178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7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40" i="41" l="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77" i="11" l="1"/>
  <c r="I178" i="11" s="1"/>
  <c r="I179" i="11" s="1"/>
  <c r="J174" i="11"/>
  <c r="K174" i="11" l="1"/>
  <c r="K177" i="11" s="1"/>
  <c r="J177" i="11"/>
  <c r="K178" i="11" l="1"/>
  <c r="K179" i="11" s="1"/>
  <c r="D10" i="59" s="1"/>
  <c r="J178" i="11"/>
  <c r="J179" i="11" s="1"/>
  <c r="B180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<sst xmlns="http://schemas.openxmlformats.org/spreadsheetml/2006/main" count="4921" uniqueCount="1669">
  <si>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</si>
  <si>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</si>
  <si>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</si>
  <si>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</si>
  <si>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</si>
  <si>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</si>
  <si>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</si>
  <si>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</si>
  <si>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</si>
  <si>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</si>
  <si>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</si>
  <si>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</si>
  <si>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</si>
  <si>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</si>
  <si>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</si>
  <si>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</si>
  <si>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</si>
  <si>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</si>
  <si>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</si>
  <si>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</si>
  <si>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</si>
  <si>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</si>
  <si>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</si>
  <si>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</si>
  <si>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</si>
  <si>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</si>
  <si>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</si>
  <si>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</si>
  <si>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</si>
  <si>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</si>
  <si>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</si>
  <si>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</si>
  <si>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</si>
  <si>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</si>
  <si>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</si>
  <si>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</si>
  <si>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</si>
  <si>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</si>
  <si>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</si>
  <si>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</si>
  <si>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</si>
  <si>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</si>
  <si>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</si>
  <si>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</si>
  <si>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</si>
  <si>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</si>
  <si>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</si>
  <si>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</si>
  <si>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</si>
  <si>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</si>
  <si>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</si>
  <si>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</si>
  <si>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</si>
  <si>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</si>
  <si>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</si>
  <si>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</si>
  <si>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</si>
  <si>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</si>
  <si>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</si>
  <si>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</si>
  <si>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</si>
  <si>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</si>
  <si>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</si>
  <si>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</si>
  <si>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</si>
  <si>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</si>
  <si>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</si>
  <si>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</si>
  <si>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</si>
  <si>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</si>
  <si>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</si>
  <si>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</si>
  <si>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</si>
  <si>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</si>
  <si>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</si>
  <si>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</si>
  <si>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</si>
  <si>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</si>
  <si>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</si>
  <si>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</si>
  <si>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</si>
  <si>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</si>
  <si>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</si>
  <si>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</si>
  <si>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</si>
  <si>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</si>
  <si>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</si>
  <si>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</si>
  <si>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</si>
  <si>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</si>
  <si>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</si>
  <si>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</si>
  <si>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</si>
  <si>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</si>
  <si>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</si>
  <si>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</si>
  <si>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</si>
  <si>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</si>
  <si>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</si>
  <si>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</si>
  <si>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</si>
  <si>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</si>
  <si>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</si>
  <si>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</si>
  <si>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</si>
  <si>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</si>
  <si>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</si>
  <si>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</si>
  <si>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</si>
  <si>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</si>
  <si>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</si>
  <si>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</si>
  <si>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</si>
  <si>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</si>
  <si>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</si>
  <si>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</si>
  <si>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</si>
  <si>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</si>
  <si>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</si>
  <si>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</si>
  <si>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</si>
  <si>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</si>
  <si>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</si>
  <si>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</si>
  <si>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</si>
  <si>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</si>
  <si>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</si>
  <si>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</si>
  <si>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</si>
  <si>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</si>
  <si>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</si>
  <si>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</si>
  <si>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</si>
  <si>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</si>
  <si>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</si>
  <si>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</si>
  <si>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</si>
  <si>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</si>
  <si>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</si>
  <si>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</si>
  <si>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</si>
  <si>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</si>
  <si>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</si>
  <si>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</si>
  <si>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</si>
  <si>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</si>
  <si>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</si>
  <si>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</si>
  <si>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</si>
  <si>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</si>
  <si>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</si>
  <si>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</si>
  <si>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</si>
  <si>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</si>
  <si>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</si>
  <si>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</si>
  <si>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</si>
  <si>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</si>
  <si>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</si>
  <si>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</si>
  <si>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</si>
  <si>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</si>
  <si>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</si>
  <si>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</si>
  <si>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</si>
  <si>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</si>
  <si>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</si>
  <si>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</si>
  <si>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</si>
  <si>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</si>
  <si>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</si>
  <si>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</si>
  <si>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</si>
  <si>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</si>
  <si>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</si>
  <si>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</si>
  <si>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</si>
  <si>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</si>
  <si>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</si>
  <si>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</si>
  <si>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</si>
  <si>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</si>
  <si>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</si>
  <si>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</si>
  <si>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</si>
  <si>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</si>
  <si>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</si>
  <si>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</si>
  <si>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</si>
  <si>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</si>
  <si>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</si>
  <si>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</si>
  <si>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</si>
  <si>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</si>
  <si>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</si>
  <si>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</si>
  <si>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</si>
  <si>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</si>
  <si>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</si>
  <si>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</si>
  <si>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</si>
  <si>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</si>
  <si>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</si>
  <si>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</si>
  <si>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</si>
  <si>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</si>
  <si>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</si>
  <si>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</si>
  <si>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</si>
  <si>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</si>
  <si>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</si>
  <si>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</si>
  <si>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</si>
  <si>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</si>
  <si>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</si>
  <si>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</si>
  <si>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</si>
  <si>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</si>
  <si>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</si>
  <si>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</si>
  <si>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</si>
  <si>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</si>
  <si>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</si>
  <si>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</si>
  <si>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</si>
  <si>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</si>
  <si>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</si>
  <si>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</si>
  <si>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</si>
  <si>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</si>
  <si>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</si>
  <si>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</si>
  <si>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</si>
  <si>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</si>
  <si>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</si>
  <si>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</si>
  <si>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</si>
  <si>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</si>
  <si>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</si>
  <si>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</si>
  <si>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</si>
  <si>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</si>
  <si>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</si>
  <si>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</si>
  <si>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</si>
  <si>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</si>
  <si>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</si>
  <si>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</si>
  <si>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</si>
  <si>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</si>
  <si>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</si>
  <si>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</si>
  <si>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</si>
  <si>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</si>
  <si>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</si>
  <si>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</si>
  <si>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</si>
  <si>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</si>
  <si>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</si>
  <si>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</si>
  <si>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</si>
  <si>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</si>
  <si>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</si>
  <si>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</si>
  <si>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</si>
  <si>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</si>
  <si>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</si>
  <si>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</si>
  <si>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</si>
  <si>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</si>
  <si>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</si>
  <si>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</si>
  <si>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</si>
  <si>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</si>
  <si>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</si>
  <si>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</si>
  <si>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</si>
  <si>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</si>
  <si>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</si>
  <si>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</si>
  <si>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</si>
  <si>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</si>
  <si>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</si>
  <si>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</si>
  <si>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</si>
  <si>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</si>
  <si>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</si>
  <si>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</si>
  <si>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</si>
  <si>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</si>
  <si>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</si>
  <si>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</si>
  <si>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</si>
  <si>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</si>
  <si>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</si>
  <si>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</si>
  <si>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</si>
  <si>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</si>
  <si>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</si>
  <si>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</si>
  <si>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</si>
  <si>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</si>
  <si>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</si>
  <si>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</si>
  <si>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</si>
  <si>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</si>
  <si>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</si>
  <si>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</si>
  <si>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</si>
  <si>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</si>
  <si>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</si>
  <si>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</si>
  <si>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</si>
  <si>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</si>
  <si>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</si>
  <si>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</si>
  <si>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</si>
  <si>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</si>
  <si>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</si>
  <si>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</si>
  <si>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</si>
  <si>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</si>
  <si>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</si>
  <si>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</si>
  <si>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</si>
  <si>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</si>
  <si>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</si>
  <si>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</si>
  <si>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</si>
  <si>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</si>
  <si>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</si>
  <si>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</si>
  <si>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</si>
  <si>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</si>
  <si>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</si>
  <si>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</si>
  <si>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</si>
  <si>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</si>
  <si>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</si>
  <si>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</si>
  <si>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</si>
  <si>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</si>
  <si>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</si>
  <si>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</si>
  <si>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</si>
  <si>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</si>
  <si>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</si>
  <si>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</si>
  <si>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</si>
  <si>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</si>
  <si>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</si>
  <si>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</si>
  <si>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</si>
  <si>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</si>
  <si>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</si>
  <si>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</si>
  <si>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</si>
  <si>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</si>
  <si>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</si>
  <si>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</si>
  <si>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</si>
  <si>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</si>
  <si>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</si>
  <si>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</si>
  <si>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</si>
  <si>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</si>
  <si>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</si>
  <si>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</si>
  <si>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</si>
  <si>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</si>
  <si>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</si>
  <si>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</si>
  <si>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</si>
  <si>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</si>
  <si>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</si>
  <si>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</si>
  <si>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</si>
  <si>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</si>
  <si>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</si>
  <si>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</si>
  <si>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</si>
  <si>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</si>
  <si>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</si>
  <si>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</si>
  <si>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</si>
  <si>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</si>
  <si>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</si>
  <si>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</si>
  <si>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</si>
  <si>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</si>
  <si>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</si>
  <si>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</si>
  <si>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</si>
  <si>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</si>
  <si>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</si>
  <si>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</si>
  <si>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</si>
  <si>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</si>
  <si>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</si>
  <si>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</si>
  <si>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</si>
  <si>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</si>
  <si>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</si>
  <si>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</si>
  <si>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</si>
  <si>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</si>
  <si>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</si>
  <si>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</si>
  <si>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</si>
  <si>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</si>
  <si>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</si>
  <si>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</si>
  <si>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</si>
  <si>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</si>
  <si>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</si>
  <si>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</si>
  <si>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</si>
  <si>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</si>
  <si>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</si>
  <si>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</si>
  <si>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</si>
  <si>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</si>
  <si>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</si>
  <si>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</si>
  <si>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</si>
  <si>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</si>
  <si>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</si>
  <si>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</si>
  <si>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</si>
  <si>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</si>
  <si>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</si>
  <si>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</si>
  <si>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</si>
  <si>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</si>
  <si>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</si>
  <si>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</si>
  <si>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</si>
  <si>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</si>
  <si>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</si>
  <si>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</si>
  <si>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</si>
  <si>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</si>
  <si>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</si>
  <si>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</si>
  <si>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</si>
  <si>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</si>
  <si>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</si>
  <si>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</si>
  <si>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</si>
  <si>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</si>
  <si>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</si>
  <si>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</si>
  <si>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</si>
  <si>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</si>
  <si>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</si>
  <si>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</si>
  <si>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</si>
  <si>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</si>
  <si>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</si>
  <si>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</si>
  <si>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</si>
  <si>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</si>
  <si>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</si>
  <si>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</si>
  <si>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</si>
  <si>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</si>
  <si>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</si>
  <si>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</si>
  <si>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</si>
  <si>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</si>
  <si>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</si>
  <si>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</si>
  <si>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</si>
  <si>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</si>
  <si>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</si>
  <si>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</si>
  <si>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</si>
  <si>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</si>
  <si>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</si>
  <si>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</si>
  <si>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</si>
  <si>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</si>
  <si>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</si>
  <si>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</si>
  <si>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</si>
  <si>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</si>
  <si>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</si>
  <si>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</si>
  <si>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</si>
  <si>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</si>
  <si>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</si>
  <si>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</si>
  <si>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</si>
  <si>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</si>
  <si>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</si>
  <si>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</si>
  <si>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</si>
  <si>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</si>
  <si>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</si>
  <si>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</si>
  <si>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</si>
  <si>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</si>
  <si>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</si>
  <si>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</si>
  <si>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</si>
  <si>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</si>
  <si>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</si>
  <si>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</si>
  <si>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</si>
  <si>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</si>
  <si>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</si>
  <si>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</si>
  <si>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</si>
  <si>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</si>
  <si>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</si>
  <si>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</si>
  <si>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</si>
  <si>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</si>
  <si>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</si>
  <si>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</si>
  <si>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</si>
  <si>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</si>
  <si>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</si>
  <si>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</si>
  <si>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</si>
  <si>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</si>
  <si>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</si>
  <si>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</si>
  <si>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</si>
  <si>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</si>
  <si>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</si>
  <si>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</si>
  <si>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</si>
  <si>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</si>
  <si>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</si>
  <si>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</si>
  <si>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</si>
  <si>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</si>
  <si>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</si>
  <si>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</si>
  <si>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</si>
  <si>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</si>
  <si>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</si>
  <si>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</si>
  <si>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</si>
  <si>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</si>
  <si>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</si>
  <si>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</si>
  <si>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</si>
  <si>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</si>
  <si>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</si>
  <si>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</si>
  <si>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</si>
  <si>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</si>
  <si>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</si>
  <si>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</si>
  <si>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</si>
  <si>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</si>
  <si>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</si>
  <si>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</si>
  <si>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</si>
  <si>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</si>
  <si>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</si>
  <si>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</si>
  <si>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</si>
  <si>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</si>
  <si>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</si>
  <si>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</si>
  <si>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</si>
  <si>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</si>
  <si>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</si>
  <si>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</si>
  <si>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</si>
  <si>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</si>
  <si>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</si>
  <si>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</si>
  <si>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</si>
  <si>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</si>
  <si>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</si>
  <si>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</si>
  <si>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</si>
  <si>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</si>
  <si>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</si>
  <si>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</si>
  <si>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</si>
  <si>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</si>
  <si>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</si>
  <si>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</si>
  <si>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</si>
  <si>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</si>
  <si>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</si>
  <si>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</si>
  <si>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</si>
  <si>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</si>
  <si>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</si>
  <si>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</si>
  <si>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</si>
  <si>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</si>
  <si>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</si>
  <si>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</si>
  <si>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</si>
  <si>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</si>
  <si>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</si>
  <si>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</si>
  <si>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</si>
  <si>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</si>
  <si>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</si>
  <si>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</si>
  <si>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</si>
  <si>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</si>
  <si>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</si>
  <si>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</si>
  <si>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</si>
  <si>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</si>
  <si>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</si>
  <si>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</si>
  <si>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</si>
  <si>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</si>
  <si>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</si>
  <si>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</si>
  <si>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</si>
  <si>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</si>
  <si>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</si>
  <si>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</si>
  <si>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</si>
  <si>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</si>
  <si>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</si>
  <si>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</si>
  <si>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</si>
  <si>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</si>
  <si>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</si>
  <si>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</si>
  <si>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</si>
  <si>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</si>
  <si>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</si>
  <si>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</si>
  <si>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</si>
  <si>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</si>
  <si>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</si>
  <si>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</si>
  <si>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</si>
  <si>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</si>
  <si>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</si>
  <si>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</si>
  <si>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</si>
  <si>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</si>
  <si>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</si>
  <si>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</si>
  <si>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</si>
  <si>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</si>
  <si>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</si>
  <si>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</si>
  <si>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</si>
  <si>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</si>
  <si>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</si>
  <si>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</si>
  <si>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</si>
  <si>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</si>
  <si>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</si>
  <si>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</si>
  <si>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</si>
  <si>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</si>
  <si>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</si>
  <si>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</si>
  <si>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</si>
  <si>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</si>
  <si>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</si>
  <si>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</si>
  <si>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</si>
  <si>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</si>
  <si>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</si>
  <si>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</si>
  <si>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</si>
  <si>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</si>
  <si>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</si>
  <si>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</si>
  <si>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</si>
  <si>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</si>
  <si>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</si>
  <si>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</si>
  <si>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</si>
  <si>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</si>
  <si>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</si>
  <si>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</si>
  <si>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</si>
  <si>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</si>
  <si>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</si>
  <si>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</si>
  <si>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</si>
  <si>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</si>
  <si>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</si>
  <si>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</si>
  <si>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</si>
  <si>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</si>
  <si>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</si>
  <si>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</si>
  <si>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</si>
  <si>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</si>
  <si>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</si>
  <si>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</si>
  <si>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</si>
  <si>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</si>
  <si>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</si>
  <si>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</si>
  <si>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</si>
  <si>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</si>
  <si>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</si>
  <si>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</si>
  <si>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</si>
  <si>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</si>
  <si>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</si>
  <si>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</si>
  <si>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</si>
  <si>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</si>
  <si>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</si>
  <si>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</si>
  <si>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</si>
  <si>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</si>
  <si>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</si>
  <si>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</si>
  <si>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</si>
  <si>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</si>
  <si>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</si>
  <si>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</si>
  <si>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</si>
  <si>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</si>
  <si>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</si>
  <si>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</si>
  <si>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</si>
  <si>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</si>
  <si>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</si>
  <si>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</si>
  <si>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</si>
  <si>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</si>
  <si>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</si>
  <si>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</si>
  <si>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</si>
  <si>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</si>
  <si>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</si>
  <si>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</si>
  <si>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</si>
  <si>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</si>
  <si>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</si>
  <si>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</si>
  <si>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</si>
  <si>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</si>
  <si>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</si>
  <si>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</si>
  <si>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</si>
  <si>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</si>
  <si>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</si>
  <si>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</si>
  <si>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</si>
  <si>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</si>
  <si>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</si>
  <si>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</si>
  <si>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</si>
  <si>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</si>
  <si>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</si>
  <si>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</si>
  <si>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</si>
  <si>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</si>
  <si>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</si>
  <si>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</si>
  <si>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</si>
  <si>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</si>
  <si>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</si>
  <si>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</si>
  <si>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</si>
  <si>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</si>
  <si>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</si>
  <si>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</si>
  <si>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</si>
  <si>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</si>
  <si>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</si>
  <si>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</si>
  <si>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</si>
  <si>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</si>
  <si>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</si>
  <si>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</si>
  <si>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</si>
  <si>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</si>
  <si>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</si>
  <si>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</si>
  <si>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</si>
  <si>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</si>
  <si>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</si>
  <si>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</si>
  <si>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</si>
  <si>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</si>
  <si>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</si>
  <si>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</si>
  <si>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</si>
  <si>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</si>
  <si>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</si>
  <si>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</si>
  <si>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</si>
  <si>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</si>
  <si>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</si>
  <si>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</si>
  <si>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</si>
  <si>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</si>
  <si>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</si>
  <si>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</si>
  <si>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</si>
  <si>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</si>
  <si>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</si>
  <si>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</si>
  <si>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</si>
  <si>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</si>
  <si>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</si>
  <si>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</si>
  <si>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</si>
  <si>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</si>
  <si>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</si>
  <si>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</si>
  <si>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</si>
  <si>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</si>
  <si>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</si>
  <si>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</si>
  <si>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</si>
  <si>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</si>
  <si>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</si>
  <si>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</si>
  <si>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</si>
  <si>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</si>
  <si>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</si>
  <si>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</si>
  <si>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</si>
  <si>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</si>
  <si>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</si>
  <si>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</si>
  <si>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</si>
  <si>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</si>
  <si>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</si>
  <si>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</si>
  <si>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</si>
  <si>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</si>
  <si>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</si>
  <si>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</si>
  <si>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</si>
  <si>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</si>
  <si>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</si>
  <si>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</si>
  <si>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</si>
  <si>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</si>
  <si>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</si>
  <si>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</si>
  <si>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</si>
  <si>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</si>
  <si>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</si>
  <si>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</si>
  <si>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</si>
  <si>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</si>
  <si>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</si>
  <si>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</si>
  <si>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</si>
  <si>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</si>
  <si>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</si>
  <si>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</si>
  <si>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</si>
  <si>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</si>
  <si>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</si>
  <si>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</si>
  <si>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</si>
  <si>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</si>
  <si>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</si>
  <si>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</si>
  <si>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</si>
  <si>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</si>
  <si>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</si>
  <si>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</si>
  <si>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</si>
  <si>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</si>
  <si>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</si>
  <si>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</si>
  <si>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</si>
  <si>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</si>
  <si>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</si>
  <si>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</si>
  <si>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</si>
  <si>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</si>
  <si>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</si>
  <si>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</si>
  <si>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</si>
  <si>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</si>
  <si>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</si>
  <si>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</si>
  <si>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</si>
  <si>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</si>
  <si>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</si>
  <si>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</si>
  <si>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</si>
  <si>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</si>
  <si>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</si>
  <si>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</si>
  <si>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</si>
  <si>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</si>
  <si>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</si>
  <si>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</si>
  <si>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</si>
  <si>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</si>
  <si>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</si>
  <si>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</si>
  <si>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</si>
  <si>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</si>
  <si>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</si>
  <si>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</si>
  <si>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</si>
  <si>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</si>
  <si>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</si>
  <si>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</si>
  <si>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</si>
  <si>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</si>
  <si>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</si>
  <si>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</si>
  <si>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</si>
  <si>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</si>
  <si>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</si>
  <si>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</si>
  <si>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</si>
  <si>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</si>
  <si>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</si>
  <si>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</si>
  <si>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</si>
  <si>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</si>
  <si>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</si>
  <si>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</si>
  <si>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</si>
  <si>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</si>
  <si>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</si>
  <si>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</si>
  <si>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</si>
  <si>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</si>
  <si>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</si>
  <si>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</si>
  <si>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</si>
  <si>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</si>
  <si>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</si>
  <si>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</si>
  <si>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</si>
  <si>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</si>
  <si>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</si>
  <si>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</si>
  <si>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</si>
  <si>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</si>
  <si>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</si>
  <si>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</si>
  <si>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</si>
  <si>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</si>
  <si>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</si>
  <si>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</si>
  <si>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</si>
  <si>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</si>
  <si>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</si>
  <si>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</si>
  <si>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</si>
  <si>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</si>
  <si>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</si>
  <si>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</si>
  <si>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</si>
  <si>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</si>
  <si>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</si>
  <si>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</si>
  <si>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</si>
  <si>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</si>
  <si>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</si>
  <si>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</si>
  <si>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</si>
  <si>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</si>
  <si>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</si>
  <si>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</si>
  <si>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</si>
  <si>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</si>
  <si>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</si>
  <si>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</si>
  <si>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</si>
  <si>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</si>
  <si>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</si>
  <si>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</si>
  <si>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</si>
  <si>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</si>
  <si>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</si>
  <si>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</si>
  <si>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</si>
  <si>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</si>
  <si>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</si>
  <si>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</si>
  <si>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</si>
  <si>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</si>
  <si>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</si>
  <si>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</si>
  <si>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</si>
  <si>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</si>
  <si>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</si>
  <si>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</si>
  <si>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</si>
  <si>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</si>
  <si>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</si>
  <si>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</si>
  <si>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</si>
  <si>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</si>
  <si>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</si>
  <si>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</si>
  <si>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</si>
  <si>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</si>
  <si>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</si>
  <si>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</si>
  <si>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</si>
  <si>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</si>
  <si>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</si>
  <si>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</si>
  <si>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</si>
  <si>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</si>
  <si>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</si>
  <si>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</si>
  <si>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</si>
  <si>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</si>
  <si>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</si>
  <si>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</si>
  <si>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</si>
  <si>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</si>
  <si>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</si>
  <si>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</si>
  <si>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</si>
  <si>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</si>
  <si>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</si>
  <si>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</si>
  <si>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</si>
  <si>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</si>
  <si>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</si>
  <si>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</si>
  <si>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</si>
  <si>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</si>
  <si>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</si>
  <si>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</si>
  <si>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</si>
  <si>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</si>
  <si>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</si>
  <si>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</si>
  <si>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</si>
  <si>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</si>
  <si>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</si>
  <si>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</si>
  <si>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</si>
  <si>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</si>
  <si>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</si>
  <si>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</si>
  <si>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</si>
  <si>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</si>
  <si>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</si>
  <si>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</si>
  <si>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</si>
  <si>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</si>
  <si>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</si>
  <si>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</si>
  <si>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</si>
  <si>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</si>
  <si>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</si>
  <si>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</si>
  <si>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</si>
  <si>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</si>
  <si>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</si>
  <si>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</si>
  <si>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</si>
  <si>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</si>
  <si>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</si>
  <si>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</si>
  <si>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</si>
  <si>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</si>
  <si>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</si>
  <si>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</si>
  <si>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</si>
  <si>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</si>
  <si>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</si>
  <si>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</si>
  <si>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</si>
  <si>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</si>
  <si>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</si>
  <si>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</si>
  <si>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</si>
  <si>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</si>
  <si>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</si>
  <si>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</si>
  <si>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</si>
  <si>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</si>
  <si>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</si>
  <si>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</si>
  <si>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</si>
  <si>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</si>
  <si>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</si>
  <si>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</si>
  <si>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</si>
  <si>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</si>
  <si>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</si>
  <si>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</si>
  <si>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</si>
  <si>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</si>
  <si>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</si>
  <si>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</si>
  <si>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</si>
  <si>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</si>
  <si>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</si>
  <si>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</si>
  <si>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</si>
  <si>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</si>
  <si>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</si>
  <si>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</si>
  <si>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</si>
  <si>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</si>
  <si>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</si>
  <si>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</si>
  <si>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</si>
  <si>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</si>
  <si>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</si>
  <si>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</si>
  <si>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</si>
  <si>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</si>
  <si>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</si>
  <si>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</si>
  <si>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</si>
  <si>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</si>
  <si>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</si>
  <si>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</si>
  <si>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</si>
  <si>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</si>
  <si>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</si>
  <si>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</si>
  <si>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</si>
  <si>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</si>
  <si>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</si>
  <si>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</si>
  <si>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</si>
  <si>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</si>
  <si>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</si>
  <si>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</si>
  <si>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</si>
  <si>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</si>
  <si>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</si>
  <si>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</si>
  <si>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</si>
  <si>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</si>
  <si>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</si>
  <si>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</si>
  <si>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</si>
  <si>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</si>
  <si>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</si>
  <si>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</si>
  <si>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</si>
  <si>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</si>
  <si>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</si>
  <si>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</si>
  <si>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</si>
  <si>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</si>
  <si>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</si>
  <si>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</si>
  <si>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</si>
  <si>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</si>
  <si>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</si>
  <si>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</si>
  <si>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</si>
  <si>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</si>
  <si>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</si>
  <si>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</si>
  <si>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</si>
  <si>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</si>
  <si>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</si>
  <si>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</si>
  <si>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</si>
  <si>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</si>
  <si>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</si>
  <si>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</si>
  <si>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</si>
  <si>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</si>
  <si>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</si>
  <si>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</si>
  <si>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</si>
  <si>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</si>
  <si>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</si>
  <si>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</si>
  <si>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</si>
  <si>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</si>
  <si>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</si>
  <si>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</si>
  <si>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</si>
  <si>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</si>
  <si>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</si>
  <si>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</si>
  <si>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</si>
  <si>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</si>
  <si>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</si>
  <si>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</si>
  <si>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</si>
  <si>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</si>
  <si>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</si>
  <si>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</si>
  <si>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</si>
  <si>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</si>
  <si>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</si>
  <si>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</si>
  <si>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</si>
  <si>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</si>
  <si>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</si>
  <si>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</si>
  <si>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</si>
  <si>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</si>
  <si>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</si>
  <si>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</si>
  <si>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</si>
  <si>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</si>
  <si>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</si>
  <si>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</si>
  <si>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</si>
  <si>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</si>
  <si>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</si>
  <si>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</si>
  <si>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</si>
  <si>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</si>
  <si>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</si>
  <si>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</si>
  <si>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</si>
  <si>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</si>
  <si>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</si>
  <si>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</si>
  <si>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</si>
  <si>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</si>
  <si>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</si>
  <si>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</si>
  <si>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</si>
  <si>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</si>
  <si>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</si>
  <si>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</si>
  <si>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</si>
  <si>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</si>
  <si>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</si>
  <si>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</si>
  <si>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</si>
  <si>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</si>
  <si>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</si>
  <si>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</si>
  <si>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</si>
  <si>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</si>
  <si>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</si>
  <si>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</si>
  <si>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</si>
  <si>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</si>
  <si>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</si>
  <si>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</si>
  <si>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</si>
  <si>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</si>
  <si>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</si>
  <si>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</si>
  <si>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</si>
  <si>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</si>
  <si>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</si>
  <si>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</si>
  <si>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</si>
  <si>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</si>
  <si>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</si>
  <si>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</si>
  <si>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</si>
  <si>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</si>
  <si>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</si>
  <si>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</si>
  <si>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</si>
  <si>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</si>
  <si>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</si>
  <si>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</si>
  <si>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</si>
  <si>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</si>
  <si>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</si>
  <si>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</si>
  <si>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</si>
  <si>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</si>
  <si>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</si>
  <si>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</si>
  <si>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</si>
  <si>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</si>
  <si>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</si>
  <si>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</si>
  <si>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</si>
  <si>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</si>
  <si>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</si>
  <si>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</si>
  <si>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</si>
  <si>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</si>
  <si>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</si>
  <si>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</si>
  <si>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</si>
  <si>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</si>
  <si>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</si>
  <si>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</si>
  <si>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</si>
  <si>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</si>
  <si>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</si>
  <si>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</si>
  <si>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</si>
  <si>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</si>
  <si>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</si>
  <si>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</si>
  <si>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</si>
  <si>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</si>
  <si>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</si>
  <si>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</si>
  <si>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</si>
  <si>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</si>
  <si>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</si>
  <si>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</si>
  <si>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</si>
  <si>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</si>
  <si>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</si>
  <si>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</si>
  <si>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</si>
  <si>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</si>
  <si>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</si>
  <si>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</si>
  <si>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</si>
  <si>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</si>
  <si>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</si>
  <si>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</si>
  <si>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</si>
  <si>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</si>
  <si>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</si>
  <si>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</si>
  <si>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</si>
  <si>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</si>
  <si>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</si>
  <si>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</si>
  <si>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</si>
  <si>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</si>
  <si>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</si>
  <si>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</si>
  <si>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</si>
  <si>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</si>
  <si>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</si>
  <si>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</si>
  <si>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</si>
  <si>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</si>
  <si>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</si>
  <si>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</si>
  <si>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</si>
  <si>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</si>
  <si>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</si>
  <si>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</si>
  <si>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</si>
  <si>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</si>
  <si>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</si>
  <si>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</si>
  <si>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</si>
  <si>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</si>
  <si>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</si>
  <si>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</si>
  <si>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</si>
  <si>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</si>
  <si>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</si>
  <si>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</si>
  <si>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</si>
  <si>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</si>
  <si>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</si>
  <si>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</si>
  <si>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</si>
  <si>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</si>
  <si>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</si>
  <si>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</si>
  <si>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</si>
  <si>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</si>
  <si>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</si>
  <si>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</si>
  <si>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</si>
  <si>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</si>
  <si>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</si>
  <si>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</si>
  <si>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</si>
  <si>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</si>
  <si>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</si>
  <si>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</si>
  <si>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</si>
  <si>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</si>
  <si>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</si>
  <si>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</si>
  <si>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</si>
  <si>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</si>
  <si>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</si>
  <si>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</si>
  <si>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</si>
  <si>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</si>
  <si>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</si>
  <si>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</si>
  <si>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</si>
  <si>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</si>
  <si>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</si>
  <si>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</si>
  <si>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</si>
  <si>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</si>
  <si>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</si>
  <si>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</si>
  <si>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</si>
  <si>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</si>
  <si>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</si>
  <si>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</si>
  <si>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</si>
  <si>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</si>
  <si>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</si>
  <si>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</si>
  <si>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</si>
  <si>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</si>
  <si>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</si>
  <si>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</si>
  <si>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</si>
  <si>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</si>
  <si>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</si>
  <si>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</si>
  <si>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</si>
  <si>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</si>
  <si>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</si>
  <si>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</si>
  <si>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</si>
  <si>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</si>
  <si>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</si>
  <si>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</si>
  <si>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</si>
  <si>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</si>
  <si>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</si>
  <si>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</si>
  <si>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</si>
  <si>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</si>
  <si>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</si>
  <si>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</si>
  <si>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</si>
  <si>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</si>
  <si>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</si>
  <si>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</si>
  <si>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</si>
  <si>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</si>
  <si>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</si>
  <si>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</si>
  <si>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</si>
  <si>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</si>
  <si>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</si>
  <si>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</si>
  <si>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</si>
  <si>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</si>
  <si>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</si>
  <si>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</si>
  <si>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</si>
  <si>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</si>
  <si>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</si>
  <si>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</si>
  <si>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</si>
  <si>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</si>
  <si>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</si>
  <si>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</si>
  <si>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</si>
  <si>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</si>
  <si>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</si>
  <si>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</si>
  <si>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</si>
  <si>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</si>
  <si>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</si>
  <si>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</si>
  <si>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</si>
  <si>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</si>
  <si>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</si>
  <si>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</si>
  <si>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</si>
  <si>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</si>
  <si>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</si>
  <si>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</si>
  <si>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</si>
  <si>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</si>
  <si>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</si>
  <si>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</si>
  <si>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</si>
  <si>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</si>
  <si>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</si>
  <si>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</si>
  <si>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</si>
  <si>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</si>
  <si>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</si>
  <si>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</si>
  <si>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</si>
  <si>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</si>
  <si>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</si>
  <si>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</si>
  <si>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</si>
  <si>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</si>
  <si>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</si>
  <si>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</si>
  <si>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</si>
  <si>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</si>
  <si>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</si>
  <si>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</si>
  <si>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</si>
  <si>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</si>
  <si>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</si>
  <si>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</si>
  <si>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</si>
  <si>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</si>
  <si>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</si>
  <si>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</si>
  <si>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</si>
  <si>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</si>
  <si>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</si>
  <si>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</si>
  <si>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</si>
  <si>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</si>
  <si>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</si>
  <si>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</si>
  <si>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</si>
  <si>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</si>
  <si>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</si>
  <si>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</si>
  <si>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</si>
  <si>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</si>
  <si>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</si>
  <si>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</si>
  <si>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</si>
  <si>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</si>
  <si>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</si>
  <si>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</si>
  <si>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</si>
  <si>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</si>
  <si>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</si>
  <si>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</si>
  <si>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</si>
  <si>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</si>
  <si>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</si>
  <si>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</si>
  <si>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</si>
  <si>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</si>
  <si>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</si>
  <si>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</si>
  <si>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</si>
  <si>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</si>
  <si>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</si>
  <si>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</si>
  <si>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</si>
  <si>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</si>
  <si>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</si>
  <si>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</si>
  <si>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</si>
  <si>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</si>
  <si>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</si>
  <si>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</si>
  <si>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</si>
  <si>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</si>
  <si>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</si>
  <si>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</si>
  <si>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</si>
  <si>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</si>
  <si>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</si>
  <si>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</si>
  <si>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</si>
  <si>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</si>
  <si>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</si>
  <si>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</si>
  <si>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</si>
  <si>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</si>
  <si>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</si>
  <si>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</si>
  <si>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</si>
  <si>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</si>
  <si>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</si>
  <si>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</si>
  <si>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</si>
  <si>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</si>
  <si>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</si>
  <si>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</si>
  <si>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</si>
  <si>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</si>
  <si>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</si>
  <si>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</si>
  <si>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</si>
  <si>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</si>
  <si>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</si>
  <si>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</si>
  <si>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</si>
  <si>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</si>
  <si>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</si>
  <si>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</si>
  <si>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</si>
  <si>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</si>
  <si>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</si>
  <si>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</si>
  <si>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</si>
  <si>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</si>
  <si>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</si>
  <si>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</si>
  <si>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</si>
  <si>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</si>
  <si>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</si>
  <si>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</si>
  <si>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</si>
  <si>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</si>
  <si>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</si>
  <si>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</si>
  <si>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</si>
  <si>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</si>
  <si>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</si>
  <si>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</si>
  <si>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</si>
  <si>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</si>
  <si>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</si>
  <si>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</si>
  <si>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</si>
  <si>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</si>
  <si>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</si>
  <si>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</si>
  <si>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</si>
  <si>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</si>
  <si>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</si>
  <si>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</si>
  <si>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</si>
  <si>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</si>
  <si>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</si>
  <si>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</si>
  <si>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</si>
  <si>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</si>
  <si>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</si>
  <si>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</si>
  <si>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</si>
  <si>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</si>
  <si>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</si>
  <si>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</si>
  <si>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</si>
  <si>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</si>
  <si>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C12-200 daN</t>
  </si>
  <si>
    <t>C12-350 daN</t>
  </si>
  <si>
    <t>C9-200 daN</t>
  </si>
  <si>
    <t>CA1</t>
  </si>
  <si>
    <t>CA5</t>
  </si>
  <si>
    <t>CA5-3</t>
  </si>
  <si>
    <t>CJ5-T</t>
  </si>
  <si>
    <t>CJ6-T</t>
  </si>
  <si>
    <t>MJ6-T</t>
  </si>
  <si>
    <t>CM2-12</t>
  </si>
  <si>
    <t>CM2-12A</t>
  </si>
  <si>
    <t>CM2-11M</t>
  </si>
  <si>
    <t>CE1-2</t>
  </si>
  <si>
    <t>F1-2</t>
  </si>
  <si>
    <t>CE1-3</t>
  </si>
  <si>
    <t>F1-3</t>
  </si>
  <si>
    <t>TRF 1P 50 (CG106)</t>
  </si>
  <si>
    <t>A3C 70 mm</t>
  </si>
  <si>
    <t>PB An. PERUM GRIYA PUTRA MANGUNJIWAN ASRI 7</t>
  </si>
  <si>
    <t>Jl. Wijaya Kusuma II, Kab. Demak</t>
  </si>
  <si>
    <t>R1T</t>
  </si>
  <si>
    <t>PEKERJAAN PEMASANGAN TIANG</t>
  </si>
  <si>
    <t>Isolator Tarik ( Porcelain ) 20 KV + Primary Dead End Clamp 70-150 mm²</t>
  </si>
  <si>
    <t>PEKERJAAN PEMASANGAN KONSTRUKSI TM</t>
  </si>
  <si>
    <t>III</t>
  </si>
  <si>
    <t>PEKERJAAN PEMASANGAN KONSTRUKSI TR</t>
  </si>
  <si>
    <t>IV</t>
  </si>
  <si>
    <t>PEKERJAAN PEMASANGAN ACC. KONSTRUKSI</t>
  </si>
  <si>
    <t>Stainless Steel Strap 20 X 0.7 mm</t>
  </si>
  <si>
    <t>PEKERJAAN PEMASANGAN TRAFO</t>
  </si>
  <si>
    <t>Trafo 1 Fasa CSP 50 KVA (G105, G106, G136)</t>
  </si>
  <si>
    <t xml:space="preserve">Jumper Wire : </t>
  </si>
  <si>
    <t>VI</t>
  </si>
  <si>
    <t>PEKERJAAN PEMASANGAN KONDUKTOR</t>
  </si>
  <si>
    <t>SUTM</t>
  </si>
  <si>
    <t>SKUTR</t>
  </si>
  <si>
    <t>Demak, 17 Mei 2024</t>
  </si>
  <si>
    <t>APP TR</t>
  </si>
  <si>
    <t>VII</t>
  </si>
  <si>
    <t>PEKERJAAN PEMASANGAN APP TR</t>
  </si>
  <si>
    <t>Daya 1.300 VA</t>
  </si>
  <si>
    <t>Pemasangan APP 1 Fasa Di Bangunan</t>
  </si>
  <si>
    <t>LVTC 2x70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</si>
</sst>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693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1" xfId="1653" applyFont="1" applyBorder="1" applyAlignment="1">
      <alignment vertical="center" wrapText="1"/>
    </xf>
    <xf numFmtId="0" fontId="148" fillId="0" borderId="21" xfId="1652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14" fillId="33" borderId="0" xfId="0" applyFont="1" applyFill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quotePrefix="1" applyFont="1" applyFill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115" fillId="33" borderId="0" xfId="0" applyFont="1" applyFill="1" applyAlignment="1">
      <alignment horizontal="left"/>
    </xf>
    <xf numFmtId="0" fontId="115" fillId="33" borderId="0" xfId="0" applyFont="1" applyFill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91" fillId="33" borderId="59" xfId="0" applyFont="1" applyFill="1" applyBorder="1" applyAlignment="1">
      <alignment horizontal="left" vertical="center"/>
    </xf>
    <xf numFmtId="0" fontId="91" fillId="33" borderId="60" xfId="0" applyFont="1" applyFill="1" applyBorder="1" applyAlignment="1">
      <alignment horizontal="left" vertical="center"/>
    </xf>
    <xf numFmtId="0" fontId="117" fillId="33" borderId="0" xfId="0" applyFont="1" applyFill="1" applyAlignment="1">
      <alignment horizontal="center"/>
    </xf>
    <xf numFmtId="0" fontId="91" fillId="33" borderId="69" xfId="0" applyFont="1" applyFill="1" applyBorder="1" applyAlignment="1">
      <alignment horizontal="left" vertical="center"/>
    </xf>
    <xf numFmtId="0" fontId="114" fillId="33" borderId="39" xfId="0" applyFont="1" applyFill="1" applyBorder="1" applyAlignment="1">
      <alignment horizontal="center" vertical="top" wrapText="1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42" xfId="0" applyFont="1" applyFill="1" applyBorder="1" applyAlignment="1">
      <alignment horizontal="center" vertical="center" wrapText="1"/>
    </xf>
    <xf numFmtId="0" fontId="114" fillId="33" borderId="0" xfId="0" applyFont="1" applyFill="1" applyAlignment="1">
      <alignment horizontal="center" vertical="center"/>
    </xf>
    <xf numFmtId="0" fontId="118" fillId="33" borderId="0" xfId="0" applyFont="1" applyFill="1" applyAlignment="1">
      <alignment horizontal="center" vertical="center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9" fillId="0" borderId="21" xfId="1614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49" fontId="91" fillId="33" borderId="59" xfId="0" applyNumberFormat="1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/>
    </xf>
    <xf numFmtId="0" fontId="172" fillId="33" borderId="26" xfId="0" quotePrefix="1" applyFont="1" applyFill="1" applyBorder="1" applyAlignment="1">
      <alignment horizontal="left" vertical="top"/>
    </xf>
    <xf numFmtId="3" fontId="43" fillId="48" borderId="21" xfId="1451" applyNumberFormat="1" applyFont="1" applyFill="1" applyBorder="1" applyAlignment="1">
      <alignment horizontal="center" vertical="center" wrapText="1"/>
    </xf>
    <xf numFmtId="3" fontId="146" fillId="0" borderId="39" xfId="1614" applyNumberFormat="1" applyFont="1" applyBorder="1" applyAlignment="1">
      <alignment horizontal="center" vertical="center"/>
    </xf>
    <xf numFmtId="0" fontId="173" fillId="0" borderId="0" xfId="0" quotePrefix="1" applyFont="1"/>
    <xf numFmtId="43" fontId="8" fillId="0" borderId="0" xfId="2670" applyNumberFormat="1" applyAlignment="1">
      <alignment horizontal="center" vertical="center"/>
    </xf>
    <xf numFmtId="1" fontId="91" fillId="33" borderId="40" xfId="0" applyNumberFormat="1" applyFont="1" applyFill="1" applyBorder="1" applyAlignment="1">
      <alignment horizontal="center" vertical="center"/>
    </xf>
    <xf numFmtId="0" fontId="148" fillId="0" borderId="20" xfId="1653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48" fillId="0" borderId="0" xfId="1614" applyFont="1" applyAlignment="1">
      <alignment horizontal="left"/>
    </xf>
    <xf numFmtId="1" fontId="9" fillId="0" borderId="21" xfId="1614" applyNumberFormat="1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49" fontId="114" fillId="33" borderId="50" xfId="0" applyNumberFormat="1" applyFont="1" applyFill="1" applyBorder="1" applyAlignment="1">
      <alignment horizontal="left" vertical="top" wrapText="1"/>
    </xf>
    <xf numFmtId="49" fontId="114" fillId="33" borderId="41" xfId="0" applyNumberFormat="1" applyFont="1" applyFill="1" applyBorder="1" applyAlignment="1">
      <alignment horizontal="left" vertical="top" wrapText="1"/>
    </xf>
    <xf numFmtId="49" fontId="114" fillId="33" borderId="50" xfId="0" applyNumberFormat="1" applyFont="1" applyFill="1" applyBorder="1" applyAlignment="1">
      <alignment vertical="top" wrapText="1"/>
    </xf>
    <xf numFmtId="49" fontId="114" fillId="33" borderId="41" xfId="0" applyNumberFormat="1" applyFont="1" applyFill="1" applyBorder="1" applyAlignment="1">
      <alignment vertical="top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5" fillId="33" borderId="38" xfId="0" applyFont="1" applyFill="1" applyBorder="1" applyAlignment="1">
      <alignment horizontal="left" vertical="top" wrapText="1"/>
    </xf>
    <xf numFmtId="0" fontId="115" fillId="33" borderId="56" xfId="0" applyFont="1" applyFill="1" applyBorder="1" applyAlignment="1">
      <alignment horizontal="left" vertical="top" wrapText="1"/>
    </xf>
    <xf numFmtId="0" fontId="115" fillId="33" borderId="57" xfId="0" applyFont="1" applyFill="1" applyBorder="1" applyAlignment="1">
      <alignment horizontal="left" vertical="top" wrapText="1"/>
    </xf>
    <xf numFmtId="0" fontId="115" fillId="33" borderId="43" xfId="0" applyFont="1" applyFill="1" applyBorder="1" applyAlignment="1">
      <alignment horizontal="left" vertical="top" wrapText="1"/>
    </xf>
    <xf numFmtId="0" fontId="115" fillId="33" borderId="44" xfId="0" applyFont="1" applyFill="1" applyBorder="1" applyAlignment="1">
      <alignment horizontal="left" vertical="top" wrapText="1"/>
    </xf>
    <xf numFmtId="0" fontId="115" fillId="33" borderId="45" xfId="0" applyFont="1" applyFill="1" applyBorder="1" applyAlignment="1">
      <alignment horizontal="left" vertical="top" wrapText="1"/>
    </xf>
    <xf numFmtId="0" fontId="114" fillId="33" borderId="87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1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0.60124999999999995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1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11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171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20919</xdr:colOff>
      <xdr:row>47</xdr:row>
      <xdr:rowOff>138159</xdr:rowOff>
    </xdr:from>
    <xdr:to>
      <xdr:col>17</xdr:col>
      <xdr:colOff>261348</xdr:colOff>
      <xdr:row>49</xdr:row>
      <xdr:rowOff>131088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3567B2AF-B254-C5E9-4368-2080DB4DF690}"/>
            </a:ext>
          </a:extLst>
        </xdr:cNvPr>
        <xdr:cNvSpPr/>
      </xdr:nvSpPr>
      <xdr:spPr>
        <a:xfrm rot="1141528">
          <a:off x="119531" y="7426465"/>
          <a:ext cx="6246782" cy="30669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2</xdr:col>
      <xdr:colOff>68580</xdr:colOff>
      <xdr:row>1</xdr:row>
      <xdr:rowOff>92826</xdr:rowOff>
    </xdr:from>
    <xdr:to>
      <xdr:col>19</xdr:col>
      <xdr:colOff>263237</xdr:colOff>
      <xdr:row>35</xdr:row>
      <xdr:rowOff>116131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1773CB4C-F6E8-56B3-B591-CE3D91090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3" t="3333" r="7549"/>
        <a:stretch/>
      </xdr:blipFill>
      <xdr:spPr>
        <a:xfrm>
          <a:off x="262544" y="259081"/>
          <a:ext cx="6914111" cy="5301886"/>
        </a:xfrm>
        <a:prstGeom prst="rect">
          <a:avLst/>
        </a:prstGeom>
      </xdr:spPr>
    </xdr:pic>
    <xdr:clientData/>
  </xdr:twoCellAnchor>
  <xdr:twoCellAnchor>
    <xdr:from>
      <xdr:col>7</xdr:col>
      <xdr:colOff>332424</xdr:colOff>
      <xdr:row>17</xdr:row>
      <xdr:rowOff>53038</xdr:rowOff>
    </xdr:from>
    <xdr:to>
      <xdr:col>16</xdr:col>
      <xdr:colOff>44144</xdr:colOff>
      <xdr:row>26</xdr:row>
      <xdr:rowOff>58634</xdr:rowOff>
    </xdr:to>
    <xdr:cxnSp macro="">
      <xdr:nvCxnSpPr>
        <xdr:cNvPr id="249" name="Straight Connector 248">
          <a:extLst>
            <a:ext uri="{FF2B5EF4-FFF2-40B4-BE49-F238E27FC236}">
              <a16:creationId xmlns:a16="http://schemas.microsoft.com/office/drawing/2014/main" id="{8CA17BDA-DDAC-42DC-ACC7-D060143C6719}"/>
            </a:ext>
          </a:extLst>
        </xdr:cNvPr>
        <xdr:cNvCxnSpPr>
          <a:stCxn id="221" idx="4"/>
          <a:endCxn id="114" idx="0"/>
        </xdr:cNvCxnSpPr>
      </xdr:nvCxnSpPr>
      <xdr:spPr>
        <a:xfrm>
          <a:off x="2590715" y="2768529"/>
          <a:ext cx="3203065" cy="137719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224441</xdr:colOff>
      <xdr:row>20</xdr:row>
      <xdr:rowOff>7816</xdr:rowOff>
    </xdr:from>
    <xdr:to>
      <xdr:col>17</xdr:col>
      <xdr:colOff>230755</xdr:colOff>
      <xdr:row>50</xdr:row>
      <xdr:rowOff>98005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0EE00D18-F3A4-4CCF-8625-28A14914F802}"/>
            </a:ext>
          </a:extLst>
        </xdr:cNvPr>
        <xdr:cNvCxnSpPr>
          <a:stCxn id="107" idx="6"/>
          <a:endCxn id="98" idx="2"/>
        </xdr:cNvCxnSpPr>
      </xdr:nvCxnSpPr>
      <xdr:spPr>
        <a:xfrm flipV="1">
          <a:off x="4034441" y="3180507"/>
          <a:ext cx="2333878" cy="468989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58931" y="913176"/>
          <a:ext cx="35588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82385" y="916008"/>
          <a:ext cx="87023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090539" y="2138815"/>
          <a:ext cx="144401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837486" y="2139398"/>
          <a:ext cx="205361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025609" y="2307230"/>
          <a:ext cx="268416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68238" y="2307230"/>
          <a:ext cx="329376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144158" y="1997196"/>
          <a:ext cx="64660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72261" y="1997902"/>
          <a:ext cx="125620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165881</xdr:colOff>
      <xdr:row>12</xdr:row>
      <xdr:rowOff>44943</xdr:rowOff>
    </xdr:from>
    <xdr:to>
      <xdr:col>16</xdr:col>
      <xdr:colOff>84399</xdr:colOff>
      <xdr:row>52</xdr:row>
      <xdr:rowOff>148498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8987898C-7E14-4F23-994C-795C96AE71A4}"/>
            </a:ext>
          </a:extLst>
        </xdr:cNvPr>
        <xdr:cNvSpPr/>
      </xdr:nvSpPr>
      <xdr:spPr>
        <a:xfrm rot="17861314">
          <a:off x="2498315" y="4991850"/>
          <a:ext cx="6307132" cy="3040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130050</xdr:colOff>
      <xdr:row>49</xdr:row>
      <xdr:rowOff>35279</xdr:rowOff>
    </xdr:from>
    <xdr:to>
      <xdr:col>12</xdr:col>
      <xdr:colOff>20905</xdr:colOff>
      <xdr:row>55</xdr:row>
      <xdr:rowOff>149912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B53569C-A1F9-4DCF-9651-40D6338B49AD}"/>
            </a:ext>
          </a:extLst>
        </xdr:cNvPr>
        <xdr:cNvSpPr/>
      </xdr:nvSpPr>
      <xdr:spPr>
        <a:xfrm rot="17915585">
          <a:off x="3546552" y="8048777"/>
          <a:ext cx="1121798" cy="28179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35287</xdr:colOff>
      <xdr:row>26</xdr:row>
      <xdr:rowOff>20680</xdr:rowOff>
    </xdr:from>
    <xdr:to>
      <xdr:col>16</xdr:col>
      <xdr:colOff>190713</xdr:colOff>
      <xdr:row>27</xdr:row>
      <xdr:rowOff>16248</xdr:rowOff>
    </xdr:to>
    <xdr:grpSp>
      <xdr:nvGrpSpPr>
        <xdr:cNvPr id="111" name="Group 13">
          <a:extLst>
            <a:ext uri="{FF2B5EF4-FFF2-40B4-BE49-F238E27FC236}">
              <a16:creationId xmlns:a16="http://schemas.microsoft.com/office/drawing/2014/main" id="{D031CF1B-3129-4365-BA9F-1E829FB28E6E}"/>
            </a:ext>
          </a:extLst>
        </xdr:cNvPr>
        <xdr:cNvGrpSpPr/>
      </xdr:nvGrpSpPr>
      <xdr:grpSpPr>
        <a:xfrm rot="17857270">
          <a:off x="5788652" y="4104042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4" name="Oval 1">
            <a:extLst>
              <a:ext uri="{FF2B5EF4-FFF2-40B4-BE49-F238E27FC236}">
                <a16:creationId xmlns:a16="http://schemas.microsoft.com/office/drawing/2014/main" id="{CDEB3D11-366D-ECB8-37B4-240F3E5D56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3">
            <a:extLst>
              <a:ext uri="{FF2B5EF4-FFF2-40B4-BE49-F238E27FC236}">
                <a16:creationId xmlns:a16="http://schemas.microsoft.com/office/drawing/2014/main" id="{F005E3B1-E831-793B-2C6F-6CEEF3D2B3C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7">
            <a:extLst>
              <a:ext uri="{FF2B5EF4-FFF2-40B4-BE49-F238E27FC236}">
                <a16:creationId xmlns:a16="http://schemas.microsoft.com/office/drawing/2014/main" id="{44A225C2-C065-F320-36FA-A2D17C67BE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187688</xdr:colOff>
      <xdr:row>19</xdr:row>
      <xdr:rowOff>20680</xdr:rowOff>
    </xdr:from>
    <xdr:to>
      <xdr:col>17</xdr:col>
      <xdr:colOff>342421</xdr:colOff>
      <xdr:row>20</xdr:row>
      <xdr:rowOff>16248</xdr:rowOff>
    </xdr:to>
    <xdr:grpSp>
      <xdr:nvGrpSpPr>
        <xdr:cNvPr id="97" name="Group 13">
          <a:extLst>
            <a:ext uri="{FF2B5EF4-FFF2-40B4-BE49-F238E27FC236}">
              <a16:creationId xmlns:a16="http://schemas.microsoft.com/office/drawing/2014/main" id="{5B44462B-1593-49F1-AB5C-8E397D5176F7}"/>
            </a:ext>
          </a:extLst>
        </xdr:cNvPr>
        <xdr:cNvGrpSpPr/>
      </xdr:nvGrpSpPr>
      <xdr:grpSpPr>
        <a:xfrm rot="17857270">
          <a:off x="6328635" y="3037588"/>
          <a:ext cx="147968" cy="1547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8" name="Oval 1">
            <a:extLst>
              <a:ext uri="{FF2B5EF4-FFF2-40B4-BE49-F238E27FC236}">
                <a16:creationId xmlns:a16="http://schemas.microsoft.com/office/drawing/2014/main" id="{45A08C0C-22DF-7EAC-0A2F-07FF1B70684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2" name="Straight Connector 3">
            <a:extLst>
              <a:ext uri="{FF2B5EF4-FFF2-40B4-BE49-F238E27FC236}">
                <a16:creationId xmlns:a16="http://schemas.microsoft.com/office/drawing/2014/main" id="{CEA33E90-5020-CF1E-A2A9-D59C2FBD969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7">
            <a:extLst>
              <a:ext uri="{FF2B5EF4-FFF2-40B4-BE49-F238E27FC236}">
                <a16:creationId xmlns:a16="http://schemas.microsoft.com/office/drawing/2014/main" id="{517ABC6A-7E56-5755-3E17-EF2876BDE91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111488</xdr:colOff>
      <xdr:row>50</xdr:row>
      <xdr:rowOff>89258</xdr:rowOff>
    </xdr:from>
    <xdr:to>
      <xdr:col>11</xdr:col>
      <xdr:colOff>266221</xdr:colOff>
      <xdr:row>50</xdr:row>
      <xdr:rowOff>242768</xdr:rowOff>
    </xdr:to>
    <xdr:grpSp>
      <xdr:nvGrpSpPr>
        <xdr:cNvPr id="106" name="Group 13">
          <a:extLst>
            <a:ext uri="{FF2B5EF4-FFF2-40B4-BE49-F238E27FC236}">
              <a16:creationId xmlns:a16="http://schemas.microsoft.com/office/drawing/2014/main" id="{C2ECB7F9-9596-461C-9B08-BB4BB5982370}"/>
            </a:ext>
          </a:extLst>
        </xdr:cNvPr>
        <xdr:cNvGrpSpPr/>
      </xdr:nvGrpSpPr>
      <xdr:grpSpPr>
        <a:xfrm rot="17857270">
          <a:off x="3922100" y="7861046"/>
          <a:ext cx="153510" cy="1547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7" name="Oval 1">
            <a:extLst>
              <a:ext uri="{FF2B5EF4-FFF2-40B4-BE49-F238E27FC236}">
                <a16:creationId xmlns:a16="http://schemas.microsoft.com/office/drawing/2014/main" id="{D478C07D-62A4-C368-8700-43043BACF2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9" name="Straight Connector 3">
            <a:extLst>
              <a:ext uri="{FF2B5EF4-FFF2-40B4-BE49-F238E27FC236}">
                <a16:creationId xmlns:a16="http://schemas.microsoft.com/office/drawing/2014/main" id="{99629B7F-A02B-2CE2-1203-4B37F50D14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7">
            <a:extLst>
              <a:ext uri="{FF2B5EF4-FFF2-40B4-BE49-F238E27FC236}">
                <a16:creationId xmlns:a16="http://schemas.microsoft.com/office/drawing/2014/main" id="{B13471D5-467F-3252-2738-A0022B3EEAC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308913</xdr:colOff>
      <xdr:row>47</xdr:row>
      <xdr:rowOff>134983</xdr:rowOff>
    </xdr:from>
    <xdr:to>
      <xdr:col>12</xdr:col>
      <xdr:colOff>76412</xdr:colOff>
      <xdr:row>48</xdr:row>
      <xdr:rowOff>130551</xdr:rowOff>
    </xdr:to>
    <xdr:grpSp>
      <xdr:nvGrpSpPr>
        <xdr:cNvPr id="112" name="Group 13">
          <a:extLst>
            <a:ext uri="{FF2B5EF4-FFF2-40B4-BE49-F238E27FC236}">
              <a16:creationId xmlns:a16="http://schemas.microsoft.com/office/drawing/2014/main" id="{F9780279-EFAA-4B6F-A161-2B75DB8D6FB7}"/>
            </a:ext>
          </a:extLst>
        </xdr:cNvPr>
        <xdr:cNvGrpSpPr/>
      </xdr:nvGrpSpPr>
      <xdr:grpSpPr>
        <a:xfrm rot="17857270">
          <a:off x="4122642" y="7432599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6" name="Oval 1">
            <a:extLst>
              <a:ext uri="{FF2B5EF4-FFF2-40B4-BE49-F238E27FC236}">
                <a16:creationId xmlns:a16="http://schemas.microsoft.com/office/drawing/2014/main" id="{40A839DA-99DF-03E7-2B49-83D191038F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7" name="Straight Connector 3">
            <a:extLst>
              <a:ext uri="{FF2B5EF4-FFF2-40B4-BE49-F238E27FC236}">
                <a16:creationId xmlns:a16="http://schemas.microsoft.com/office/drawing/2014/main" id="{ED2A9E3B-990E-4917-E3F1-B6FBA642552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7">
            <a:extLst>
              <a:ext uri="{FF2B5EF4-FFF2-40B4-BE49-F238E27FC236}">
                <a16:creationId xmlns:a16="http://schemas.microsoft.com/office/drawing/2014/main" id="{49873486-3716-2F8A-6C59-9FCA6659E10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111487</xdr:colOff>
      <xdr:row>45</xdr:row>
      <xdr:rowOff>43541</xdr:rowOff>
    </xdr:from>
    <xdr:to>
      <xdr:col>12</xdr:col>
      <xdr:colOff>266220</xdr:colOff>
      <xdr:row>46</xdr:row>
      <xdr:rowOff>39109</xdr:rowOff>
    </xdr:to>
    <xdr:grpSp>
      <xdr:nvGrpSpPr>
        <xdr:cNvPr id="121" name="Group 13">
          <a:extLst>
            <a:ext uri="{FF2B5EF4-FFF2-40B4-BE49-F238E27FC236}">
              <a16:creationId xmlns:a16="http://schemas.microsoft.com/office/drawing/2014/main" id="{522843F9-4610-478F-8A64-7FD1D38BFA62}"/>
            </a:ext>
          </a:extLst>
        </xdr:cNvPr>
        <xdr:cNvGrpSpPr/>
      </xdr:nvGrpSpPr>
      <xdr:grpSpPr>
        <a:xfrm rot="17857270">
          <a:off x="4312797" y="7036703"/>
          <a:ext cx="147968" cy="1547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3" name="Oval 1">
            <a:extLst>
              <a:ext uri="{FF2B5EF4-FFF2-40B4-BE49-F238E27FC236}">
                <a16:creationId xmlns:a16="http://schemas.microsoft.com/office/drawing/2014/main" id="{07AC8518-6372-A0D4-639E-08D8B54631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4" name="Straight Connector 3">
            <a:extLst>
              <a:ext uri="{FF2B5EF4-FFF2-40B4-BE49-F238E27FC236}">
                <a16:creationId xmlns:a16="http://schemas.microsoft.com/office/drawing/2014/main" id="{006F261B-558D-9121-3165-3EEC8D8E0B4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7">
            <a:extLst>
              <a:ext uri="{FF2B5EF4-FFF2-40B4-BE49-F238E27FC236}">
                <a16:creationId xmlns:a16="http://schemas.microsoft.com/office/drawing/2014/main" id="{254ACFA6-CCEF-EDDA-1BCA-F15222BF9F0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324153</xdr:colOff>
      <xdr:row>42</xdr:row>
      <xdr:rowOff>127361</xdr:rowOff>
    </xdr:from>
    <xdr:to>
      <xdr:col>13</xdr:col>
      <xdr:colOff>91651</xdr:colOff>
      <xdr:row>43</xdr:row>
      <xdr:rowOff>122929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5F4BF1C7-2D6E-45E3-A855-61DFDF075C58}"/>
            </a:ext>
          </a:extLst>
        </xdr:cNvPr>
        <xdr:cNvGrpSpPr/>
      </xdr:nvGrpSpPr>
      <xdr:grpSpPr>
        <a:xfrm rot="17857270">
          <a:off x="4525809" y="6662977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54B32CAF-9E07-B811-0A62-3BECC0B6AF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09003296-5A51-00F9-8BCC-32376E2A3C8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42F9A58D-6F3D-72B6-F716-CE42E5E83F6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141965</xdr:colOff>
      <xdr:row>40</xdr:row>
      <xdr:rowOff>35922</xdr:rowOff>
    </xdr:from>
    <xdr:to>
      <xdr:col>13</xdr:col>
      <xdr:colOff>296698</xdr:colOff>
      <xdr:row>41</xdr:row>
      <xdr:rowOff>31490</xdr:rowOff>
    </xdr:to>
    <xdr:grpSp>
      <xdr:nvGrpSpPr>
        <xdr:cNvPr id="194" name="Group 13">
          <a:extLst>
            <a:ext uri="{FF2B5EF4-FFF2-40B4-BE49-F238E27FC236}">
              <a16:creationId xmlns:a16="http://schemas.microsoft.com/office/drawing/2014/main" id="{80B7FF27-1548-4D95-8510-004D0C6EB6E8}"/>
            </a:ext>
          </a:extLst>
        </xdr:cNvPr>
        <xdr:cNvGrpSpPr/>
      </xdr:nvGrpSpPr>
      <xdr:grpSpPr>
        <a:xfrm rot="17857270">
          <a:off x="4731203" y="6267084"/>
          <a:ext cx="147968" cy="1547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5" name="Oval 1">
            <a:extLst>
              <a:ext uri="{FF2B5EF4-FFF2-40B4-BE49-F238E27FC236}">
                <a16:creationId xmlns:a16="http://schemas.microsoft.com/office/drawing/2014/main" id="{1F24067B-ADEE-CB6C-1ADF-C71F0583BD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3">
            <a:extLst>
              <a:ext uri="{FF2B5EF4-FFF2-40B4-BE49-F238E27FC236}">
                <a16:creationId xmlns:a16="http://schemas.microsoft.com/office/drawing/2014/main" id="{90F3AB28-B881-DBB5-F872-E4A3B12BBBE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7">
            <a:extLst>
              <a:ext uri="{FF2B5EF4-FFF2-40B4-BE49-F238E27FC236}">
                <a16:creationId xmlns:a16="http://schemas.microsoft.com/office/drawing/2014/main" id="{40176787-E358-A0FB-9839-FD531B2DE6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331771</xdr:colOff>
      <xdr:row>37</xdr:row>
      <xdr:rowOff>142602</xdr:rowOff>
    </xdr:from>
    <xdr:to>
      <xdr:col>14</xdr:col>
      <xdr:colOff>99270</xdr:colOff>
      <xdr:row>38</xdr:row>
      <xdr:rowOff>130550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D71B6D2D-CCF5-4C03-9BD7-BAFCA08C9566}"/>
            </a:ext>
          </a:extLst>
        </xdr:cNvPr>
        <xdr:cNvGrpSpPr/>
      </xdr:nvGrpSpPr>
      <xdr:grpSpPr>
        <a:xfrm rot="17857270">
          <a:off x="4918237" y="5891627"/>
          <a:ext cx="154203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8DE5438A-ADA4-8CD0-32C9-FFE8903C78F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0255A4B8-6425-0EF7-F40D-E46567E6AC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BFEF2EC1-C4EB-FC32-B832-3D4F7AFCC54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126725</xdr:colOff>
      <xdr:row>35</xdr:row>
      <xdr:rowOff>89261</xdr:rowOff>
    </xdr:from>
    <xdr:to>
      <xdr:col>14</xdr:col>
      <xdr:colOff>281459</xdr:colOff>
      <xdr:row>36</xdr:row>
      <xdr:rowOff>84829</xdr:rowOff>
    </xdr:to>
    <xdr:grpSp>
      <xdr:nvGrpSpPr>
        <xdr:cNvPr id="204" name="Group 13">
          <a:extLst>
            <a:ext uri="{FF2B5EF4-FFF2-40B4-BE49-F238E27FC236}">
              <a16:creationId xmlns:a16="http://schemas.microsoft.com/office/drawing/2014/main" id="{0BCE88CB-72F1-449D-8701-3DC73FF3B09B}"/>
            </a:ext>
          </a:extLst>
        </xdr:cNvPr>
        <xdr:cNvGrpSpPr/>
      </xdr:nvGrpSpPr>
      <xdr:grpSpPr>
        <a:xfrm rot="17857270">
          <a:off x="5103890" y="5530714"/>
          <a:ext cx="147968" cy="154734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5" name="Oval 1">
            <a:extLst>
              <a:ext uri="{FF2B5EF4-FFF2-40B4-BE49-F238E27FC236}">
                <a16:creationId xmlns:a16="http://schemas.microsoft.com/office/drawing/2014/main" id="{899CE178-2FAE-4FD5-A478-9AC22E48C23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6" name="Straight Connector 3">
            <a:extLst>
              <a:ext uri="{FF2B5EF4-FFF2-40B4-BE49-F238E27FC236}">
                <a16:creationId xmlns:a16="http://schemas.microsoft.com/office/drawing/2014/main" id="{1B639D8D-DA08-80A2-2454-6481EB9D456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">
            <a:extLst>
              <a:ext uri="{FF2B5EF4-FFF2-40B4-BE49-F238E27FC236}">
                <a16:creationId xmlns:a16="http://schemas.microsoft.com/office/drawing/2014/main" id="{1AA7F8D2-5F01-DA72-CDD4-364BD0D7ACA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296605</xdr:colOff>
      <xdr:row>32</xdr:row>
      <xdr:rowOff>149635</xdr:rowOff>
    </xdr:from>
    <xdr:to>
      <xdr:col>15</xdr:col>
      <xdr:colOff>64104</xdr:colOff>
      <xdr:row>33</xdr:row>
      <xdr:rowOff>145203</xdr:rowOff>
    </xdr:to>
    <xdr:grpSp>
      <xdr:nvGrpSpPr>
        <xdr:cNvPr id="208" name="Group 13">
          <a:extLst>
            <a:ext uri="{FF2B5EF4-FFF2-40B4-BE49-F238E27FC236}">
              <a16:creationId xmlns:a16="http://schemas.microsoft.com/office/drawing/2014/main" id="{C4C05DEB-FFA4-468D-BD61-7A3C77E6A955}"/>
            </a:ext>
          </a:extLst>
        </xdr:cNvPr>
        <xdr:cNvGrpSpPr/>
      </xdr:nvGrpSpPr>
      <xdr:grpSpPr>
        <a:xfrm rot="17857270">
          <a:off x="5274116" y="5133542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9" name="Oval 1">
            <a:extLst>
              <a:ext uri="{FF2B5EF4-FFF2-40B4-BE49-F238E27FC236}">
                <a16:creationId xmlns:a16="http://schemas.microsoft.com/office/drawing/2014/main" id="{D05E250E-7A21-54BE-E2F0-E7B55F13FC2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3">
            <a:extLst>
              <a:ext uri="{FF2B5EF4-FFF2-40B4-BE49-F238E27FC236}">
                <a16:creationId xmlns:a16="http://schemas.microsoft.com/office/drawing/2014/main" id="{F3B8D5C5-9F52-D771-204F-797CA11A39B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7F2C4CA9-7B75-4751-0591-45551AB75F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86282</xdr:colOff>
      <xdr:row>30</xdr:row>
      <xdr:rowOff>146704</xdr:rowOff>
    </xdr:from>
    <xdr:to>
      <xdr:col>15</xdr:col>
      <xdr:colOff>241708</xdr:colOff>
      <xdr:row>31</xdr:row>
      <xdr:rowOff>142272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A346761E-87A8-42F7-AD86-0D17290934E9}"/>
            </a:ext>
          </a:extLst>
        </xdr:cNvPr>
        <xdr:cNvGrpSpPr/>
      </xdr:nvGrpSpPr>
      <xdr:grpSpPr>
        <a:xfrm rot="17857270">
          <a:off x="5451720" y="4825811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4CB1C5CB-A449-6072-9519-0FFA1BA2E3F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0D3A80E9-08E4-51CB-4607-2EE7AA6E3A9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48FA312C-54B5-283E-CD53-EC61B2C0DFF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11842</xdr:colOff>
      <xdr:row>21</xdr:row>
      <xdr:rowOff>88087</xdr:rowOff>
    </xdr:from>
    <xdr:to>
      <xdr:col>12</xdr:col>
      <xdr:colOff>167268</xdr:colOff>
      <xdr:row>22</xdr:row>
      <xdr:rowOff>83655</xdr:rowOff>
    </xdr:to>
    <xdr:grpSp>
      <xdr:nvGrpSpPr>
        <xdr:cNvPr id="216" name="Group 13">
          <a:extLst>
            <a:ext uri="{FF2B5EF4-FFF2-40B4-BE49-F238E27FC236}">
              <a16:creationId xmlns:a16="http://schemas.microsoft.com/office/drawing/2014/main" id="{FDA67B5C-4B89-4143-AF70-A8E0E7EA170F}"/>
            </a:ext>
          </a:extLst>
        </xdr:cNvPr>
        <xdr:cNvGrpSpPr/>
      </xdr:nvGrpSpPr>
      <xdr:grpSpPr>
        <a:xfrm rot="17857270">
          <a:off x="4213498" y="3409449"/>
          <a:ext cx="147968" cy="15542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7" name="Oval 1">
            <a:extLst>
              <a:ext uri="{FF2B5EF4-FFF2-40B4-BE49-F238E27FC236}">
                <a16:creationId xmlns:a16="http://schemas.microsoft.com/office/drawing/2014/main" id="{E7FAA211-B256-EC23-06E8-4AACA440E80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3">
            <a:extLst>
              <a:ext uri="{FF2B5EF4-FFF2-40B4-BE49-F238E27FC236}">
                <a16:creationId xmlns:a16="http://schemas.microsoft.com/office/drawing/2014/main" id="{D0E6B8F6-8737-A6AA-E9CB-53E97FF473E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7">
            <a:extLst>
              <a:ext uri="{FF2B5EF4-FFF2-40B4-BE49-F238E27FC236}">
                <a16:creationId xmlns:a16="http://schemas.microsoft.com/office/drawing/2014/main" id="{F60E44E6-1570-A8E3-C8BC-BA25FB0C079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186886</xdr:colOff>
      <xdr:row>16</xdr:row>
      <xdr:rowOff>95678</xdr:rowOff>
    </xdr:from>
    <xdr:to>
      <xdr:col>7</xdr:col>
      <xdr:colOff>341218</xdr:colOff>
      <xdr:row>17</xdr:row>
      <xdr:rowOff>91246</xdr:rowOff>
    </xdr:to>
    <xdr:grpSp>
      <xdr:nvGrpSpPr>
        <xdr:cNvPr id="220" name="Group 13">
          <a:extLst>
            <a:ext uri="{FF2B5EF4-FFF2-40B4-BE49-F238E27FC236}">
              <a16:creationId xmlns:a16="http://schemas.microsoft.com/office/drawing/2014/main" id="{9FA283EA-B56D-418C-A416-617CF00EFB52}"/>
            </a:ext>
          </a:extLst>
        </xdr:cNvPr>
        <xdr:cNvGrpSpPr/>
      </xdr:nvGrpSpPr>
      <xdr:grpSpPr>
        <a:xfrm rot="17857270">
          <a:off x="2448359" y="2655587"/>
          <a:ext cx="147968" cy="1543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1" name="Oval 1">
            <a:extLst>
              <a:ext uri="{FF2B5EF4-FFF2-40B4-BE49-F238E27FC236}">
                <a16:creationId xmlns:a16="http://schemas.microsoft.com/office/drawing/2014/main" id="{04551833-32BA-F8F5-8FC4-F1E6B69B0D9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C56E5F51-20B1-EF29-FA1E-C82E9241C9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DA12B4CA-428B-5AED-1550-8657D82BC02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291608</xdr:colOff>
      <xdr:row>9</xdr:row>
      <xdr:rowOff>111103</xdr:rowOff>
    </xdr:from>
    <xdr:to>
      <xdr:col>9</xdr:col>
      <xdr:colOff>61266</xdr:colOff>
      <xdr:row>10</xdr:row>
      <xdr:rowOff>106671</xdr:rowOff>
    </xdr:to>
    <xdr:grpSp>
      <xdr:nvGrpSpPr>
        <xdr:cNvPr id="229" name="Group 13">
          <a:extLst>
            <a:ext uri="{FF2B5EF4-FFF2-40B4-BE49-F238E27FC236}">
              <a16:creationId xmlns:a16="http://schemas.microsoft.com/office/drawing/2014/main" id="{4283160B-1FBC-422F-8F5C-75008D211D45}"/>
            </a:ext>
          </a:extLst>
        </xdr:cNvPr>
        <xdr:cNvGrpSpPr/>
      </xdr:nvGrpSpPr>
      <xdr:grpSpPr>
        <a:xfrm rot="17857270">
          <a:off x="2942635" y="1588730"/>
          <a:ext cx="147968" cy="15758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30" name="Oval 1">
            <a:extLst>
              <a:ext uri="{FF2B5EF4-FFF2-40B4-BE49-F238E27FC236}">
                <a16:creationId xmlns:a16="http://schemas.microsoft.com/office/drawing/2014/main" id="{131B8525-4CA9-3449-66D9-C375B313638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1" name="Straight Connector 3">
            <a:extLst>
              <a:ext uri="{FF2B5EF4-FFF2-40B4-BE49-F238E27FC236}">
                <a16:creationId xmlns:a16="http://schemas.microsoft.com/office/drawing/2014/main" id="{F16B090E-D659-D320-5023-C9677DBFC50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CF3A5D93-3F0C-E7BC-FB5A-E7A25279B1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269099</xdr:colOff>
      <xdr:row>50</xdr:row>
      <xdr:rowOff>85792</xdr:rowOff>
    </xdr:from>
    <xdr:to>
      <xdr:col>12</xdr:col>
      <xdr:colOff>21848</xdr:colOff>
      <xdr:row>50</xdr:row>
      <xdr:rowOff>212319</xdr:rowOff>
    </xdr:to>
    <xdr:sp macro="" textlink="">
      <xdr:nvSpPr>
        <xdr:cNvPr id="233" name="Isosceles Triangle 232">
          <a:extLst>
            <a:ext uri="{FF2B5EF4-FFF2-40B4-BE49-F238E27FC236}">
              <a16:creationId xmlns:a16="http://schemas.microsoft.com/office/drawing/2014/main" id="{C9DE8356-3F92-4818-B441-A7FEBD04ED5A}"/>
            </a:ext>
          </a:extLst>
        </xdr:cNvPr>
        <xdr:cNvSpPr/>
      </xdr:nvSpPr>
      <xdr:spPr>
        <a:xfrm>
          <a:off x="4079099" y="7858192"/>
          <a:ext cx="140676" cy="12652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315991</xdr:colOff>
      <xdr:row>50</xdr:row>
      <xdr:rowOff>132685</xdr:rowOff>
    </xdr:from>
    <xdr:to>
      <xdr:col>11</xdr:col>
      <xdr:colOff>68740</xdr:colOff>
      <xdr:row>51</xdr:row>
      <xdr:rowOff>13028</xdr:rowOff>
    </xdr:to>
    <xdr:sp macro="" textlink="">
      <xdr:nvSpPr>
        <xdr:cNvPr id="234" name="Isosceles Triangle 233">
          <a:extLst>
            <a:ext uri="{FF2B5EF4-FFF2-40B4-BE49-F238E27FC236}">
              <a16:creationId xmlns:a16="http://schemas.microsoft.com/office/drawing/2014/main" id="{316F9589-AA4F-4B3D-BB05-CCC1C4CAABCD}"/>
            </a:ext>
          </a:extLst>
        </xdr:cNvPr>
        <xdr:cNvSpPr/>
      </xdr:nvSpPr>
      <xdr:spPr>
        <a:xfrm>
          <a:off x="3738064" y="7905085"/>
          <a:ext cx="140676" cy="12972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327713</xdr:colOff>
      <xdr:row>25</xdr:row>
      <xdr:rowOff>27175</xdr:rowOff>
    </xdr:from>
    <xdr:to>
      <xdr:col>16</xdr:col>
      <xdr:colOff>80462</xdr:colOff>
      <xdr:row>26</xdr:row>
      <xdr:rowOff>1302</xdr:rowOff>
    </xdr:to>
    <xdr:sp macro="" textlink="">
      <xdr:nvSpPr>
        <xdr:cNvPr id="236" name="Isosceles Triangle 235">
          <a:extLst>
            <a:ext uri="{FF2B5EF4-FFF2-40B4-BE49-F238E27FC236}">
              <a16:creationId xmlns:a16="http://schemas.microsoft.com/office/drawing/2014/main" id="{939FFD2D-4FA2-4166-A58D-D9B77FC70233}"/>
            </a:ext>
          </a:extLst>
        </xdr:cNvPr>
        <xdr:cNvSpPr/>
      </xdr:nvSpPr>
      <xdr:spPr>
        <a:xfrm>
          <a:off x="5689422" y="3961866"/>
          <a:ext cx="140676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368742</xdr:colOff>
      <xdr:row>19</xdr:row>
      <xdr:rowOff>9591</xdr:rowOff>
    </xdr:from>
    <xdr:to>
      <xdr:col>18</xdr:col>
      <xdr:colOff>121491</xdr:colOff>
      <xdr:row>19</xdr:row>
      <xdr:rowOff>136118</xdr:rowOff>
    </xdr:to>
    <xdr:sp macro="" textlink="">
      <xdr:nvSpPr>
        <xdr:cNvPr id="237" name="Isosceles Triangle 236">
          <a:extLst>
            <a:ext uri="{FF2B5EF4-FFF2-40B4-BE49-F238E27FC236}">
              <a16:creationId xmlns:a16="http://schemas.microsoft.com/office/drawing/2014/main" id="{8BB2EECB-2EDE-4C38-8101-C36198BC244C}"/>
            </a:ext>
          </a:extLst>
        </xdr:cNvPr>
        <xdr:cNvSpPr/>
      </xdr:nvSpPr>
      <xdr:spPr>
        <a:xfrm>
          <a:off x="6506306" y="3029882"/>
          <a:ext cx="140676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52287</xdr:colOff>
      <xdr:row>10</xdr:row>
      <xdr:rowOff>69217</xdr:rowOff>
    </xdr:from>
    <xdr:to>
      <xdr:col>17</xdr:col>
      <xdr:colOff>196506</xdr:colOff>
      <xdr:row>19</xdr:row>
      <xdr:rowOff>58795</xdr:rowOff>
    </xdr:to>
    <xdr:cxnSp macro="">
      <xdr:nvCxnSpPr>
        <xdr:cNvPr id="244" name="Straight Connector 243">
          <a:extLst>
            <a:ext uri="{FF2B5EF4-FFF2-40B4-BE49-F238E27FC236}">
              <a16:creationId xmlns:a16="http://schemas.microsoft.com/office/drawing/2014/main" id="{3282C477-5025-4F8D-BA90-CDE1954BA1EF}"/>
            </a:ext>
          </a:extLst>
        </xdr:cNvPr>
        <xdr:cNvCxnSpPr>
          <a:stCxn id="230" idx="4"/>
          <a:endCxn id="98" idx="0"/>
        </xdr:cNvCxnSpPr>
      </xdr:nvCxnSpPr>
      <xdr:spPr>
        <a:xfrm>
          <a:off x="3086432" y="1704053"/>
          <a:ext cx="3247638" cy="13750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150173</xdr:colOff>
      <xdr:row>14</xdr:row>
      <xdr:rowOff>137324</xdr:rowOff>
    </xdr:from>
    <xdr:to>
      <xdr:col>13</xdr:col>
      <xdr:colOff>306665</xdr:colOff>
      <xdr:row>15</xdr:row>
      <xdr:rowOff>132892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A400D4AE-7737-44CB-9809-D2F4FBED3BC3}"/>
            </a:ext>
          </a:extLst>
        </xdr:cNvPr>
        <xdr:cNvGrpSpPr/>
      </xdr:nvGrpSpPr>
      <xdr:grpSpPr>
        <a:xfrm rot="17857270">
          <a:off x="4740290" y="2391353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B20E8366-5A6B-9E1C-1E8E-06FD38D2F0B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7" name="Straight Connector 3">
            <a:extLst>
              <a:ext uri="{FF2B5EF4-FFF2-40B4-BE49-F238E27FC236}">
                <a16:creationId xmlns:a16="http://schemas.microsoft.com/office/drawing/2014/main" id="{005A727E-FB8D-DB69-B2DB-B6DED339D0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">
            <a:extLst>
              <a:ext uri="{FF2B5EF4-FFF2-40B4-BE49-F238E27FC236}">
                <a16:creationId xmlns:a16="http://schemas.microsoft.com/office/drawing/2014/main" id="{F4F05D83-1A7A-B270-9817-69143A168D9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299889</xdr:colOff>
      <xdr:row>18</xdr:row>
      <xdr:rowOff>44761</xdr:rowOff>
    </xdr:from>
    <xdr:to>
      <xdr:col>17</xdr:col>
      <xdr:colOff>304267</xdr:colOff>
      <xdr:row>19</xdr:row>
      <xdr:rowOff>29112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23140678-A03B-4CD0-A9AD-8EC7A09C449B}"/>
            </a:ext>
          </a:extLst>
        </xdr:cNvPr>
        <xdr:cNvCxnSpPr>
          <a:stCxn id="98" idx="6"/>
        </xdr:cNvCxnSpPr>
      </xdr:nvCxnSpPr>
      <xdr:spPr>
        <a:xfrm flipV="1">
          <a:off x="6437453" y="2912652"/>
          <a:ext cx="4378" cy="136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181961</xdr:colOff>
      <xdr:row>9</xdr:row>
      <xdr:rowOff>71294</xdr:rowOff>
    </xdr:from>
    <xdr:to>
      <xdr:col>8</xdr:col>
      <xdr:colOff>300465</xdr:colOff>
      <xdr:row>9</xdr:row>
      <xdr:rowOff>149057</xdr:rowOff>
    </xdr:to>
    <xdr:cxnSp macro="">
      <xdr:nvCxnSpPr>
        <xdr:cNvPr id="255" name="Straight Arrow Connector 254">
          <a:extLst>
            <a:ext uri="{FF2B5EF4-FFF2-40B4-BE49-F238E27FC236}">
              <a16:creationId xmlns:a16="http://schemas.microsoft.com/office/drawing/2014/main" id="{3DBD7A8D-7F36-4406-9D5D-7D770C6F587E}"/>
            </a:ext>
          </a:extLst>
        </xdr:cNvPr>
        <xdr:cNvCxnSpPr>
          <a:stCxn id="230" idx="0"/>
        </xdr:cNvCxnSpPr>
      </xdr:nvCxnSpPr>
      <xdr:spPr>
        <a:xfrm flipH="1" flipV="1">
          <a:off x="2828179" y="1553730"/>
          <a:ext cx="118504" cy="777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46837</xdr:colOff>
      <xdr:row>16</xdr:row>
      <xdr:rowOff>73453</xdr:rowOff>
    </xdr:from>
    <xdr:to>
      <xdr:col>7</xdr:col>
      <xdr:colOff>195743</xdr:colOff>
      <xdr:row>16</xdr:row>
      <xdr:rowOff>133632</xdr:rowOff>
    </xdr:to>
    <xdr:cxnSp macro="">
      <xdr:nvCxnSpPr>
        <xdr:cNvPr id="260" name="Straight Arrow Connector 259">
          <a:extLst>
            <a:ext uri="{FF2B5EF4-FFF2-40B4-BE49-F238E27FC236}">
              <a16:creationId xmlns:a16="http://schemas.microsoft.com/office/drawing/2014/main" id="{4A0437E7-7CF5-445A-9AC0-EB789DA1DDF9}"/>
            </a:ext>
          </a:extLst>
        </xdr:cNvPr>
        <xdr:cNvCxnSpPr>
          <a:stCxn id="221" idx="0"/>
        </xdr:cNvCxnSpPr>
      </xdr:nvCxnSpPr>
      <xdr:spPr>
        <a:xfrm flipH="1" flipV="1">
          <a:off x="2305128" y="2636544"/>
          <a:ext cx="148906" cy="6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185943</xdr:colOff>
      <xdr:row>26</xdr:row>
      <xdr:rowOff>44761</xdr:rowOff>
    </xdr:from>
    <xdr:to>
      <xdr:col>16</xdr:col>
      <xdr:colOff>315991</xdr:colOff>
      <xdr:row>26</xdr:row>
      <xdr:rowOff>73788</xdr:rowOff>
    </xdr:to>
    <xdr:cxnSp macro="">
      <xdr:nvCxnSpPr>
        <xdr:cNvPr id="264" name="Straight Arrow Connector 263">
          <a:extLst>
            <a:ext uri="{FF2B5EF4-FFF2-40B4-BE49-F238E27FC236}">
              <a16:creationId xmlns:a16="http://schemas.microsoft.com/office/drawing/2014/main" id="{02152E15-93D9-4530-9DF0-96B64EDE5A1B}"/>
            </a:ext>
          </a:extLst>
        </xdr:cNvPr>
        <xdr:cNvCxnSpPr>
          <a:stCxn id="114" idx="5"/>
        </xdr:cNvCxnSpPr>
      </xdr:nvCxnSpPr>
      <xdr:spPr>
        <a:xfrm flipV="1">
          <a:off x="5935579" y="4131852"/>
          <a:ext cx="130048" cy="290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43475</xdr:colOff>
      <xdr:row>50</xdr:row>
      <xdr:rowOff>28187</xdr:rowOff>
    </xdr:from>
    <xdr:to>
      <xdr:col>11</xdr:col>
      <xdr:colOff>120360</xdr:colOff>
      <xdr:row>50</xdr:row>
      <xdr:rowOff>126100</xdr:rowOff>
    </xdr:to>
    <xdr:cxnSp macro="">
      <xdr:nvCxnSpPr>
        <xdr:cNvPr id="268" name="Straight Arrow Connector 267">
          <a:extLst>
            <a:ext uri="{FF2B5EF4-FFF2-40B4-BE49-F238E27FC236}">
              <a16:creationId xmlns:a16="http://schemas.microsoft.com/office/drawing/2014/main" id="{CE546EE5-CA2E-4050-A871-BAEAAD996BFC}"/>
            </a:ext>
          </a:extLst>
        </xdr:cNvPr>
        <xdr:cNvCxnSpPr>
          <a:stCxn id="107" idx="0"/>
        </xdr:cNvCxnSpPr>
      </xdr:nvCxnSpPr>
      <xdr:spPr>
        <a:xfrm flipH="1" flipV="1">
          <a:off x="3853475" y="7800587"/>
          <a:ext cx="76885" cy="9791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211821</xdr:colOff>
      <xdr:row>50</xdr:row>
      <xdr:rowOff>239886</xdr:rowOff>
    </xdr:from>
    <xdr:to>
      <xdr:col>16</xdr:col>
      <xdr:colOff>127356</xdr:colOff>
      <xdr:row>55</xdr:row>
      <xdr:rowOff>44762</xdr:rowOff>
    </xdr:to>
    <xdr:cxnSp macro="">
      <xdr:nvCxnSpPr>
        <xdr:cNvPr id="274" name="Straight Connector 273">
          <a:extLst>
            <a:ext uri="{FF2B5EF4-FFF2-40B4-BE49-F238E27FC236}">
              <a16:creationId xmlns:a16="http://schemas.microsoft.com/office/drawing/2014/main" id="{76645F8B-B478-CCE1-2F46-734F160A16DE}"/>
            </a:ext>
          </a:extLst>
        </xdr:cNvPr>
        <xdr:cNvCxnSpPr>
          <a:stCxn id="107" idx="3"/>
        </xdr:cNvCxnSpPr>
      </xdr:nvCxnSpPr>
      <xdr:spPr>
        <a:xfrm>
          <a:off x="4021821" y="8012286"/>
          <a:ext cx="1855171" cy="663858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274960</xdr:colOff>
      <xdr:row>50</xdr:row>
      <xdr:rowOff>239886</xdr:rowOff>
    </xdr:from>
    <xdr:to>
      <xdr:col>11</xdr:col>
      <xdr:colOff>211821</xdr:colOff>
      <xdr:row>54</xdr:row>
      <xdr:rowOff>150269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5E4EB6CC-3BE1-4995-BF8B-82997E102D3D}"/>
            </a:ext>
          </a:extLst>
        </xdr:cNvPr>
        <xdr:cNvCxnSpPr>
          <a:stCxn id="107" idx="3"/>
        </xdr:cNvCxnSpPr>
      </xdr:nvCxnSpPr>
      <xdr:spPr>
        <a:xfrm flipH="1">
          <a:off x="3697033" y="8012286"/>
          <a:ext cx="324788" cy="61696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168386</xdr:colOff>
      <xdr:row>50</xdr:row>
      <xdr:rowOff>231004</xdr:rowOff>
    </xdr:from>
    <xdr:to>
      <xdr:col>11</xdr:col>
      <xdr:colOff>153478</xdr:colOff>
      <xdr:row>55</xdr:row>
      <xdr:rowOff>85793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905C22E8-93F2-4545-9195-E5E447808749}"/>
            </a:ext>
          </a:extLst>
        </xdr:cNvPr>
        <xdr:cNvCxnSpPr>
          <a:stCxn id="107" idx="2"/>
        </xdr:cNvCxnSpPr>
      </xdr:nvCxnSpPr>
      <xdr:spPr>
        <a:xfrm flipH="1">
          <a:off x="3590459" y="8003404"/>
          <a:ext cx="373019" cy="71377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352107</xdr:colOff>
      <xdr:row>52</xdr:row>
      <xdr:rowOff>54929</xdr:rowOff>
    </xdr:from>
    <xdr:to>
      <xdr:col>11</xdr:col>
      <xdr:colOff>30938</xdr:colOff>
      <xdr:row>53</xdr:row>
      <xdr:rowOff>41927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F157D908-AA22-9EBA-3354-C81B517083BC}"/>
            </a:ext>
          </a:extLst>
        </xdr:cNvPr>
        <xdr:cNvGrpSpPr/>
      </xdr:nvGrpSpPr>
      <xdr:grpSpPr>
        <a:xfrm rot="17909080">
          <a:off x="3737860" y="8265431"/>
          <a:ext cx="139398" cy="66758"/>
          <a:chOff x="4209393" y="9054662"/>
          <a:chExt cx="139398" cy="66758"/>
        </a:xfrm>
      </xdr:grpSpPr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7C28BFA0-71D9-4236-9792-8ADAA8F4A254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C8BAB42C-DC20-4835-A902-395A2BB5ABC5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F2611DD8-18A8-4F91-A5FD-809BCADCDE3E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EE1E1669-80EA-47DB-BD51-F8DE9968CD94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325831</xdr:colOff>
      <xdr:row>53</xdr:row>
      <xdr:rowOff>65438</xdr:rowOff>
    </xdr:from>
    <xdr:to>
      <xdr:col>11</xdr:col>
      <xdr:colOff>4662</xdr:colOff>
      <xdr:row>54</xdr:row>
      <xdr:rowOff>52436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664B2FC-4D94-4431-9729-41AC9DCBD660}"/>
            </a:ext>
          </a:extLst>
        </xdr:cNvPr>
        <xdr:cNvGrpSpPr/>
      </xdr:nvGrpSpPr>
      <xdr:grpSpPr>
        <a:xfrm rot="17909080">
          <a:off x="3711584" y="8428340"/>
          <a:ext cx="139398" cy="66758"/>
          <a:chOff x="4209393" y="9054662"/>
          <a:chExt cx="139398" cy="66758"/>
        </a:xfrm>
      </xdr:grpSpPr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AFC11E54-45BD-EB0A-7AA4-74DE2CB70869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C8F5B636-B3A0-D22E-7661-2F87211989F5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97D45E7-D23A-2232-DBE7-498C509399A1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7A24449-7064-69FF-FB38-90E8CC735E80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291742</xdr:colOff>
      <xdr:row>23</xdr:row>
      <xdr:rowOff>98853</xdr:rowOff>
    </xdr:from>
    <xdr:to>
      <xdr:col>14</xdr:col>
      <xdr:colOff>102079</xdr:colOff>
      <xdr:row>24</xdr:row>
      <xdr:rowOff>81588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5AAF9369-71D4-4746-ADD9-6B487C158B81}"/>
            </a:ext>
          </a:extLst>
        </xdr:cNvPr>
        <xdr:cNvGrpSpPr/>
      </xdr:nvGrpSpPr>
      <xdr:grpSpPr>
        <a:xfrm rot="11848738">
          <a:off x="4877597" y="3728744"/>
          <a:ext cx="198264" cy="135135"/>
          <a:chOff x="4209393" y="9054662"/>
          <a:chExt cx="139398" cy="66758"/>
        </a:xfrm>
      </xdr:grpSpPr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D206663-1225-AC57-E29D-80852897BBD5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B64DE8C4-D9E6-89DC-4DF6-DAFA5760CDC1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F3E1446C-3189-33C1-B932-2536CA428DA6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5C741621-5BB0-B7EE-DD86-A184EFCEC393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108768</xdr:colOff>
      <xdr:row>16</xdr:row>
      <xdr:rowOff>119873</xdr:rowOff>
    </xdr:from>
    <xdr:to>
      <xdr:col>15</xdr:col>
      <xdr:colOff>306076</xdr:colOff>
      <xdr:row>17</xdr:row>
      <xdr:rowOff>102608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23FED8B6-12BB-4BB8-9A65-32CAC3582993}"/>
            </a:ext>
          </a:extLst>
        </xdr:cNvPr>
        <xdr:cNvGrpSpPr/>
      </xdr:nvGrpSpPr>
      <xdr:grpSpPr>
        <a:xfrm rot="11848738">
          <a:off x="5470477" y="2682964"/>
          <a:ext cx="197308" cy="135135"/>
          <a:chOff x="4209393" y="9054662"/>
          <a:chExt cx="139398" cy="66758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51709350-0ED8-088D-7922-AD50278A047C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35F33F8-CBE8-E94E-234C-8981FC2FC832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9E13C7A2-681A-7996-16BC-0C47118EC09A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31A452ED-4654-4B13-74A7-930E8AF5FA57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108768</xdr:colOff>
      <xdr:row>12</xdr:row>
      <xdr:rowOff>104107</xdr:rowOff>
    </xdr:from>
    <xdr:to>
      <xdr:col>11</xdr:col>
      <xdr:colOff>306076</xdr:colOff>
      <xdr:row>13</xdr:row>
      <xdr:rowOff>81587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F934C2E2-7D08-48F7-AF84-6882E1A7FD9F}"/>
            </a:ext>
          </a:extLst>
        </xdr:cNvPr>
        <xdr:cNvGrpSpPr/>
      </xdr:nvGrpSpPr>
      <xdr:grpSpPr>
        <a:xfrm rot="11848738">
          <a:off x="3918768" y="2043743"/>
          <a:ext cx="197308" cy="143735"/>
          <a:chOff x="4209393" y="9054662"/>
          <a:chExt cx="139398" cy="66758"/>
        </a:xfrm>
      </xdr:grpSpPr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46A8CCD-B695-26B9-7531-6318D42897C3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71187562-9B1F-B5F4-3F3A-D56FE9607A17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C7DB401-01BA-E15F-6232-92A841B51EC3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85AD8BA-F123-F295-131C-C10155069A4F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250659</xdr:colOff>
      <xdr:row>19</xdr:row>
      <xdr:rowOff>25281</xdr:rowOff>
    </xdr:from>
    <xdr:to>
      <xdr:col>10</xdr:col>
      <xdr:colOff>60039</xdr:colOff>
      <xdr:row>20</xdr:row>
      <xdr:rowOff>8016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381C498A-0D11-4796-82DA-19D58467F07C}"/>
            </a:ext>
          </a:extLst>
        </xdr:cNvPr>
        <xdr:cNvGrpSpPr/>
      </xdr:nvGrpSpPr>
      <xdr:grpSpPr>
        <a:xfrm rot="11848738">
          <a:off x="3284804" y="3045572"/>
          <a:ext cx="197308" cy="135135"/>
          <a:chOff x="4209393" y="9054662"/>
          <a:chExt cx="139398" cy="66758"/>
        </a:xfrm>
      </xdr:grpSpPr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F1C1FCC-AC63-41AB-9EB4-2214CF58D1D5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BC18A81B-2055-9269-65C2-2DC9260B1770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3F588E48-F003-CF4C-9555-753EE7E0D72B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EA45750A-F73F-A997-B11C-2BA42742F6BB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</xdr:col>
      <xdr:colOff>89846</xdr:colOff>
      <xdr:row>42</xdr:row>
      <xdr:rowOff>118195</xdr:rowOff>
    </xdr:from>
    <xdr:ext cx="1311769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890A285-D553-E6DD-D894-0B2DEAC6E723}"/>
            </a:ext>
          </a:extLst>
        </xdr:cNvPr>
        <xdr:cNvSpPr txBox="1"/>
      </xdr:nvSpPr>
      <xdr:spPr>
        <a:xfrm rot="1103864">
          <a:off x="287070" y="6644501"/>
          <a:ext cx="13117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Jl. Wijaya Kusuma II</a:t>
          </a:r>
        </a:p>
      </xdr:txBody>
    </xdr:sp>
    <xdr:clientData/>
  </xdr:oneCellAnchor>
  <xdr:oneCellAnchor>
    <xdr:from>
      <xdr:col>14</xdr:col>
      <xdr:colOff>26275</xdr:colOff>
      <xdr:row>52</xdr:row>
      <xdr:rowOff>131380</xdr:rowOff>
    </xdr:from>
    <xdr:ext cx="1311769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720E1DB-7057-4158-A804-3D1A1192CD52}"/>
            </a:ext>
          </a:extLst>
        </xdr:cNvPr>
        <xdr:cNvSpPr txBox="1"/>
      </xdr:nvSpPr>
      <xdr:spPr>
        <a:xfrm rot="1103864">
          <a:off x="5013434" y="8266387"/>
          <a:ext cx="13117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Jl. Wijaya Kusuma II</a:t>
          </a:r>
        </a:p>
      </xdr:txBody>
    </xdr:sp>
    <xdr:clientData/>
  </xdr:oneCellAnchor>
  <xdr:oneCellAnchor>
    <xdr:from>
      <xdr:col>18</xdr:col>
      <xdr:colOff>114068</xdr:colOff>
      <xdr:row>1</xdr:row>
      <xdr:rowOff>118395</xdr:rowOff>
    </xdr:from>
    <xdr:ext cx="136704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8336241-A498-719B-A1EB-F4CC3624D452}"/>
            </a:ext>
          </a:extLst>
        </xdr:cNvPr>
        <xdr:cNvSpPr txBox="1"/>
      </xdr:nvSpPr>
      <xdr:spPr>
        <a:xfrm>
          <a:off x="6604515" y="279760"/>
          <a:ext cx="1367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-6.89352, 110.61512</a:t>
          </a:r>
        </a:p>
      </xdr:txBody>
    </xdr:sp>
    <xdr:clientData/>
  </xdr:oneCellAnchor>
  <xdr:oneCellAnchor>
    <xdr:from>
      <xdr:col>12</xdr:col>
      <xdr:colOff>164173</xdr:colOff>
      <xdr:row>39</xdr:row>
      <xdr:rowOff>28529</xdr:rowOff>
    </xdr:from>
    <xdr:ext cx="342786" cy="64184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F29008E-7AF7-4913-9452-87E432A07332}"/>
            </a:ext>
          </a:extLst>
        </xdr:cNvPr>
        <xdr:cNvSpPr txBox="1"/>
      </xdr:nvSpPr>
      <xdr:spPr>
        <a:xfrm rot="17744994">
          <a:off x="4212572" y="6260202"/>
          <a:ext cx="64184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 70mm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12</xdr:col>
      <xdr:colOff>77969</xdr:colOff>
      <xdr:row>45</xdr:row>
      <xdr:rowOff>117625</xdr:rowOff>
    </xdr:from>
    <xdr:ext cx="217560" cy="463973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2CAC9DDC-38AA-42C4-8BF5-C606961868E6}"/>
            </a:ext>
          </a:extLst>
        </xdr:cNvPr>
        <xdr:cNvSpPr txBox="1"/>
      </xdr:nvSpPr>
      <xdr:spPr>
        <a:xfrm rot="17815672">
          <a:off x="4152689" y="7237377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11</xdr:col>
      <xdr:colOff>77628</xdr:colOff>
      <xdr:row>47</xdr:row>
      <xdr:rowOff>119588</xdr:rowOff>
    </xdr:from>
    <xdr:ext cx="217560" cy="463973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9C4D02F-D001-4789-9406-1782169D7880}"/>
            </a:ext>
          </a:extLst>
        </xdr:cNvPr>
        <xdr:cNvSpPr txBox="1"/>
      </xdr:nvSpPr>
      <xdr:spPr>
        <a:xfrm rot="17815672">
          <a:off x="3764421" y="7544140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12</xdr:col>
      <xdr:colOff>84113</xdr:colOff>
      <xdr:row>42</xdr:row>
      <xdr:rowOff>70950</xdr:rowOff>
    </xdr:from>
    <xdr:ext cx="217560" cy="463973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D5AF2C16-3D2F-4D74-B40F-1ADF747A89EE}"/>
            </a:ext>
          </a:extLst>
        </xdr:cNvPr>
        <xdr:cNvSpPr txBox="1"/>
      </xdr:nvSpPr>
      <xdr:spPr>
        <a:xfrm rot="17815672">
          <a:off x="4158833" y="673350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13</xdr:col>
      <xdr:colOff>298647</xdr:colOff>
      <xdr:row>38</xdr:row>
      <xdr:rowOff>58917</xdr:rowOff>
    </xdr:from>
    <xdr:ext cx="217560" cy="463973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9C3F99EC-6194-4D6D-9C0F-02108CCE5B22}"/>
            </a:ext>
          </a:extLst>
        </xdr:cNvPr>
        <xdr:cNvSpPr txBox="1"/>
      </xdr:nvSpPr>
      <xdr:spPr>
        <a:xfrm rot="17815672">
          <a:off x="4761295" y="609801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13</xdr:col>
      <xdr:colOff>249483</xdr:colOff>
      <xdr:row>35</xdr:row>
      <xdr:rowOff>6099</xdr:rowOff>
    </xdr:from>
    <xdr:ext cx="217560" cy="463973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4B64A860-DCBC-470F-A986-A2A5E4838D3A}"/>
            </a:ext>
          </a:extLst>
        </xdr:cNvPr>
        <xdr:cNvSpPr txBox="1"/>
      </xdr:nvSpPr>
      <xdr:spPr>
        <a:xfrm rot="17815672">
          <a:off x="4712131" y="557414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14</xdr:col>
      <xdr:colOff>309573</xdr:colOff>
      <xdr:row>33</xdr:row>
      <xdr:rowOff>72998</xdr:rowOff>
    </xdr:from>
    <xdr:ext cx="217560" cy="463973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691D36E-4D90-474F-AA6D-5A8D60807C98}"/>
            </a:ext>
          </a:extLst>
        </xdr:cNvPr>
        <xdr:cNvSpPr txBox="1"/>
      </xdr:nvSpPr>
      <xdr:spPr>
        <a:xfrm rot="17815672">
          <a:off x="5160148" y="533624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14</xdr:col>
      <xdr:colOff>255968</xdr:colOff>
      <xdr:row>30</xdr:row>
      <xdr:rowOff>48251</xdr:rowOff>
    </xdr:from>
    <xdr:ext cx="217560" cy="463973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71A0C3CE-B103-4529-B10E-7A4BEDC5091F}"/>
            </a:ext>
          </a:extLst>
        </xdr:cNvPr>
        <xdr:cNvSpPr txBox="1"/>
      </xdr:nvSpPr>
      <xdr:spPr>
        <a:xfrm rot="17815672">
          <a:off x="5106543" y="4854294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16</xdr:col>
      <xdr:colOff>4672</xdr:colOff>
      <xdr:row>27</xdr:row>
      <xdr:rowOff>51308</xdr:rowOff>
    </xdr:from>
    <xdr:ext cx="217560" cy="541559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80A0072E-5683-42F8-B4C4-EF288A7ECA63}"/>
            </a:ext>
          </a:extLst>
        </xdr:cNvPr>
        <xdr:cNvSpPr txBox="1"/>
      </xdr:nvSpPr>
      <xdr:spPr>
        <a:xfrm rot="17815672">
          <a:off x="5592308" y="4452799"/>
          <a:ext cx="54155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15,4 mtr</a:t>
          </a:r>
        </a:p>
      </xdr:txBody>
    </xdr:sp>
    <xdr:clientData/>
  </xdr:oneCellAnchor>
  <xdr:oneCellAnchor>
    <xdr:from>
      <xdr:col>17</xdr:col>
      <xdr:colOff>133006</xdr:colOff>
      <xdr:row>21</xdr:row>
      <xdr:rowOff>62027</xdr:rowOff>
    </xdr:from>
    <xdr:ext cx="217560" cy="463973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3C0162E-AEC4-4AAB-863D-8693EC27058C}"/>
            </a:ext>
          </a:extLst>
        </xdr:cNvPr>
        <xdr:cNvSpPr txBox="1"/>
      </xdr:nvSpPr>
      <xdr:spPr>
        <a:xfrm rot="17815672">
          <a:off x="6147363" y="351032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26 mtr</a:t>
          </a:r>
        </a:p>
      </xdr:txBody>
    </xdr:sp>
    <xdr:clientData/>
  </xdr:oneCellAnchor>
  <xdr:oneCellAnchor>
    <xdr:from>
      <xdr:col>12</xdr:col>
      <xdr:colOff>326362</xdr:colOff>
      <xdr:row>22</xdr:row>
      <xdr:rowOff>105025</xdr:rowOff>
    </xdr:from>
    <xdr:ext cx="1104020" cy="21756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2C3C9ED9-FC2D-4446-B266-4E0BC6EAC04E}"/>
            </a:ext>
          </a:extLst>
        </xdr:cNvPr>
        <xdr:cNvSpPr txBox="1"/>
      </xdr:nvSpPr>
      <xdr:spPr>
        <a:xfrm rot="1378955">
          <a:off x="4524289" y="3582516"/>
          <a:ext cx="11040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2x70 mm 40 mtr</a:t>
          </a:r>
        </a:p>
      </xdr:txBody>
    </xdr:sp>
    <xdr:clientData/>
  </xdr:oneCellAnchor>
  <xdr:oneCellAnchor>
    <xdr:from>
      <xdr:col>15</xdr:col>
      <xdr:colOff>61939</xdr:colOff>
      <xdr:row>15</xdr:row>
      <xdr:rowOff>125078</xdr:rowOff>
    </xdr:from>
    <xdr:ext cx="463973" cy="217560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2F8603FC-40B6-4C4B-82D2-B5B1AC593C26}"/>
            </a:ext>
          </a:extLst>
        </xdr:cNvPr>
        <xdr:cNvSpPr txBox="1"/>
      </xdr:nvSpPr>
      <xdr:spPr>
        <a:xfrm rot="1378955">
          <a:off x="5423648" y="2535769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8</xdr:col>
      <xdr:colOff>178244</xdr:colOff>
      <xdr:row>17</xdr:row>
      <xdr:rowOff>64921</xdr:rowOff>
    </xdr:from>
    <xdr:ext cx="463973" cy="2175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31F133E8-0AB5-4E52-A759-95EE7FED595F}"/>
            </a:ext>
          </a:extLst>
        </xdr:cNvPr>
        <xdr:cNvSpPr txBox="1"/>
      </xdr:nvSpPr>
      <xdr:spPr>
        <a:xfrm rot="1378955">
          <a:off x="2824462" y="278041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42 mtr</a:t>
          </a:r>
        </a:p>
      </xdr:txBody>
    </xdr:sp>
    <xdr:clientData/>
  </xdr:oneCellAnchor>
  <xdr:oneCellAnchor>
    <xdr:from>
      <xdr:col>9</xdr:col>
      <xdr:colOff>289445</xdr:colOff>
      <xdr:row>10</xdr:row>
      <xdr:rowOff>64921</xdr:rowOff>
    </xdr:from>
    <xdr:ext cx="463973" cy="217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B01961D6-9203-44AE-B952-1B7986B209BD}"/>
            </a:ext>
          </a:extLst>
        </xdr:cNvPr>
        <xdr:cNvSpPr txBox="1"/>
      </xdr:nvSpPr>
      <xdr:spPr>
        <a:xfrm rot="1378955">
          <a:off x="3323590" y="1699757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42 mtr</a:t>
          </a:r>
        </a:p>
      </xdr:txBody>
    </xdr:sp>
    <xdr:clientData/>
  </xdr:oneCellAnchor>
  <xdr:twoCellAnchor>
    <xdr:from>
      <xdr:col>6</xdr:col>
      <xdr:colOff>148285</xdr:colOff>
      <xdr:row>45</xdr:row>
      <xdr:rowOff>18105</xdr:rowOff>
    </xdr:from>
    <xdr:to>
      <xdr:col>9</xdr:col>
      <xdr:colOff>29159</xdr:colOff>
      <xdr:row>55</xdr:row>
      <xdr:rowOff>116541</xdr:rowOff>
    </xdr:to>
    <xdr:sp macro="" textlink="">
      <xdr:nvSpPr>
        <xdr:cNvPr id="226" name="TextBox 157">
          <a:extLst>
            <a:ext uri="{FF2B5EF4-FFF2-40B4-BE49-F238E27FC236}">
              <a16:creationId xmlns:a16="http://schemas.microsoft.com/office/drawing/2014/main" id="{835AE195-77C9-4129-A932-859481FA4CD9}"/>
            </a:ext>
          </a:extLst>
        </xdr:cNvPr>
        <xdr:cNvSpPr txBox="1"/>
      </xdr:nvSpPr>
      <xdr:spPr>
        <a:xfrm>
          <a:off x="2012944" y="7001611"/>
          <a:ext cx="1037321" cy="17210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K3-359/42/6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TRF 1P 50 ( CG106)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CA5-3</a:t>
          </a:r>
        </a:p>
      </xdr:txBody>
    </xdr:sp>
    <xdr:clientData/>
  </xdr:twoCellAnchor>
  <xdr:twoCellAnchor>
    <xdr:from>
      <xdr:col>12</xdr:col>
      <xdr:colOff>237075</xdr:colOff>
      <xdr:row>47</xdr:row>
      <xdr:rowOff>99236</xdr:rowOff>
    </xdr:from>
    <xdr:to>
      <xdr:col>15</xdr:col>
      <xdr:colOff>121087</xdr:colOff>
      <xdr:row>51</xdr:row>
      <xdr:rowOff>144956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180D8C6A-9F43-49AF-8148-70BD9FEC6EB3}"/>
            </a:ext>
          </a:extLst>
        </xdr:cNvPr>
        <xdr:cNvSpPr txBox="1"/>
      </xdr:nvSpPr>
      <xdr:spPr>
        <a:xfrm>
          <a:off x="4464518" y="7381306"/>
          <a:ext cx="1056830" cy="75471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91788</xdr:colOff>
      <xdr:row>40</xdr:row>
      <xdr:rowOff>141643</xdr:rowOff>
    </xdr:from>
    <xdr:to>
      <xdr:col>11</xdr:col>
      <xdr:colOff>358144</xdr:colOff>
      <xdr:row>45</xdr:row>
      <xdr:rowOff>134023</xdr:rowOff>
    </xdr:to>
    <xdr:sp macro="" textlink="">
      <xdr:nvSpPr>
        <xdr:cNvPr id="246" name="TextBox 157">
          <a:extLst>
            <a:ext uri="{FF2B5EF4-FFF2-40B4-BE49-F238E27FC236}">
              <a16:creationId xmlns:a16="http://schemas.microsoft.com/office/drawing/2014/main" id="{B2FCA1AC-1E8D-491D-9A86-1574962A6E14}"/>
            </a:ext>
          </a:extLst>
        </xdr:cNvPr>
        <xdr:cNvSpPr txBox="1"/>
      </xdr:nvSpPr>
      <xdr:spPr>
        <a:xfrm>
          <a:off x="3112894" y="6363149"/>
          <a:ext cx="1037321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220996</xdr:colOff>
      <xdr:row>42</xdr:row>
      <xdr:rowOff>53516</xdr:rowOff>
    </xdr:from>
    <xdr:to>
      <xdr:col>16</xdr:col>
      <xdr:colOff>96414</xdr:colOff>
      <xdr:row>47</xdr:row>
      <xdr:rowOff>45896</xdr:rowOff>
    </xdr:to>
    <xdr:sp macro="" textlink="">
      <xdr:nvSpPr>
        <xdr:cNvPr id="247" name="TextBox 157">
          <a:extLst>
            <a:ext uri="{FF2B5EF4-FFF2-40B4-BE49-F238E27FC236}">
              <a16:creationId xmlns:a16="http://schemas.microsoft.com/office/drawing/2014/main" id="{B975B63D-FD90-46AC-89A2-14CD15548924}"/>
            </a:ext>
          </a:extLst>
        </xdr:cNvPr>
        <xdr:cNvSpPr txBox="1"/>
      </xdr:nvSpPr>
      <xdr:spPr>
        <a:xfrm>
          <a:off x="4839379" y="6573586"/>
          <a:ext cx="1048235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322280</xdr:colOff>
      <xdr:row>35</xdr:row>
      <xdr:rowOff>134022</xdr:rowOff>
    </xdr:from>
    <xdr:to>
      <xdr:col>12</xdr:col>
      <xdr:colOff>206292</xdr:colOff>
      <xdr:row>40</xdr:row>
      <xdr:rowOff>111162</xdr:rowOff>
    </xdr:to>
    <xdr:sp macro="" textlink="">
      <xdr:nvSpPr>
        <xdr:cNvPr id="248" name="TextBox 157">
          <a:extLst>
            <a:ext uri="{FF2B5EF4-FFF2-40B4-BE49-F238E27FC236}">
              <a16:creationId xmlns:a16="http://schemas.microsoft.com/office/drawing/2014/main" id="{7815A008-B0A8-4D49-817A-6A85839B7D2B}"/>
            </a:ext>
          </a:extLst>
        </xdr:cNvPr>
        <xdr:cNvSpPr txBox="1"/>
      </xdr:nvSpPr>
      <xdr:spPr>
        <a:xfrm>
          <a:off x="3343386" y="5575598"/>
          <a:ext cx="1040459" cy="75707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K3-359/42/6/4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295113</xdr:colOff>
      <xdr:row>37</xdr:row>
      <xdr:rowOff>43907</xdr:rowOff>
    </xdr:from>
    <xdr:to>
      <xdr:col>17</xdr:col>
      <xdr:colOff>179124</xdr:colOff>
      <xdr:row>42</xdr:row>
      <xdr:rowOff>21047</xdr:rowOff>
    </xdr:to>
    <xdr:sp macro="" textlink="">
      <xdr:nvSpPr>
        <xdr:cNvPr id="250" name="TextBox 157">
          <a:extLst>
            <a:ext uri="{FF2B5EF4-FFF2-40B4-BE49-F238E27FC236}">
              <a16:creationId xmlns:a16="http://schemas.microsoft.com/office/drawing/2014/main" id="{B7E4F064-C4FF-4CFA-BE43-4547557683DB}"/>
            </a:ext>
          </a:extLst>
        </xdr:cNvPr>
        <xdr:cNvSpPr txBox="1"/>
      </xdr:nvSpPr>
      <xdr:spPr>
        <a:xfrm>
          <a:off x="5304435" y="5788724"/>
          <a:ext cx="1056828" cy="75239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307040</xdr:colOff>
      <xdr:row>30</xdr:row>
      <xdr:rowOff>111162</xdr:rowOff>
    </xdr:from>
    <xdr:to>
      <xdr:col>13</xdr:col>
      <xdr:colOff>191052</xdr:colOff>
      <xdr:row>35</xdr:row>
      <xdr:rowOff>103542</xdr:rowOff>
    </xdr:to>
    <xdr:sp macro="" textlink="">
      <xdr:nvSpPr>
        <xdr:cNvPr id="251" name="TextBox 157">
          <a:extLst>
            <a:ext uri="{FF2B5EF4-FFF2-40B4-BE49-F238E27FC236}">
              <a16:creationId xmlns:a16="http://schemas.microsoft.com/office/drawing/2014/main" id="{DBF98117-250C-428C-8801-DC78DB87FC8B}"/>
            </a:ext>
          </a:extLst>
        </xdr:cNvPr>
        <xdr:cNvSpPr txBox="1"/>
      </xdr:nvSpPr>
      <xdr:spPr>
        <a:xfrm>
          <a:off x="3713628" y="4790738"/>
          <a:ext cx="1040459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K3-359/42/6/6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15</xdr:col>
      <xdr:colOff>310177</xdr:colOff>
      <xdr:row>32</xdr:row>
      <xdr:rowOff>14421</xdr:rowOff>
    </xdr:from>
    <xdr:to>
      <xdr:col>18</xdr:col>
      <xdr:colOff>185594</xdr:colOff>
      <xdr:row>37</xdr:row>
      <xdr:rowOff>6801</xdr:rowOff>
    </xdr:to>
    <xdr:sp macro="" textlink="">
      <xdr:nvSpPr>
        <xdr:cNvPr id="253" name="TextBox 157">
          <a:extLst>
            <a:ext uri="{FF2B5EF4-FFF2-40B4-BE49-F238E27FC236}">
              <a16:creationId xmlns:a16="http://schemas.microsoft.com/office/drawing/2014/main" id="{B248DC62-3E2E-4145-B5C5-B11FA97C6B27}"/>
            </a:ext>
          </a:extLst>
        </xdr:cNvPr>
        <xdr:cNvSpPr txBox="1"/>
      </xdr:nvSpPr>
      <xdr:spPr>
        <a:xfrm>
          <a:off x="5710438" y="4997238"/>
          <a:ext cx="1048234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67332</xdr:colOff>
      <xdr:row>25</xdr:row>
      <xdr:rowOff>77700</xdr:rowOff>
    </xdr:from>
    <xdr:to>
      <xdr:col>14</xdr:col>
      <xdr:colOff>333688</xdr:colOff>
      <xdr:row>30</xdr:row>
      <xdr:rowOff>85320</xdr:rowOff>
    </xdr:to>
    <xdr:sp macro="" textlink="">
      <xdr:nvSpPr>
        <xdr:cNvPr id="254" name="TextBox 157">
          <a:extLst>
            <a:ext uri="{FF2B5EF4-FFF2-40B4-BE49-F238E27FC236}">
              <a16:creationId xmlns:a16="http://schemas.microsoft.com/office/drawing/2014/main" id="{50E3A1A8-8155-46CF-86EA-4DC5CE616174}"/>
            </a:ext>
          </a:extLst>
        </xdr:cNvPr>
        <xdr:cNvSpPr txBox="1"/>
      </xdr:nvSpPr>
      <xdr:spPr>
        <a:xfrm>
          <a:off x="4294775" y="4006970"/>
          <a:ext cx="1048235" cy="75636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K3-359/42/6/8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383240</xdr:colOff>
      <xdr:row>23</xdr:row>
      <xdr:rowOff>42582</xdr:rowOff>
    </xdr:from>
    <xdr:to>
      <xdr:col>11</xdr:col>
      <xdr:colOff>267251</xdr:colOff>
      <xdr:row>28</xdr:row>
      <xdr:rowOff>34962</xdr:rowOff>
    </xdr:to>
    <xdr:sp macro="" textlink="">
      <xdr:nvSpPr>
        <xdr:cNvPr id="256" name="TextBox 157">
          <a:extLst>
            <a:ext uri="{FF2B5EF4-FFF2-40B4-BE49-F238E27FC236}">
              <a16:creationId xmlns:a16="http://schemas.microsoft.com/office/drawing/2014/main" id="{038A3192-1229-4242-80A0-F127F33718F8}"/>
            </a:ext>
          </a:extLst>
        </xdr:cNvPr>
        <xdr:cNvSpPr txBox="1"/>
      </xdr:nvSpPr>
      <xdr:spPr>
        <a:xfrm>
          <a:off x="3018864" y="3673288"/>
          <a:ext cx="1040458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K3-359/42/6/9/1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349175</xdr:colOff>
      <xdr:row>18</xdr:row>
      <xdr:rowOff>73062</xdr:rowOff>
    </xdr:from>
    <xdr:to>
      <xdr:col>7</xdr:col>
      <xdr:colOff>233187</xdr:colOff>
      <xdr:row>26</xdr:row>
      <xdr:rowOff>80682</xdr:rowOff>
    </xdr:to>
    <xdr:sp macro="" textlink="">
      <xdr:nvSpPr>
        <xdr:cNvPr id="257" name="TextBox 157">
          <a:extLst>
            <a:ext uri="{FF2B5EF4-FFF2-40B4-BE49-F238E27FC236}">
              <a16:creationId xmlns:a16="http://schemas.microsoft.com/office/drawing/2014/main" id="{E9EB5085-46FA-4DB0-8CCD-F5E5A2F0287F}"/>
            </a:ext>
          </a:extLst>
        </xdr:cNvPr>
        <xdr:cNvSpPr txBox="1"/>
      </xdr:nvSpPr>
      <xdr:spPr>
        <a:xfrm>
          <a:off x="1442869" y="2941768"/>
          <a:ext cx="1040459" cy="122682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K3-359/42/6/9/2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18</xdr:col>
      <xdr:colOff>388308</xdr:colOff>
      <xdr:row>26</xdr:row>
      <xdr:rowOff>108452</xdr:rowOff>
    </xdr:from>
    <xdr:to>
      <xdr:col>21</xdr:col>
      <xdr:colOff>272318</xdr:colOff>
      <xdr:row>36</xdr:row>
      <xdr:rowOff>53008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7555AAA6-7801-4656-A79B-B56125663DF4}"/>
            </a:ext>
          </a:extLst>
        </xdr:cNvPr>
        <xdr:cNvSpPr txBox="1"/>
      </xdr:nvSpPr>
      <xdr:spPr>
        <a:xfrm>
          <a:off x="6961386" y="4190122"/>
          <a:ext cx="1056828" cy="1455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K3-359/42/6/9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18</xdr:col>
      <xdr:colOff>348552</xdr:colOff>
      <xdr:row>14</xdr:row>
      <xdr:rowOff>95200</xdr:rowOff>
    </xdr:from>
    <xdr:to>
      <xdr:col>21</xdr:col>
      <xdr:colOff>232562</xdr:colOff>
      <xdr:row>24</xdr:row>
      <xdr:rowOff>26503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733377C5-56AC-4CA1-B1E4-43B279985972}"/>
            </a:ext>
          </a:extLst>
        </xdr:cNvPr>
        <xdr:cNvSpPr txBox="1"/>
      </xdr:nvSpPr>
      <xdr:spPr>
        <a:xfrm>
          <a:off x="6921630" y="2348070"/>
          <a:ext cx="1056828" cy="1455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13</xdr:col>
      <xdr:colOff>151716</xdr:colOff>
      <xdr:row>9</xdr:row>
      <xdr:rowOff>2435</xdr:rowOff>
    </xdr:from>
    <xdr:to>
      <xdr:col>16</xdr:col>
      <xdr:colOff>35727</xdr:colOff>
      <xdr:row>13</xdr:row>
      <xdr:rowOff>140588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D76AB949-FF52-4CEA-BD5A-0C4E9C646612}"/>
            </a:ext>
          </a:extLst>
        </xdr:cNvPr>
        <xdr:cNvSpPr txBox="1"/>
      </xdr:nvSpPr>
      <xdr:spPr>
        <a:xfrm>
          <a:off x="4770099" y="1486678"/>
          <a:ext cx="1056828" cy="7543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316434</xdr:colOff>
      <xdr:row>1</xdr:row>
      <xdr:rowOff>125680</xdr:rowOff>
    </xdr:from>
    <xdr:to>
      <xdr:col>11</xdr:col>
      <xdr:colOff>200447</xdr:colOff>
      <xdr:row>9</xdr:row>
      <xdr:rowOff>27283</xdr:rowOff>
    </xdr:to>
    <xdr:sp macro="" textlink="">
      <xdr:nvSpPr>
        <xdr:cNvPr id="262" name="TextBox 157">
          <a:extLst>
            <a:ext uri="{FF2B5EF4-FFF2-40B4-BE49-F238E27FC236}">
              <a16:creationId xmlns:a16="http://schemas.microsoft.com/office/drawing/2014/main" id="{ABB4A827-B078-4D72-9648-23F21E53F6A7}"/>
            </a:ext>
          </a:extLst>
        </xdr:cNvPr>
        <xdr:cNvSpPr txBox="1"/>
      </xdr:nvSpPr>
      <xdr:spPr>
        <a:xfrm>
          <a:off x="2980121" y="284706"/>
          <a:ext cx="1056830" cy="122682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116541</xdr:colOff>
      <xdr:row>4</xdr:row>
      <xdr:rowOff>152400</xdr:rowOff>
    </xdr:from>
    <xdr:to>
      <xdr:col>15</xdr:col>
      <xdr:colOff>327970</xdr:colOff>
      <xdr:row>35</xdr:row>
      <xdr:rowOff>109839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144FC-5916-928F-1189-B8C2D717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082" y="842682"/>
          <a:ext cx="8763759" cy="5425910"/>
        </a:xfrm>
        <a:prstGeom prst="rect">
          <a:avLst/>
        </a:prstGeom>
      </xdr:spPr>
    </xdr:pic>
    <xdr:clientData/>
  </xdr:twoCellAnchor>
  <xdr:twoCellAnchor editAs="oneCell">
    <xdr:from>
      <xdr:col>4</xdr:col>
      <xdr:colOff>286871</xdr:colOff>
      <xdr:row>7</xdr:row>
      <xdr:rowOff>0</xdr:rowOff>
    </xdr:from>
    <xdr:to>
      <xdr:col>9</xdr:col>
      <xdr:colOff>523687</xdr:colOff>
      <xdr:row>21</xdr:row>
      <xdr:rowOff>131660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3F2A60-7739-4874-BEA8-3B7B33F17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3" t="3333" r="7549"/>
        <a:stretch/>
      </xdr:blipFill>
      <xdr:spPr>
        <a:xfrm>
          <a:off x="1954306" y="1174376"/>
          <a:ext cx="3419287" cy="2605919"/>
        </a:xfrm>
        <a:prstGeom prst="rect">
          <a:avLst/>
        </a:prstGeom>
      </xdr:spPr>
    </xdr:pic>
    <xdr:clientData/>
  </xdr:twoCellAnchor>
  <xdr:twoCellAnchor editAs="oneCell">
    <xdr:from>
      <xdr:col>15</xdr:col>
      <xdr:colOff>394447</xdr:colOff>
      <xdr:row>4</xdr:row>
      <xdr:rowOff>143436</xdr:rowOff>
    </xdr:from>
    <xdr:to>
      <xdr:col>22</xdr:col>
      <xdr:colOff>114300</xdr:colOff>
      <xdr:row>35</xdr:row>
      <xdr:rowOff>146694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3E967C-D38A-9A3D-B34C-399B4542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6497" y="848286"/>
          <a:ext cx="4158503" cy="522295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4" t="s">
        <v>1133</v>
      </c>
      <c r="C4" s="514"/>
      <c r="D4" s="514"/>
      <c r="E4" s="514"/>
      <c r="F4" s="514"/>
      <c r="G4" s="514"/>
      <c r="H4" s="51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5" t="s">
        <v>0</v>
      </c>
      <c r="C7" s="515" t="s">
        <v>1</v>
      </c>
      <c r="D7" s="516" t="s">
        <v>42</v>
      </c>
      <c r="E7" s="516" t="s">
        <v>43</v>
      </c>
      <c r="F7" s="516" t="s">
        <v>1134</v>
      </c>
      <c r="G7" s="517" t="s">
        <v>41</v>
      </c>
      <c r="H7" s="513" t="s">
        <v>1042</v>
      </c>
      <c r="I7" s="513" t="s">
        <v>1136</v>
      </c>
      <c r="J7" s="513" t="s">
        <v>1026</v>
      </c>
      <c r="K7" s="507" t="s">
        <v>1024</v>
      </c>
      <c r="L7" s="508"/>
    </row>
    <row r="8" spans="1:12" ht="15" customHeight="1">
      <c r="B8" s="515"/>
      <c r="C8" s="515"/>
      <c r="D8" s="516"/>
      <c r="E8" s="516"/>
      <c r="F8" s="516"/>
      <c r="G8" s="517"/>
      <c r="H8" s="513"/>
      <c r="I8" s="513"/>
      <c r="J8" s="513"/>
      <c r="K8" s="509"/>
      <c r="L8" s="510"/>
    </row>
    <row r="9" spans="1:12" ht="15" customHeight="1">
      <c r="B9" s="515"/>
      <c r="C9" s="515"/>
      <c r="D9" s="516"/>
      <c r="E9" s="516"/>
      <c r="F9" s="516"/>
      <c r="G9" s="517"/>
      <c r="H9" s="513"/>
      <c r="I9" s="513"/>
      <c r="J9" s="513"/>
      <c r="K9" s="511"/>
      <c r="L9" s="51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74</v>
      </c>
      <c r="G12" s="41">
        <f ca="1">IF(ISERROR(OFFSET('HARGA SATUAN'!$I$6,MATCH(C12,'HARGA SATUAN'!$C$7:$C$1504,0),0)),"",OFFSET('HARGA SATUAN'!$I$6,MATCH(C12,'HARGA SATUAN'!$C$7:$C$1504,0),0))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74</v>
      </c>
      <c r="G13" s="41">
        <f ca="1">IF(ISERROR(OFFSET('HARGA SATUAN'!$I$6,MATCH(C13,'HARGA SATUAN'!$C$7:$C$1504,0),0)),"",OFFSET('HARGA SATUAN'!$I$6,MATCH(C13,'HARGA SATUAN'!$C$7:$C$1504,0),0))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2</v>
      </c>
      <c r="G14" s="41">
        <f ca="1">IF(ISERROR(OFFSET('HARGA SATUAN'!$I$6,MATCH(C14,'HARGA SATUAN'!$C$7:$C$1504,0),0)),"",OFFSET('HARGA SATUAN'!$I$6,MATCH(C14,'HARGA SATUAN'!$C$7:$C$1504,0),0))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Bh</v>
      </c>
      <c r="F15" s="138">
        <f t="shared" ca="1" si="2"/>
        <v>9</v>
      </c>
      <c r="G15" s="41">
        <f ca="1">IF(ISERROR(OFFSET('HARGA SATUAN'!$I$6,MATCH(C15,'HARGA SATUAN'!$C$7:$C$1504,0),0)),"",OFFSET('HARGA SATUAN'!$I$6,MATCH(C15,'HARGA SATUAN'!$C$7:$C$1504,0),0))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Mtr</v>
      </c>
      <c r="F16" s="138">
        <f t="shared" ca="1" si="2"/>
        <v>942</v>
      </c>
      <c r="G16" s="41">
        <f ca="1">IF(ISERROR(OFFSET('HARGA SATUAN'!$I$6,MATCH(C16,'HARGA SATUAN'!$C$7:$C$1504,0),0)),"",OFFSET('HARGA SATUAN'!$I$6,MATCH(C16,'HARGA SATUAN'!$C$7:$C$1504,0),0))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50 mm²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Mtr</v>
      </c>
      <c r="F17" s="138">
        <f t="shared" ca="1" si="2"/>
        <v>169</v>
      </c>
      <c r="G17" s="41">
        <f ca="1">IF(ISERROR(OFFSET('HARGA SATUAN'!$I$6,MATCH(C17,'HARGA SATUAN'!$C$7:$C$1504,0),0)),"",OFFSET('HARGA SATUAN'!$I$6,MATCH(C17,'HARGA SATUAN'!$C$7:$C$1504,0),0))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Mtr</v>
      </c>
      <c r="F18" s="138">
        <f t="shared" ca="1" si="2"/>
        <v>2590</v>
      </c>
      <c r="G18" s="41">
        <f ca="1">IF(ISERROR(OFFSET('HARGA SATUAN'!$I$6,MATCH(C18,'HARGA SATUAN'!$C$7:$C$1504,0),0)),"",OFFSET('HARGA SATUAN'!$I$6,MATCH(C18,'HARGA SATUAN'!$C$7:$C$1504,0),0))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38" t="str">
        <f t="shared" ca="1" si="2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38" t="str">
        <f t="shared" ca="1" si="2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38" t="str">
        <f t="shared" ca="1" si="2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38" t="str">
        <f t="shared" ca="1" si="2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38" t="str">
        <f t="shared" ca="1" si="2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38" t="str">
        <f t="shared" ca="1" si="2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38" t="str">
        <f t="shared" ca="1" si="2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38" t="str">
        <f t="shared" ca="1" si="2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SUMIFS(RAB!$F$14:$F$173,RAB!$C$14:$C$173,C714)</f>
        <v>74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SUMIFS(RAB!$F$14:$F$173,RAB!$C$14:$C$173,C715)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SUMIFS(RAB!$F$14:$F$173,RAB!$C$14:$C$173,C716)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SUMIFS(RAB!$F$14:$F$173,RAB!$C$14:$C$173,C717)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SUMIFS(RAB!$F$14:$F$173,RAB!$C$14:$C$173,C718)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SUMIFS(RAB!$F$14:$F$173,RAB!$C$14:$C$173,C719)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SUMIFS(RAB!$F$14:$F$173,RAB!$C$14:$C$173,C720)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SUMIFS(RAB!$F$14:$F$173,RAB!$C$14:$C$173,C721)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SUMIFS(RAB!$F$14:$F$173,RAB!$C$14:$C$173,C722)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SUMIFS(RAB!$F$14:$F$173,RAB!$C$14:$C$173,C723)</f>
        <v>74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SUMIFS(RAB!$F$14:$F$173,RAB!$C$14:$C$173,C724)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SUMIFS(RAB!$F$14:$F$173,RAB!$C$14:$C$173,C725)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SUMIFS(RAB!$F$14:$F$173,RAB!$C$14:$C$173,C726)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SUMIFS(RAB!$F$14:$F$173,RAB!$C$14:$C$173,C727)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SUMIFS(RAB!$F$14:$F$173,RAB!$C$14:$C$173,C728)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SUMIFS(RAB!$F$14:$F$173,RAB!$C$14:$C$173,C729)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SUMIFS(RAB!$F$14:$F$173,RAB!$C$14:$C$173,C730)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SUMIFS(RAB!$F$14:$F$173,RAB!$C$14:$C$173,C731)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SUMIFS(RAB!$F$14:$F$173,RAB!$C$14:$C$173,C732)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SUMIFS(RAB!$F$14:$F$173,RAB!$C$14:$C$173,C733)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SUMIFS(RAB!$F$14:$F$173,RAB!$C$14:$C$173,C734)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SUMIFS(RAB!$F$14:$F$173,RAB!$C$14:$C$173,C735)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SUMIFS(RAB!$F$14:$F$173,RAB!$C$14:$C$173,C736)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SUMIFS(RAB!$F$14:$F$173,RAB!$C$14:$C$173,C737)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SUMIFS(RAB!$F$14:$F$173,RAB!$C$14:$C$173,C738)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SUMIFS(RAB!$F$14:$F$173,RAB!$C$14:$C$173,C739)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SUMIFS(RAB!$F$14:$F$173,RAB!$C$14:$C$173,C740)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SUMIFS(RAB!$F$14:$F$173,RAB!$C$14:$C$173,C741)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SUMIFS(RAB!$F$14:$F$173,RAB!$C$14:$C$173,C742)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SUMIFS(RAB!$F$14:$F$173,RAB!$C$14:$C$173,C743)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SUMIFS(RAB!$F$14:$F$173,RAB!$C$14:$C$173,C744)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SUMIFS(RAB!$F$14:$F$173,RAB!$C$14:$C$173,C745)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SUMIFS(RAB!$F$14:$F$173,RAB!$C$14:$C$173,C746)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SUMIFS(RAB!$F$14:$F$173,RAB!$C$14:$C$173,C747)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SUMIFS(RAB!$F$14:$F$173,RAB!$C$14:$C$173,C748)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SUMIFS(RAB!$F$14:$F$173,RAB!$C$14:$C$173,C749)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SUMIFS(RAB!$F$14:$F$173,RAB!$C$14:$C$173,C750)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SUMIFS(RAB!$F$14:$F$173,RAB!$C$14:$C$173,C751)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SUMIFS(RAB!$F$14:$F$173,RAB!$C$14:$C$173,C752)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SUMIFS(RAB!$F$14:$F$173,RAB!$C$14:$C$173,C753)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SUMIFS(RAB!$F$14:$F$173,RAB!$C$14:$C$173,C754)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SUMIFS(RAB!$F$14:$F$173,RAB!$C$14:$C$173,C755)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SUMIFS(RAB!$F$14:$F$173,RAB!$C$14:$C$173,C756)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SUMIFS(RAB!$F$14:$F$173,RAB!$C$14:$C$173,C757)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SUMIFS(RAB!$F$14:$F$173,RAB!$C$14:$C$173,C758)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SUMIFS(RAB!$F$14:$F$173,RAB!$C$14:$C$173,C759)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SUMIFS(RAB!$F$14:$F$173,RAB!$C$14:$C$173,C760)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SUMIFS(RAB!$F$14:$F$173,RAB!$C$14:$C$173,C761)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SUMIFS(RAB!$F$14:$F$173,RAB!$C$14:$C$173,C762)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SUMIFS(RAB!$F$14:$F$173,RAB!$C$14:$C$173,C763)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SUMIFS(RAB!$F$14:$F$173,RAB!$C$14:$C$173,C764)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SUMIFS(RAB!$F$14:$F$173,RAB!$C$14:$C$173,C765)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SUMIFS(RAB!$F$14:$F$173,RAB!$C$14:$C$173,C766)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SUMIFS(RAB!$F$14:$F$173,RAB!$C$14:$C$173,C767)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SUMIFS(RAB!$F$14:$F$173,RAB!$C$14:$C$173,C768)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SUMIFS(RAB!$F$14:$F$173,RAB!$C$14:$C$173,C769)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SUMIFS(RAB!$F$14:$F$173,RAB!$C$14:$C$173,C770)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SUMIFS(RAB!$F$14:$F$173,RAB!$C$14:$C$173,C771)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SUMIFS(RAB!$F$14:$F$173,RAB!$C$14:$C$173,C772)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SUMIFS(RAB!$F$14:$F$173,RAB!$C$14:$C$173,C773)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SUMIFS(RAB!$F$14:$F$173,RAB!$C$14:$C$173,C774)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SUMIFS(RAB!$F$14:$F$173,RAB!$C$14:$C$173,C775)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SUMIFS(RAB!$F$14:$F$173,RAB!$C$14:$C$173,C776)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SUMIFS(RAB!$F$14:$F$173,RAB!$C$14:$C$173,C777)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SUMIFS(RAB!$F$14:$F$173,RAB!$C$14:$C$173,C778)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SUMIFS(RAB!$F$14:$F$173,RAB!$C$14:$C$173,C779)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SUMIFS(RAB!$F$14:$F$173,RAB!$C$14:$C$173,C780)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SUMIFS(RAB!$F$14:$F$173,RAB!$C$14:$C$173,C781)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SUMIFS(RAB!$F$14:$F$173,RAB!$C$14:$C$173,C782)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SUMIFS(RAB!$F$14:$F$173,RAB!$C$14:$C$173,C783)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SUMIFS(RAB!$F$14:$F$173,RAB!$C$14:$C$173,C784)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SUMIFS(RAB!$F$14:$F$173,RAB!$C$14:$C$173,C785)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SUMIFS(RAB!$F$14:$F$173,RAB!$C$14:$C$173,C786)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SUMIFS(RAB!$F$14:$F$173,RAB!$C$14:$C$173,C787)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SUMIFS(RAB!$F$14:$F$173,RAB!$C$14:$C$173,C788)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SUMIFS(RAB!$F$14:$F$173,RAB!$C$14:$C$173,C789)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SUMIFS(RAB!$F$14:$F$173,RAB!$C$14:$C$173,C790)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SUMIFS(RAB!$F$14:$F$173,RAB!$C$14:$C$173,C791)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SUMIFS(RAB!$F$14:$F$173,RAB!$C$14:$C$173,C792)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SUMIFS(RAB!$F$14:$F$173,RAB!$C$14:$C$173,C793)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SUMIFS(RAB!$F$14:$F$173,RAB!$C$14:$C$173,C794)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SUMIFS(RAB!$F$14:$F$173,RAB!$C$14:$C$173,C795)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SUMIFS(RAB!$F$14:$F$173,RAB!$C$14:$C$173,C796)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SUMIFS(RAB!$F$14:$F$173,RAB!$C$14:$C$173,C797)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SUMIFS(RAB!$F$14:$F$173,RAB!$C$14:$C$173,C798)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SUMIFS(RAB!$F$14:$F$173,RAB!$C$14:$C$173,C799)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SUMIFS(RAB!$F$14:$F$173,RAB!$C$14:$C$173,C800)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SUMIFS(RAB!$F$14:$F$173,RAB!$C$14:$C$173,C801)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SUMIFS(RAB!$F$14:$F$173,RAB!$C$14:$C$173,C802)</f>
        <v>2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SUMIFS(RAB!$F$14:$F$173,RAB!$C$14:$C$173,C803)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SUMIFS(RAB!$F$14:$F$173,RAB!$C$14:$C$173,C804)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SUMIFS(RAB!$F$14:$F$173,RAB!$C$14:$C$173,C805)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SUMIFS(RAB!$F$14:$F$173,RAB!$C$14:$C$173,C806)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SUMIFS(RAB!$F$14:$F$173,RAB!$C$14:$C$173,C807)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SUMIFS(RAB!$F$14:$F$173,RAB!$C$14:$C$173,C808)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SUMIFS(RAB!$F$14:$F$173,RAB!$C$14:$C$173,C809)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SUMIFS(RAB!$F$14:$F$173,RAB!$C$14:$C$173,C810)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SUMIFS(RAB!$F$14:$F$173,RAB!$C$14:$C$173,C811)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SUMIFS(RAB!$F$14:$F$173,RAB!$C$14:$C$173,C812)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SUMIFS(RAB!$F$14:$F$173,RAB!$C$14:$C$173,C813)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SUMIFS(RAB!$F$14:$F$173,RAB!$C$14:$C$173,C814)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SUMIFS(RAB!$F$14:$F$173,RAB!$C$14:$C$173,C815)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SUMIFS(RAB!$F$14:$F$173,RAB!$C$14:$C$173,C816)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SUMIFS(RAB!$F$14:$F$173,RAB!$C$14:$C$173,C817)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SUMIFS(RAB!$F$14:$F$173,RAB!$C$14:$C$173,C818)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SUMIFS(RAB!$F$14:$F$173,RAB!$C$14:$C$173,C819)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139">
        <f ca="1">SUMIFS(RAB!$F$14:$F$173,RAB!$C$14:$C$173,C820)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</v>
      </c>
      <c r="D821" s="139">
        <f ca="1">SUMIFS(RAB!$F$14:$F$173,RAB!$C$14:$C$173,C821)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139">
        <f ca="1">SUMIFS(RAB!$F$14:$F$173,RAB!$C$14:$C$173,C822)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139">
        <f ca="1">SUMIFS(RAB!$F$14:$F$173,RAB!$C$14:$C$173,C823)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139">
        <f ca="1">SUMIFS(RAB!$F$14:$F$173,RAB!$C$14:$C$173,C824)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Pin Post ) 20 KV</v>
      </c>
      <c r="D825" s="139">
        <f ca="1">SUMIFS(RAB!$F$14:$F$173,RAB!$C$14:$C$173,C825)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Tumpu ( Line Post ) 20 KV</v>
      </c>
      <c r="D826" s="139">
        <f ca="1">SUMIFS(RAB!$F$14:$F$173,RAB!$C$14:$C$173,C826)</f>
        <v>9</v>
      </c>
      <c r="E826" s="26">
        <f t="shared" ca="1" si="34"/>
        <v>1</v>
      </c>
      <c r="F826" s="26">
        <f ca="1">IF(D826=0,0,SUM($E$713:E826))</f>
        <v>4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139">
        <f ca="1">SUMIFS(RAB!$F$14:$F$173,RAB!$C$14:$C$173,C827)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139">
        <f ca="1">SUMIFS(RAB!$F$14:$F$173,RAB!$C$14:$C$173,C828)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139">
        <f ca="1">SUMIFS(RAB!$F$14:$F$173,RAB!$C$14:$C$173,C829)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70 mm²</v>
      </c>
      <c r="D830" s="139">
        <f ca="1">SUMIFS(RAB!$F$14:$F$173,RAB!$C$14:$C$173,C830)</f>
        <v>942</v>
      </c>
      <c r="E830" s="26">
        <f t="shared" ca="1" si="34"/>
        <v>1</v>
      </c>
      <c r="F830" s="26">
        <f ca="1">IF(D830=0,0,SUM($E$713:E830))</f>
        <v>5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150 mm²</v>
      </c>
      <c r="D831" s="139">
        <f ca="1">SUMIFS(RAB!$F$14:$F$173,RAB!$C$14:$C$173,C831)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 240 mm²</v>
      </c>
      <c r="D832" s="139">
        <f ca="1">SUMIFS(RAB!$F$14:$F$173,RAB!$C$14:$C$173,C832)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70 mm²</v>
      </c>
      <c r="D833" s="139">
        <f ca="1">SUMIFS(RAB!$F$14:$F$173,RAB!$C$14:$C$173,C833)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150 mm²</v>
      </c>
      <c r="D834" s="139">
        <f ca="1">SUMIFS(RAB!$F$14:$F$173,RAB!$C$14:$C$173,C834)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AAAC/S 240 mm²</v>
      </c>
      <c r="D835" s="139">
        <f ca="1">SUMIFS(RAB!$F$14:$F$173,RAB!$C$14:$C$173,C835)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50 mm²</v>
      </c>
      <c r="D836" s="139">
        <f ca="1">SUMIFS(RAB!$F$14:$F$173,RAB!$C$14:$C$173,C836)</f>
        <v>169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2 x 70 + N 70 mm²</v>
      </c>
      <c r="D837" s="139">
        <f ca="1">SUMIFS(RAB!$F$14:$F$173,RAB!$C$14:$C$173,C837)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3x35+1x35</v>
      </c>
      <c r="D838" s="139">
        <f ca="1">SUMIFS(RAB!$F$14:$F$173,RAB!$C$14:$C$173,C838)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 x 70 + N 50 mm²</v>
      </c>
      <c r="D839" s="139">
        <f ca="1">SUMIFS(RAB!$F$14:$F$173,RAB!$C$14:$C$173,C839)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NFA2X-T 3x70+1x70</v>
      </c>
      <c r="D840" s="139">
        <f ca="1">SUMIFS(RAB!$F$14:$F$173,RAB!$C$14:$C$173,C840)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10 mm²</v>
      </c>
      <c r="D841" s="139">
        <f ca="1">SUMIFS(RAB!$F$14:$F$173,RAB!$C$14:$C$173,C841)</f>
        <v>2590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2 x 16 mm²</v>
      </c>
      <c r="D842" s="139">
        <f ca="1">SUMIFS(RAB!$F$14:$F$173,RAB!$C$14:$C$173,C842)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16 mm²</v>
      </c>
      <c r="D843" s="139">
        <f ca="1">SUMIFS(RAB!$F$14:$F$173,RAB!$C$14:$C$173,C843)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NFA2X 4 x 70 mm²</v>
      </c>
      <c r="D844" s="139">
        <f ca="1">SUMIFS(RAB!$F$14:$F$173,RAB!$C$14:$C$173,C844)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70 mm²</v>
      </c>
      <c r="D845" s="139">
        <f ca="1">SUMIFS(RAB!$F$14:$F$173,RAB!$C$14:$C$173,C845)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95 mm²</v>
      </c>
      <c r="D846" s="139">
        <f ca="1">SUMIFS(RAB!$F$14:$F$173,RAB!$C$14:$C$173,C846)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150 mm²</v>
      </c>
      <c r="D847" s="139">
        <f ca="1">SUMIFS(RAB!$F$14:$F$173,RAB!$C$14:$C$173,C847)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1 x 240 mm²</v>
      </c>
      <c r="D848" s="139">
        <f ca="1">SUMIFS(RAB!$F$14:$F$173,RAB!$C$14:$C$173,C848)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NYY 4 x 70 mm²</v>
      </c>
      <c r="D849" s="139">
        <f ca="1">SUMIFS(RAB!$F$14:$F$173,RAB!$C$14:$C$173,C849)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150 mm²</v>
      </c>
      <c r="D850" s="139">
        <f ca="1">SUMIFS(RAB!$F$14:$F$173,RAB!$C$14:$C$173,C850)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240 mm²</v>
      </c>
      <c r="D851" s="139">
        <f ca="1">SUMIFS(RAB!$F$14:$F$173,RAB!$C$14:$C$173,C851)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Kabel NA2XSEYBY 20 KV, 3 x 300 mm²</v>
      </c>
      <c r="D852" s="139">
        <f ca="1">SUMIFS(RAB!$F$14:$F$173,RAB!$C$14:$C$173,C852)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150 + N 95 mm²</v>
      </c>
      <c r="D853" s="139">
        <f ca="1">SUMIFS(RAB!$F$14:$F$173,RAB!$C$14:$C$173,C853)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MVTIC 3 x 240 + N 95 mm²</v>
      </c>
      <c r="D854" s="139">
        <f ca="1">SUMIFS(RAB!$F$14:$F$173,RAB!$C$14:$C$173,C854)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139">
        <f ca="1">SUMIFS(RAB!$F$14:$F$173,RAB!$C$14:$C$173,C855)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Modem 3G/4G</v>
      </c>
      <c r="D856" s="139">
        <f ca="1">SUMIFS(RAB!$F$14:$F$173,RAB!$C$14:$C$173,C856)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40 A</v>
      </c>
      <c r="D857" s="139">
        <f ca="1">SUMIFS(RAB!$F$14:$F$173,RAB!$C$14:$C$173,C857)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63 A</v>
      </c>
      <c r="D858" s="139">
        <f ca="1">SUMIFS(RAB!$F$14:$F$173,RAB!$C$14:$C$173,C858)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80 A</v>
      </c>
      <c r="D859" s="139">
        <f ca="1">SUMIFS(RAB!$F$14:$F$173,RAB!$C$14:$C$173,C859)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1 Fasa 100 A</v>
      </c>
      <c r="D860" s="139">
        <f ca="1">SUMIFS(RAB!$F$14:$F$173,RAB!$C$14:$C$173,C860)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80 A</v>
      </c>
      <c r="D861" s="139">
        <f ca="1">SUMIFS(RAB!$F$14:$F$173,RAB!$C$14:$C$173,C861)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100 A</v>
      </c>
      <c r="D862" s="139">
        <f ca="1">SUMIFS(RAB!$F$14:$F$173,RAB!$C$14:$C$173,C862)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125 A</v>
      </c>
      <c r="D863" s="139">
        <f ca="1">SUMIFS(RAB!$F$14:$F$173,RAB!$C$14:$C$173,C863)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160 A</v>
      </c>
      <c r="D864" s="139">
        <f ca="1">SUMIFS(RAB!$F$14:$F$173,RAB!$C$14:$C$173,C864)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200 A</v>
      </c>
      <c r="D865" s="139">
        <f ca="1">SUMIFS(RAB!$F$14:$F$173,RAB!$C$14:$C$173,C865)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225 A</v>
      </c>
      <c r="D866" s="139">
        <f ca="1">SUMIFS(RAB!$F$14:$F$173,RAB!$C$14:$C$173,C866)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250 A</v>
      </c>
      <c r="D867" s="139">
        <f ca="1">SUMIFS(RAB!$F$14:$F$173,RAB!$C$14:$C$173,C867)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>MCCB 3 Fasa 300 A</v>
      </c>
      <c r="D868" s="139">
        <f ca="1">SUMIFS(RAB!$F$14:$F$173,RAB!$C$14:$C$173,C868)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50/5 A - 300/5 A Class 0.5s </v>
      </c>
      <c r="D869" s="139">
        <f ca="1">SUMIFS(RAB!$F$14:$F$173,RAB!$C$14:$C$173,C869)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 xml:space="preserve">CT TR ; Burden 5 VA; 100/5 A Class 0.5s </v>
      </c>
      <c r="D870" s="139">
        <f ca="1">SUMIFS(RAB!$F$14:$F$173,RAB!$C$14:$C$173,C870)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SUMIFS(RAB!$F$14:$F$173,RAB!$C$14:$C$173,C871)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SUMIFS(RAB!$F$14:$F$173,RAB!$C$14:$C$173,C872)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SUMIFS(RAB!$F$14:$F$173,RAB!$C$14:$C$173,C873)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SUMIFS(RAB!$F$14:$F$173,RAB!$C$14:$C$173,C874)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SUMIFS(RAB!$F$14:$F$173,RAB!$C$14:$C$173,C875)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SUMIFS(RAB!$F$14:$F$173,RAB!$C$14:$C$173,C876)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SUMIFS(RAB!$F$14:$F$173,RAB!$C$14:$C$173,C877)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SUMIFS(RAB!$F$14:$F$173,RAB!$C$14:$C$173,C878)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SUMIFS(RAB!$F$14:$F$173,RAB!$C$14:$C$173,C879)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SUMIFS(RAB!$F$14:$F$173,RAB!$C$14:$C$173,C880)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SUMIFS(RAB!$F$14:$F$173,RAB!$C$14:$C$173,C881)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SUMIFS(RAB!$F$14:$F$173,RAB!$C$14:$C$173,C882)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SUMIFS(RAB!$F$14:$F$173,RAB!$C$14:$C$173,C883)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SUMIFS(RAB!$F$14:$F$173,RAB!$C$14:$C$173,C884)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SUMIFS(RAB!$F$14:$F$173,RAB!$C$14:$C$173,C885)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SUMIFS(RAB!$F$14:$F$173,RAB!$C$14:$C$173,C886)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SUMIFS(RAB!$F$14:$F$173,RAB!$C$14:$C$173,C887)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SUMIFS(RAB!$F$14:$F$173,RAB!$C$14:$C$173,C888)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SUMIFS(RAB!$F$14:$F$173,RAB!$C$14:$C$173,C889)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SUMIFS(RAB!$F$14:$F$173,RAB!$C$14:$C$173,C890)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SUMIFS(RAB!$F$14:$F$173,RAB!$C$14:$C$173,C891)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SUMIFS(RAB!$F$14:$F$173,RAB!$C$14:$C$173,C892)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SUMIFS(RAB!$F$14:$F$173,RAB!$C$14:$C$173,C893)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SUMIFS(RAB!$F$14:$F$173,RAB!$C$14:$C$173,C894)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SUMIFS(RAB!$F$14:$F$173,RAB!$C$14:$C$173,C895)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SUMIFS(RAB!$F$14:$F$173,RAB!$C$14:$C$173,C896)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SUMIFS(RAB!$F$14:$F$173,RAB!$C$14:$C$173,C897)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SUMIFS(RAB!$F$14:$F$173,RAB!$C$14:$C$173,C898)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SUMIFS(RAB!$F$14:$F$173,RAB!$C$14:$C$173,C899)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SUMIFS(RAB!$F$14:$F$173,RAB!$C$14:$C$173,C900)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SUMIFS(RAB!$F$14:$F$173,RAB!$C$14:$C$173,C901)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SUMIFS(RAB!$F$14:$F$173,RAB!$C$14:$C$173,C902)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SUMIFS(RAB!$F$14:$F$173,RAB!$C$14:$C$173,C903)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SUMIFS(RAB!$F$14:$F$173,RAB!$C$14:$C$173,C904)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SUMIFS(RAB!$F$14:$F$173,RAB!$C$14:$C$173,C905)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SUMIFS(RAB!$F$14:$F$173,RAB!$C$14:$C$173,C906)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SUMIFS(RAB!$F$14:$F$173,RAB!$C$14:$C$173,C907)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SUMIFS(RAB!$F$14:$F$173,RAB!$C$14:$C$173,C908)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SUMIFS(RAB!$F$14:$F$173,RAB!$C$14:$C$173,C909)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SUMIFS(RAB!$F$14:$F$173,RAB!$C$14:$C$173,C910)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SUMIFS(RAB!$F$14:$F$173,RAB!$C$14:$C$173,C911)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SUMIFS(RAB!$F$14:$F$173,RAB!$C$14:$C$173,C912)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SUMIFS(RAB!$F$14:$F$173,RAB!$C$14:$C$173,C913)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SUMIFS(RAB!$F$14:$F$173,RAB!$C$14:$C$173,C914)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SUMIFS(RAB!$F$14:$F$173,RAB!$C$14:$C$173,C915)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SUMIFS(RAB!$F$14:$F$173,RAB!$C$14:$C$173,C916)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SUMIFS(RAB!$F$14:$F$173,RAB!$C$14:$C$173,C917)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SUMIFS(RAB!$F$14:$F$173,RAB!$C$14:$C$173,C918)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SUMIFS(RAB!$F$14:$F$173,RAB!$C$14:$C$173,C919)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SUMIFS(RAB!$F$14:$F$173,RAB!$C$14:$C$173,C920)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SUMIFS(RAB!$F$14:$F$173,RAB!$C$14:$C$173,C921)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SUMIFS(RAB!$F$14:$F$173,RAB!$C$14:$C$173,C922)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SUMIFS(RAB!$F$14:$F$173,RAB!$C$14:$C$173,C923)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SUMIFS(RAB!$F$14:$F$173,RAB!$C$14:$C$173,C924)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SUMIFS(RAB!$F$14:$F$173,RAB!$C$14:$C$173,C925)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SUMIFS(RAB!$F$14:$F$173,RAB!$C$14:$C$173,C926)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SUMIFS(RAB!$F$14:$F$173,RAB!$C$14:$C$173,C927)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SUMIFS(RAB!$F$14:$F$173,RAB!$C$14:$C$173,C928)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SUMIFS(RAB!$F$14:$F$173,RAB!$C$14:$C$173,C929)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SUMIFS(RAB!$F$14:$F$173,RAB!$C$14:$C$173,C930)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SUMIFS(RAB!$F$14:$F$173,RAB!$C$14:$C$173,C931)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SUMIFS(RAB!$F$14:$F$173,RAB!$C$14:$C$173,C932)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SUMIFS(RAB!$F$14:$F$173,RAB!$C$14:$C$173,C933)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SUMIFS(RAB!$F$14:$F$173,RAB!$C$14:$C$173,C934)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SUMIFS(RAB!$F$14:$F$173,RAB!$C$14:$C$173,C935)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SUMIFS(RAB!$F$14:$F$173,RAB!$C$14:$C$173,C936)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SUMIFS(RAB!$F$14:$F$173,RAB!$C$14:$C$173,C937)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SUMIFS(RAB!$F$14:$F$173,RAB!$C$14:$C$173,C938)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SUMIFS(RAB!$F$14:$F$173,RAB!$C$14:$C$173,C939)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SUMIFS(RAB!$F$14:$F$173,RAB!$C$14:$C$173,C940)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SUMIFS(RAB!$F$14:$F$173,RAB!$C$14:$C$173,C941)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SUMIFS(RAB!$F$14:$F$173,RAB!$C$14:$C$173,C942)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SUMIFS(RAB!$F$14:$F$173,RAB!$C$14:$C$173,C943)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SUMIFS(RAB!$F$14:$F$173,RAB!$C$14:$C$173,C944)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SUMIFS(RAB!$F$14:$F$173,RAB!$C$14:$C$173,C945)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SUMIFS(RAB!$F$14:$F$173,RAB!$C$14:$C$173,C946)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SUMIFS(RAB!$F$14:$F$173,RAB!$C$14:$C$173,C947)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SUMIFS(RAB!$F$14:$F$173,RAB!$C$14:$C$173,C948)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SUMIFS(RAB!$F$14:$F$173,RAB!$C$14:$C$173,C949)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SUMIFS(RAB!$F$14:$F$173,RAB!$C$14:$C$173,C950)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SUMIFS(RAB!$F$14:$F$173,RAB!$C$14:$C$173,C951)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SUMIFS(RAB!$F$14:$F$173,RAB!$C$14:$C$173,C952)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SUMIFS(RAB!$F$14:$F$173,RAB!$C$14:$C$173,C953)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SUMIFS(RAB!$F$14:$F$173,RAB!$C$14:$C$173,C954)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SUMIFS(RAB!$F$14:$F$173,RAB!$C$14:$C$173,C955)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SUMIFS(RAB!$F$14:$F$173,RAB!$C$14:$C$173,C956)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SUMIFS(RAB!$F$14:$F$173,RAB!$C$14:$C$173,C957)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SUMIFS(RAB!$F$14:$F$173,RAB!$C$14:$C$173,C958)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SUMIFS(RAB!$F$14:$F$173,RAB!$C$14:$C$173,C959)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SUMIFS(RAB!$F$14:$F$173,RAB!$C$14:$C$173,C960)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SUMIFS(RAB!$F$14:$F$173,RAB!$C$14:$C$173,C961)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SUMIFS(RAB!$F$14:$F$173,RAB!$C$14:$C$173,C962)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SUMIFS(RAB!$F$14:$F$173,RAB!$C$14:$C$173,C963)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SUMIFS(RAB!$F$14:$F$173,RAB!$C$14:$C$173,C964)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SUMIFS(RAB!$F$14:$F$173,RAB!$C$14:$C$173,C965)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SUMIFS(RAB!$F$14:$F$173,RAB!$C$14:$C$173,C966)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SUMIFS(RAB!$F$14:$F$173,RAB!$C$14:$C$173,C967)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SUMIFS(RAB!$F$14:$F$173,RAB!$C$14:$C$173,C968)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SUMIFS(RAB!$F$14:$F$173,RAB!$C$14:$C$173,C969)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SUMIFS(RAB!$F$14:$F$173,RAB!$C$14:$C$173,C970)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SUMIFS(RAB!$F$14:$F$173,RAB!$C$14:$C$173,C971)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SUMIFS(RAB!$F$14:$F$173,RAB!$C$14:$C$173,C972)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SUMIFS(RAB!$F$14:$F$173,RAB!$C$14:$C$173,C973)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SUMIFS(RAB!$F$14:$F$173,RAB!$C$14:$C$173,C974)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SUMIFS(RAB!$F$14:$F$173,RAB!$C$14:$C$173,C975)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SUMIFS(RAB!$F$14:$F$173,RAB!$C$14:$C$173,C976)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SUMIFS(RAB!$F$14:$F$173,RAB!$C$14:$C$173,C977)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SUMIFS(RAB!$F$14:$F$173,RAB!$C$14:$C$173,C978)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SUMIFS(RAB!$F$14:$F$173,RAB!$C$14:$C$173,C979)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SUMIFS(RAB!$F$14:$F$173,RAB!$C$14:$C$173,C980)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SUMIFS(RAB!$F$14:$F$173,RAB!$C$14:$C$173,C981)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SUMIFS(RAB!$F$14:$F$173,RAB!$C$14:$C$173,C982)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SUMIFS(RAB!$F$14:$F$173,RAB!$C$14:$C$173,C983)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SUMIFS(RAB!$F$14:$F$173,RAB!$C$14:$C$173,C984)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SUMIFS(RAB!$F$14:$F$173,RAB!$C$14:$C$173,C985)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SUMIFS(RAB!$F$14:$F$173,RAB!$C$14:$C$173,C986)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SUMIFS(RAB!$F$14:$F$173,RAB!$C$14:$C$173,C987)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SUMIFS(RAB!$F$14:$F$173,RAB!$C$14:$C$173,C988)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SUMIFS(RAB!$F$14:$F$173,RAB!$C$14:$C$173,C989)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SUMIFS(RAB!$F$14:$F$173,RAB!$C$14:$C$173,C990)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SUMIFS(RAB!$F$14:$F$173,RAB!$C$14:$C$173,C991)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SUMIFS(RAB!$F$14:$F$173,RAB!$C$14:$C$173,C992)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SUMIFS(RAB!$F$14:$F$173,RAB!$C$14:$C$173,C993)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SUMIFS(RAB!$F$14:$F$173,RAB!$C$14:$C$173,C994)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SUMIFS(RAB!$F$14:$F$173,RAB!$C$14:$C$173,C995)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SUMIFS(RAB!$F$14:$F$173,RAB!$C$14:$C$173,C996)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SUMIFS(RAB!$F$14:$F$173,RAB!$C$14:$C$173,C997)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SUMIFS(RAB!$F$14:$F$173,RAB!$C$14:$C$173,C998)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SUMIFS(RAB!$F$14:$F$173,RAB!$C$14:$C$173,C999)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SUMIFS(RAB!$F$14:$F$173,RAB!$C$14:$C$173,C1000)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SUMIFS(RAB!$F$14:$F$173,RAB!$C$14:$C$173,C1001)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SUMIFS(RAB!$F$14:$F$173,RAB!$C$14:$C$173,C1002)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SUMIFS(RAB!$F$14:$F$173,RAB!$C$14:$C$173,C1003)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SUMIFS(RAB!$F$14:$F$173,RAB!$C$14:$C$173,C1004)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SUMIFS(RAB!$F$14:$F$173,RAB!$C$14:$C$173,C1005)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SUMIFS(RAB!$F$14:$F$173,RAB!$C$14:$C$173,C1006)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SUMIFS(RAB!$F$14:$F$173,RAB!$C$14:$C$173,C1007)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SUMIFS(RAB!$F$14:$F$173,RAB!$C$14:$C$173,C1008)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SUMIFS(RAB!$F$14:$F$173,RAB!$C$14:$C$173,C1009)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SUMIFS(RAB!$F$14:$F$173,RAB!$C$14:$C$173,C1010)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SUMIFS(RAB!$F$14:$F$173,RAB!$C$14:$C$173,C1011)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SUMIFS(RAB!$F$14:$F$173,RAB!$C$14:$C$173,C1012)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SUMIFS(RAB!$F$14:$F$173,RAB!$C$14:$C$173,C1013)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SUMIFS(RAB!$F$14:$F$173,RAB!$C$14:$C$173,C1014)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SUMIFS(RAB!$F$14:$F$173,RAB!$C$14:$C$173,C1015)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SUMIFS(RAB!$F$14:$F$173,RAB!$C$14:$C$173,C1016)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SUMIFS(RAB!$F$14:$F$173,RAB!$C$14:$C$173,C1017)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SUMIFS(RAB!$F$14:$F$173,RAB!$C$14:$C$173,C1018)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SUMIFS(RAB!$F$14:$F$173,RAB!$C$14:$C$173,C1019)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SUMIFS(RAB!$F$14:$F$173,RAB!$C$14:$C$173,C1020)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SUMIFS(RAB!$F$14:$F$173,RAB!$C$14:$C$173,C1021)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SUMIFS(RAB!$F$14:$F$173,RAB!$C$14:$C$173,C1022)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SUMIFS(RAB!$F$14:$F$173,RAB!$C$14:$C$173,C1023)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SUMIFS(RAB!$F$14:$F$173,RAB!$C$14:$C$173,C1024)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SUMIFS(RAB!$F$14:$F$173,RAB!$C$14:$C$173,C1025)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SUMIFS(RAB!$F$14:$F$173,RAB!$C$14:$C$173,C1026)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SUMIFS(RAB!$F$14:$F$173,RAB!$C$14:$C$173,C1027)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SUMIFS(RAB!$F$14:$F$173,RAB!$C$14:$C$173,C1028)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SUMIFS(RAB!$F$14:$F$173,RAB!$C$14:$C$173,C1029)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SUMIFS(RAB!$F$14:$F$173,RAB!$C$14:$C$173,C1030)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SUMIFS(RAB!$F$14:$F$173,RAB!$C$14:$C$173,C1031)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SUMIFS(RAB!$F$14:$F$173,RAB!$C$14:$C$173,C1032)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SUMIFS(RAB!$F$14:$F$173,RAB!$C$14:$C$173,C1033)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SUMIFS(RAB!$F$14:$F$173,RAB!$C$14:$C$173,C1034)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SUMIFS(RAB!$F$14:$F$173,RAB!$C$14:$C$173,C1035)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SUMIFS(RAB!$F$14:$F$173,RAB!$C$14:$C$173,C1036)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SUMIFS(RAB!$F$14:$F$173,RAB!$C$14:$C$173,C1037)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SUMIFS(RAB!$F$14:$F$173,RAB!$C$14:$C$173,C1038)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SUMIFS(RAB!$F$14:$F$173,RAB!$C$14:$C$173,C1039)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SUMIFS(RAB!$F$14:$F$173,RAB!$C$14:$C$173,C1040)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SUMIFS(RAB!$F$14:$F$173,RAB!$C$14:$C$173,C1041)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SUMIFS(RAB!$F$14:$F$173,RAB!$C$14:$C$173,C1042)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SUMIFS(RAB!$F$14:$F$173,RAB!$C$14:$C$173,C1043)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SUMIFS(RAB!$F$14:$F$173,RAB!$C$14:$C$173,C1044)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SUMIFS(RAB!$F$14:$F$173,RAB!$C$14:$C$173,C1045)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SUMIFS(RAB!$F$14:$F$173,RAB!$C$14:$C$173,C1046)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SUMIFS(RAB!$F$14:$F$173,RAB!$C$14:$C$173,C1047)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SUMIFS(RAB!$F$14:$F$173,RAB!$C$14:$C$173,C1048)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SUMIFS(RAB!$F$14:$F$173,RAB!$C$14:$C$173,C1049)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SUMIFS(RAB!$F$14:$F$173,RAB!$C$14:$C$173,C1050)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SUMIFS(RAB!$F$14:$F$173,RAB!$C$14:$C$173,C1051)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SUMIFS(RAB!$F$14:$F$173,RAB!$C$14:$C$173,C1052)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SUMIFS(RAB!$F$14:$F$173,RAB!$C$14:$C$173,C1053)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SUMIFS(RAB!$F$14:$F$173,RAB!$C$14:$C$173,C1054)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SUMIFS(RAB!$F$14:$F$173,RAB!$C$14:$C$173,C1055)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SUMIFS(RAB!$F$14:$F$173,RAB!$C$14:$C$173,C1056)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SUMIFS(RAB!$F$14:$F$173,RAB!$C$14:$C$173,C1057)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SUMIFS(RAB!$F$14:$F$173,RAB!$C$14:$C$173,C1058)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SUMIFS(RAB!$F$14:$F$173,RAB!$C$14:$C$173,C1059)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SUMIFS(RAB!$F$14:$F$173,RAB!$C$14:$C$173,C1060)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SUMIFS(RAB!$F$14:$F$173,RAB!$C$14:$C$173,C1061)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SUMIFS(RAB!$F$14:$F$173,RAB!$C$14:$C$173,C1062)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SUMIFS(RAB!$F$14:$F$173,RAB!$C$14:$C$173,C1063)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SUMIFS(RAB!$F$14:$F$173,RAB!$C$14:$C$173,C1064)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SUMIFS(RAB!$F$14:$F$173,RAB!$C$14:$C$173,C1065)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SUMIFS(RAB!$F$14:$F$173,RAB!$C$14:$C$173,C1066)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SUMIFS(RAB!$F$14:$F$173,RAB!$C$14:$C$173,C1067)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SUMIFS(RAB!$F$14:$F$173,RAB!$C$14:$C$173,C1068)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SUMIFS(RAB!$F$14:$F$173,RAB!$C$14:$C$173,C1069)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SUMIFS(RAB!$F$14:$F$173,RAB!$C$14:$C$173,C1070)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SUMIFS(RAB!$F$14:$F$173,RAB!$C$14:$C$173,C1071)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SUMIFS(RAB!$F$14:$F$173,RAB!$C$14:$C$173,C1072)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SUMIFS(RAB!$F$14:$F$173,RAB!$C$14:$C$173,C1073)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SUMIFS(RAB!$F$14:$F$173,RAB!$C$14:$C$173,C1074)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SUMIFS(RAB!$F$14:$F$173,RAB!$C$14:$C$173,C1075)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SUMIFS(RAB!$F$14:$F$173,RAB!$C$14:$C$173,C1076)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SUMIFS(RAB!$F$14:$F$173,RAB!$C$14:$C$173,C1077)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SUMIFS(RAB!$F$14:$F$173,RAB!$C$14:$C$173,C1078)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SUMIFS(RAB!$F$14:$F$173,RAB!$C$14:$C$173,C1079)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SUMIFS(RAB!$F$14:$F$173,RAB!$C$14:$C$173,C1080)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SUMIFS(RAB!$F$14:$F$173,RAB!$C$14:$C$173,C1081)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SUMIFS(RAB!$F$14:$F$173,RAB!$C$14:$C$173,C1082)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SUMIFS(RAB!$F$14:$F$173,RAB!$C$14:$C$173,C1083)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SUMIFS(RAB!$F$14:$F$173,RAB!$C$14:$C$173,C1084)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SUMIFS(RAB!$F$14:$F$173,RAB!$C$14:$C$173,C1085)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SUMIFS(RAB!$F$14:$F$173,RAB!$C$14:$C$173,C1086)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SUMIFS(RAB!$F$14:$F$173,RAB!$C$14:$C$173,C1087)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SUMIFS(RAB!$F$14:$F$173,RAB!$C$14:$C$173,C1088)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SUMIFS(RAB!$F$14:$F$173,RAB!$C$14:$C$173,C1089)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SUMIFS(RAB!$F$14:$F$173,RAB!$C$14:$C$173,C1090)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SUMIFS(RAB!$F$14:$F$173,RAB!$C$14:$C$173,C1091)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SUMIFS(RAB!$F$14:$F$173,RAB!$C$14:$C$173,C1092)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SUMIFS(RAB!$F$14:$F$173,RAB!$C$14:$C$173,C1093)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SUMIFS(RAB!$F$14:$F$173,RAB!$C$14:$C$173,C1094)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SUMIFS(RAB!$F$14:$F$173,RAB!$C$14:$C$173,C1095)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SUMIFS(RAB!$F$14:$F$173,RAB!$C$14:$C$173,C1096)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SUMIFS(RAB!$F$14:$F$173,RAB!$C$14:$C$173,C1097)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SUMIFS(RAB!$F$14:$F$173,RAB!$C$14:$C$173,C1098)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SUMIFS(RAB!$F$14:$F$173,RAB!$C$14:$C$173,C1099)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SUMIFS(RAB!$F$14:$F$173,RAB!$C$14:$C$173,C1100)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SUMIFS(RAB!$F$14:$F$173,RAB!$C$14:$C$173,C1101)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SUMIFS(RAB!$F$14:$F$173,RAB!$C$14:$C$173,C1102)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SUMIFS(RAB!$F$14:$F$173,RAB!$C$14:$C$173,C1103)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SUMIFS(RAB!$F$14:$F$173,RAB!$C$14:$C$173,C1104)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SUMIFS(RAB!$F$14:$F$173,RAB!$C$14:$C$173,C1105)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SUMIFS(RAB!$F$14:$F$173,RAB!$C$14:$C$173,C1106)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SUMIFS(RAB!$F$14:$F$173,RAB!$C$14:$C$173,C1107)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SUMIFS(RAB!$F$14:$F$173,RAB!$C$14:$C$173,C1108)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SUMIFS(RAB!$F$14:$F$173,RAB!$C$14:$C$173,C1109)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SUMIFS(RAB!$F$14:$F$173,RAB!$C$14:$C$173,C1110)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SUMIFS(RAB!$F$14:$F$173,RAB!$C$14:$C$173,C1111)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SUMIFS(RAB!$F$14:$F$173,RAB!$C$14:$C$173,C1112)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SUMIFS(RAB!$F$14:$F$173,RAB!$C$14:$C$173,C1113)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SUMIFS(RAB!$F$14:$F$173,RAB!$C$14:$C$173,C1114)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SUMIFS(RAB!$F$14:$F$173,RAB!$C$14:$C$173,C1115)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SUMIFS(RAB!$F$14:$F$173,RAB!$C$14:$C$173,C1116)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SUMIFS(RAB!$F$14:$F$173,RAB!$C$14:$C$173,C1117)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SUMIFS(RAB!$F$14:$F$173,RAB!$C$14:$C$173,C1118)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SUMIFS(RAB!$F$14:$F$173,RAB!$C$14:$C$173,C1119)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SUMIFS(RAB!$F$14:$F$173,RAB!$C$14:$C$173,C1120)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SUMIFS(RAB!$F$14:$F$173,RAB!$C$14:$C$173,C1121)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SUMIFS(RAB!$F$14:$F$173,RAB!$C$14:$C$173,C1122)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SUMIFS(RAB!$F$14:$F$173,RAB!$C$14:$C$173,C1123)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SUMIFS(RAB!$F$14:$F$173,RAB!$C$14:$C$173,C1124)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SUMIFS(RAB!$F$14:$F$173,RAB!$C$14:$C$173,C1125)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SUMIFS(RAB!$F$14:$F$173,RAB!$C$14:$C$173,C1126)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SUMIFS(RAB!$F$14:$F$173,RAB!$C$14:$C$173,C1127)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SUMIFS(RAB!$F$14:$F$173,RAB!$C$14:$C$173,C1128)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SUMIFS(RAB!$F$14:$F$173,RAB!$C$14:$C$173,C1129)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SUMIFS(RAB!$F$14:$F$173,RAB!$C$14:$C$173,C1130)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SUMIFS(RAB!$F$14:$F$173,RAB!$C$14:$C$173,C1131)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SUMIFS(RAB!$F$14:$F$173,RAB!$C$14:$C$173,C1132)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SUMIFS(RAB!$F$14:$F$173,RAB!$C$14:$C$173,C1133)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SUMIFS(RAB!$F$14:$F$173,RAB!$C$14:$C$173,C1134)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SUMIFS(RAB!$F$14:$F$173,RAB!$C$14:$C$173,C1135)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SUMIFS(RAB!$F$14:$F$173,RAB!$C$14:$C$173,C1136)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SUMIFS(RAB!$F$14:$F$173,RAB!$C$14:$C$173,C1137)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SUMIFS(RAB!$F$14:$F$173,RAB!$C$14:$C$173,C1138)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SUMIFS(RAB!$F$14:$F$173,RAB!$C$14:$C$173,C1139)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SUMIFS(RAB!$F$14:$F$173,RAB!$C$14:$C$173,C1140)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SUMIFS(RAB!$F$14:$F$173,RAB!$C$14:$C$173,C1141)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SUMIFS(RAB!$F$14:$F$173,RAB!$C$14:$C$173,C1142)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SUMIFS(RAB!$F$14:$F$173,RAB!$C$14:$C$173,C1143)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SUMIFS(RAB!$F$14:$F$173,RAB!$C$14:$C$173,C1144)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SUMIFS(RAB!$F$14:$F$173,RAB!$C$14:$C$173,C1145)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SUMIFS(RAB!$F$14:$F$173,RAB!$C$14:$C$173,C1146)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SUMIFS(RAB!$F$14:$F$173,RAB!$C$14:$C$173,C1147)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SUMIFS(RAB!$F$14:$F$173,RAB!$C$14:$C$173,C1148)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SUMIFS(RAB!$F$14:$F$173,RAB!$C$14:$C$173,C1149)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SUMIFS(RAB!$F$14:$F$173,RAB!$C$14:$C$173,C1150)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SUMIFS(RAB!$F$14:$F$173,RAB!$C$14:$C$173,C1151)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SUMIFS(RAB!$F$14:$F$173,RAB!$C$14:$C$173,C1152)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SUMIFS(RAB!$F$14:$F$173,RAB!$C$14:$C$173,C1153)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SUMIFS(RAB!$F$14:$F$173,RAB!$C$14:$C$173,C1154)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SUMIFS(RAB!$F$14:$F$173,RAB!$C$14:$C$173,C1155)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SUMIFS(RAB!$F$14:$F$173,RAB!$C$14:$C$173,C1156)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SUMIFS(RAB!$F$14:$F$173,RAB!$C$14:$C$173,C1157)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SUMIFS(RAB!$F$14:$F$173,RAB!$C$14:$C$173,C1158)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SUMIFS(RAB!$F$14:$F$173,RAB!$C$14:$C$173,C1159)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SUMIFS(RAB!$F$14:$F$173,RAB!$C$14:$C$173,C1160)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SUMIFS(RAB!$F$14:$F$173,RAB!$C$14:$C$173,C1161)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SUMIFS(RAB!$F$14:$F$173,RAB!$C$14:$C$173,C1162)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SUMIFS(RAB!$F$14:$F$173,RAB!$C$14:$C$173,C1163)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SUMIFS(RAB!$F$14:$F$173,RAB!$C$14:$C$173,C1164)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SUMIFS(RAB!$F$14:$F$173,RAB!$C$14:$C$173,C1165)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SUMIFS(RAB!$F$14:$F$173,RAB!$C$14:$C$173,C1166)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SUMIFS(RAB!$F$14:$F$173,RAB!$C$14:$C$173,C1167)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SUMIFS(RAB!$F$14:$F$173,RAB!$C$14:$C$173,C1168)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SUMIFS(RAB!$F$14:$F$173,RAB!$C$14:$C$173,C1169)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SUMIFS(RAB!$F$14:$F$173,RAB!$C$14:$C$173,C1170)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SUMIFS(RAB!$F$14:$F$173,RAB!$C$14:$C$173,C1171)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SUMIFS(RAB!$F$14:$F$173,RAB!$C$14:$C$173,C1172)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SUMIFS(RAB!$F$14:$F$173,RAB!$C$14:$C$173,C1173)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SUMIFS(RAB!$F$14:$F$173,RAB!$C$14:$C$173,C1174)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SUMIFS(RAB!$F$14:$F$173,RAB!$C$14:$C$173,C1175)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SUMIFS(RAB!$F$14:$F$173,RAB!$C$14:$C$173,C1176)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SUMIFS(RAB!$F$14:$F$173,RAB!$C$14:$C$173,C1177)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SUMIFS(RAB!$F$14:$F$173,RAB!$C$14:$C$173,C1178)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SUMIFS(RAB!$F$14:$F$173,RAB!$C$14:$C$173,C1179)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SUMIFS(RAB!$F$14:$F$173,RAB!$C$14:$C$173,C1180)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SUMIFS(RAB!$F$14:$F$173,RAB!$C$14:$C$173,C1181)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SUMIFS(RAB!$F$14:$F$173,RAB!$C$14:$C$173,C1182)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SUMIFS(RAB!$F$14:$F$173,RAB!$C$14:$C$173,C1183)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SUMIFS(RAB!$F$14:$F$173,RAB!$C$14:$C$173,C1184)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SUMIFS(RAB!$F$14:$F$173,RAB!$C$14:$C$173,C1185)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SUMIFS(RAB!$F$14:$F$173,RAB!$C$14:$C$173,C1186)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SUMIFS(RAB!$F$14:$F$173,RAB!$C$14:$C$173,C1187)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SUMIFS(RAB!$F$14:$F$173,RAB!$C$14:$C$173,C1188)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SUMIFS(RAB!$F$14:$F$173,RAB!$C$14:$C$173,C1189)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SUMIFS(RAB!$F$14:$F$173,RAB!$C$14:$C$173,C1190)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SUMIFS(RAB!$F$14:$F$173,RAB!$C$14:$C$173,C1191)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SUMIFS(RAB!$F$14:$F$173,RAB!$C$14:$C$173,C1192)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SUMIFS(RAB!$F$14:$F$173,RAB!$C$14:$C$173,C1193)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SUMIFS(RAB!$F$14:$F$173,RAB!$C$14:$C$173,C1194)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SUMIFS(RAB!$F$14:$F$173,RAB!$C$14:$C$173,C1195)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SUMIFS(RAB!$F$14:$F$173,RAB!$C$14:$C$173,C1196)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SUMIFS(RAB!$F$14:$F$173,RAB!$C$14:$C$173,C1197)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SUMIFS(RAB!$F$14:$F$173,RAB!$C$14:$C$173,C1198)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SUMIFS(RAB!$F$14:$F$173,RAB!$C$14:$C$173,C1199)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SUMIFS(RAB!$F$14:$F$173,RAB!$C$14:$C$173,C1200)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SUMIFS(RAB!$F$14:$F$173,RAB!$C$14:$C$173,C1201)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SUMIFS(RAB!$F$14:$F$173,RAB!$C$14:$C$173,C1202)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SUMIFS(RAB!$F$14:$F$173,RAB!$C$14:$C$173,C1203)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SUMIFS(RAB!$F$14:$F$173,RAB!$C$14:$C$173,C1204)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SUMIFS(RAB!$F$14:$F$173,RAB!$C$14:$C$173,C1205)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SUMIFS(RAB!$F$14:$F$173,RAB!$C$14:$C$173,C1206)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SUMIFS(RAB!$F$14:$F$173,RAB!$C$14:$C$173,C1207)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SUMIFS(RAB!$F$14:$F$173,RAB!$C$14:$C$173,C1208)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SUMIFS(RAB!$F$14:$F$173,RAB!$C$14:$C$173,C1209)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SUMIFS(RAB!$F$14:$F$173,RAB!$C$14:$C$173,C1210)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SUMIFS(RAB!$F$14:$F$173,RAB!$C$14:$C$173,C1211)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SUMIFS(RAB!$F$14:$F$173,RAB!$C$14:$C$173,C1212)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SUMIFS(RAB!$F$14:$F$173,RAB!$C$14:$C$173,C1213)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SUMIFS(RAB!$F$14:$F$173,RAB!$C$14:$C$173,C1214)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SUMIFS(RAB!$F$14:$F$173,RAB!$C$14:$C$173,C1215)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SUMIFS(RAB!$F$14:$F$173,RAB!$C$14:$C$173,C1216)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SUMIFS(RAB!$F$14:$F$173,RAB!$C$14:$C$173,C1217)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SUMIFS(RAB!$F$14:$F$173,RAB!$C$14:$C$173,C1218)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SUMIFS(RAB!$F$14:$F$173,RAB!$C$14:$C$173,C1219)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SUMIFS(RAB!$F$14:$F$173,RAB!$C$14:$C$173,C1220)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SUMIFS(RAB!$F$14:$F$173,RAB!$C$14:$C$173,C1221)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SUMIFS(RAB!$F$14:$F$173,RAB!$C$14:$C$173,C1222)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SUMIFS(RAB!$F$14:$F$173,RAB!$C$14:$C$173,C1223)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SUMIFS(RAB!$F$14:$F$173,RAB!$C$14:$C$173,C1224)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SUMIFS(RAB!$F$14:$F$173,RAB!$C$14:$C$173,C1225)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SUMIFS(RAB!$F$14:$F$173,RAB!$C$14:$C$173,C1226)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SUMIFS(RAB!$F$14:$F$173,RAB!$C$14:$C$173,C1227)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SUMIFS(RAB!$F$14:$F$173,RAB!$C$14:$C$173,C1228)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SUMIFS(RAB!$F$14:$F$173,RAB!$C$14:$C$173,C1229)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SUMIFS(RAB!$F$14:$F$173,RAB!$C$14:$C$173,C1230)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SUMIFS(RAB!$F$14:$F$173,RAB!$C$14:$C$173,C1231)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SUMIFS(RAB!$F$14:$F$173,RAB!$C$14:$C$173,C1232)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SUMIFS(RAB!$F$14:$F$173,RAB!$C$14:$C$173,C1233)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SUMIFS(RAB!$F$14:$F$173,RAB!$C$14:$C$173,C1234)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SUMIFS(RAB!$F$14:$F$173,RAB!$C$14:$C$173,C1235)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SUMIFS(RAB!$F$14:$F$173,RAB!$C$14:$C$173,C1236)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SUMIFS(RAB!$F$14:$F$173,RAB!$C$14:$C$173,C1237)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SUMIFS(RAB!$F$14:$F$173,RAB!$C$14:$C$173,C1238)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SUMIFS(RAB!$F$14:$F$173,RAB!$C$14:$C$173,C1239)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SUMIFS(RAB!$F$14:$F$173,RAB!$C$14:$C$173,C1240)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SUMIFS(RAB!$F$14:$F$173,RAB!$C$14:$C$173,C1241)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SUMIFS(RAB!$F$14:$F$173,RAB!$C$14:$C$173,C1242)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SUMIFS(RAB!$F$14:$F$173,RAB!$C$14:$C$173,C1243)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SUMIFS(RAB!$F$14:$F$173,RAB!$C$14:$C$173,C1244)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SUMIFS(RAB!$F$14:$F$173,RAB!$C$14:$C$173,C1245)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SUMIFS(RAB!$F$14:$F$173,RAB!$C$14:$C$173,C1246)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SUMIFS(RAB!$F$14:$F$173,RAB!$C$14:$C$173,C1247)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SUMIFS(RAB!$F$14:$F$173,RAB!$C$14:$C$173,C1248)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SUMIFS(RAB!$F$14:$F$173,RAB!$C$14:$C$173,C1249)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SUMIFS(RAB!$F$14:$F$173,RAB!$C$14:$C$173,C1250)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SUMIFS(RAB!$F$14:$F$173,RAB!$C$14:$C$173,C1251)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SUMIFS(RAB!$F$14:$F$173,RAB!$C$14:$C$173,C1252)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SUMIFS(RAB!$F$14:$F$173,RAB!$C$14:$C$173,C1253)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SUMIFS(RAB!$F$14:$F$173,RAB!$C$14:$C$173,C1254)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SUMIFS(RAB!$F$14:$F$173,RAB!$C$14:$C$173,C1255)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SUMIFS(RAB!$F$14:$F$173,RAB!$C$14:$C$173,C1256)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SUMIFS(RAB!$F$14:$F$173,RAB!$C$14:$C$173,C1257)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SUMIFS(RAB!$F$14:$F$173,RAB!$C$14:$C$173,C1258)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SUMIFS(RAB!$F$14:$F$173,RAB!$C$14:$C$173,C1259)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SUMIFS(RAB!$F$14:$F$173,RAB!$C$14:$C$173,C1260)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SUMIFS(RAB!$F$14:$F$173,RAB!$C$14:$C$173,C1261)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SUMIFS(RAB!$F$14:$F$173,RAB!$C$14:$C$173,C1262)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SUMIFS(RAB!$F$14:$F$173,RAB!$C$14:$C$173,C1263)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SUMIFS(RAB!$F$14:$F$173,RAB!$C$14:$C$173,C1264)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SUMIFS(RAB!$F$14:$F$173,RAB!$C$14:$C$173,C1265)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SUMIFS(RAB!$F$14:$F$173,RAB!$C$14:$C$173,C1266)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SUMIFS(RAB!$F$14:$F$173,RAB!$C$14:$C$173,C1267)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SUMIFS(RAB!$F$14:$F$173,RAB!$C$14:$C$173,C1268)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SUMIFS(RAB!$F$14:$F$173,RAB!$C$14:$C$173,C1269)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SUMIFS(RAB!$F$14:$F$173,RAB!$C$14:$C$173,C1270)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SUMIFS(RAB!$F$14:$F$173,RAB!$C$14:$C$173,C1271)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SUMIFS(RAB!$F$14:$F$173,RAB!$C$14:$C$173,C1272)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SUMIFS(RAB!$F$14:$F$173,RAB!$C$14:$C$173,C1273)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SUMIFS(RAB!$F$14:$F$173,RAB!$C$14:$C$173,C1274)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SUMIFS(RAB!$F$14:$F$173,RAB!$C$14:$C$173,C1275)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SUMIFS(RAB!$F$14:$F$173,RAB!$C$14:$C$173,C1276)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SUMIFS(RAB!$F$14:$F$173,RAB!$C$14:$C$173,C1277)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SUMIFS(RAB!$F$14:$F$173,RAB!$C$14:$C$173,C1278)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SUMIFS(RAB!$F$14:$F$173,RAB!$C$14:$C$173,C1279)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SUMIFS(RAB!$F$14:$F$173,RAB!$C$14:$C$173,C1280)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SUMIFS(RAB!$F$14:$F$173,RAB!$C$14:$C$173,C1281)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SUMIFS(RAB!$F$14:$F$173,RAB!$C$14:$C$173,C1282)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SUMIFS(RAB!$F$14:$F$173,RAB!$C$14:$C$173,C1283)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SUMIFS(RAB!$F$14:$F$173,RAB!$C$14:$C$173,C1284)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SUMIFS(RAB!$F$14:$F$173,RAB!$C$14:$C$173,C1285)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SUMIFS(RAB!$F$14:$F$173,RAB!$C$14:$C$173,C1286)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SUMIFS(RAB!$F$14:$F$173,RAB!$C$14:$C$173,C1287)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SUMIFS(RAB!$F$14:$F$173,RAB!$C$14:$C$173,C1288)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SUMIFS(RAB!$F$14:$F$173,RAB!$C$14:$C$173,C1289)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SUMIFS(RAB!$F$14:$F$173,RAB!$C$14:$C$173,C1290)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SUMIFS(RAB!$F$14:$F$173,RAB!$C$14:$C$173,C1291)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SUMIFS(RAB!$F$14:$F$173,RAB!$C$14:$C$173,C1292)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SUMIFS(RAB!$F$14:$F$173,RAB!$C$14:$C$173,C1293)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SUMIFS(RAB!$F$14:$F$173,RAB!$C$14:$C$173,C1294)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SUMIFS(RAB!$F$14:$F$173,RAB!$C$14:$C$173,C1295)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SUMIFS(RAB!$F$14:$F$173,RAB!$C$14:$C$173,C1296)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SUMIFS(RAB!$F$14:$F$173,RAB!$C$14:$C$173,C1297)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SUMIFS(RAB!$F$14:$F$173,RAB!$C$14:$C$173,C1298)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SUMIFS(RAB!$F$14:$F$173,RAB!$C$14:$C$173,C1299)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SUMIFS(RAB!$F$14:$F$173,RAB!$C$14:$C$173,C1300)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SUMIFS(RAB!$F$14:$F$173,RAB!$C$14:$C$173,C1301)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SUMIFS(RAB!$F$14:$F$173,RAB!$C$14:$C$173,C1302)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SUMIFS(RAB!$F$14:$F$173,RAB!$C$14:$C$173,C1303)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SUMIFS(RAB!$F$14:$F$173,RAB!$C$14:$C$173,C1304)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SUMIFS(RAB!$F$14:$F$173,RAB!$C$14:$C$173,C1305)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SUMIFS(RAB!$F$14:$F$173,RAB!$C$14:$C$173,C1306)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SUMIFS(RAB!$F$14:$F$173,RAB!$C$14:$C$173,C1307)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SUMIFS(RAB!$F$14:$F$173,RAB!$C$14:$C$173,C1308)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SUMIFS(RAB!$F$14:$F$173,RAB!$C$14:$C$173,C1309)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SUMIFS(RAB!$F$14:$F$173,RAB!$C$14:$C$173,C1310)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SUMIFS(RAB!$F$14:$F$173,RAB!$C$14:$C$173,C1311)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SUMIFS(RAB!$F$14:$F$173,RAB!$C$14:$C$173,C1312)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SUMIFS(RAB!$F$14:$F$173,RAB!$C$14:$C$173,C1313)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SUMIFS(RAB!$F$14:$F$173,RAB!$C$14:$C$173,C1314)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SUMIFS(RAB!$F$14:$F$173,RAB!$C$14:$C$173,C1315)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SUMIFS(RAB!$F$14:$F$173,RAB!$C$14:$C$173,C1316)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SUMIFS(RAB!$F$14:$F$173,RAB!$C$14:$C$173,C1317)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SUMIFS(RAB!$F$14:$F$173,RAB!$C$14:$C$173,C1318)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SUMIFS(RAB!$F$14:$F$173,RAB!$C$14:$C$173,C1319)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SUMIFS(RAB!$F$14:$F$173,RAB!$C$14:$C$173,C1320)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1127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7" t="str">
        <f>RAB!G6</f>
        <v>PB An. PERUM GRIYA PUTRA MANGUNJIWAN ASRI 7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Wijaya Kusuma II,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1" t="s">
        <v>41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46</v>
      </c>
      <c r="I12" s="532" t="s">
        <v>5</v>
      </c>
      <c r="J12" s="530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SATUAN'!$C$7:$C$1504,0),0)),"",OFFSET('HARGA SATUAN'!$I$6,MATCH(C16,'HARGA SATUAN'!$C$7:$C$1504,0),0))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SATUAN'!$C$7:$C$1504,0),0)),"",OFFSET('HARGA SATUAN'!$D$6,MATCH(C17,'HARGA SATUAN'!$C$7:$C$1504,0),0))</f>
        <v>HDW</v>
      </c>
      <c r="E17" s="101" t="str">
        <f ca="1">IF(B17="+","Unit",IF(ISERROR(OFFSET('HARGA SATUAN'!$E$6,MATCH(C17,'HARGA SATUAN'!$C$7:$C$1504,0),0)),"",OFFSET('HARGA SATUAN'!$E$6,MATCH(C17,'HARGA SATUAN'!$C$7:$C$1504,0),0)))</f>
        <v>Btg</v>
      </c>
      <c r="F17" s="101">
        <f t="shared" ca="1" si="5"/>
        <v>10</v>
      </c>
      <c r="G17" s="41">
        <f ca="1">IF(ISERROR(OFFSET('HARGA SATUAN'!$I$6,MATCH(C17,'HARGA SATUAN'!$C$7:$C$1504,0),0)),"",OFFSET('HARGA SATUAN'!$I$6,MATCH(C17,'HARGA SATUAN'!$C$7:$C$1504,0),0))</f>
        <v>5800000</v>
      </c>
      <c r="H17" s="42">
        <f t="shared" ca="1" si="1"/>
        <v>0</v>
      </c>
      <c r="I17" s="42">
        <f t="shared" ca="1" si="2"/>
        <v>58000000</v>
      </c>
      <c r="J17" s="42">
        <f t="shared" ca="1" si="3"/>
        <v>0</v>
      </c>
      <c r="K17" s="43">
        <f t="shared" ca="1" si="0"/>
        <v>58000000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SATUAN'!$C$7:$C$1504,0),0)),"",OFFSET('HARGA SATUAN'!$D$6,MATCH(C18,'HARGA SATUAN'!$C$7:$C$1504,0),0))</f>
        <v>HDW</v>
      </c>
      <c r="E18" s="101" t="str">
        <f ca="1">IF(B18="+","Unit",IF(ISERROR(OFFSET('HARGA SATUAN'!$E$6,MATCH(C18,'HARGA SATUAN'!$C$7:$C$1504,0),0)),"",OFFSET('HARGA SATUAN'!$E$6,MATCH(C18,'HARGA SATUAN'!$C$7:$C$1504,0),0)))</f>
        <v>Btg</v>
      </c>
      <c r="F18" s="101">
        <f t="shared" ca="1" si="5"/>
        <v>2</v>
      </c>
      <c r="G18" s="41">
        <f ca="1">IF(ISERROR(OFFSET('HARGA SATUAN'!$I$6,MATCH(C18,'HARGA SATUAN'!$C$7:$C$1504,0),0)),"",OFFSET('HARGA SATUAN'!$I$6,MATCH(C18,'HARGA SATUAN'!$C$7:$C$1504,0),0))</f>
        <v>6074400</v>
      </c>
      <c r="H18" s="42">
        <f t="shared" ca="1" si="1"/>
        <v>0</v>
      </c>
      <c r="I18" s="42">
        <f t="shared" ca="1" si="2"/>
        <v>12148800</v>
      </c>
      <c r="J18" s="42">
        <f t="shared" ca="1" si="3"/>
        <v>0</v>
      </c>
      <c r="K18" s="43">
        <f t="shared" ca="1" si="0"/>
        <v>12148800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8" t="s">
        <v>1008</v>
      </c>
      <c r="D38" s="528"/>
      <c r="E38" s="528"/>
      <c r="F38" s="528"/>
      <c r="G38" s="77" t="s">
        <v>9</v>
      </c>
      <c r="H38" s="55">
        <f ca="1">SUM(H14:H37)</f>
        <v>0</v>
      </c>
      <c r="I38" s="55">
        <f ca="1">SUM(I14:I37)</f>
        <v>76914000</v>
      </c>
      <c r="J38" s="55">
        <f ca="1">SUM(J14:J37)</f>
        <v>0</v>
      </c>
      <c r="K38" s="55">
        <f ca="1">SUM(K14:K37)</f>
        <v>76914000</v>
      </c>
      <c r="L38" s="44"/>
      <c r="R38" s="99"/>
      <c r="S38" s="99"/>
      <c r="T38" s="99"/>
    </row>
    <row r="39" spans="1:20" s="36" customFormat="1">
      <c r="A39" s="30"/>
      <c r="B39" s="56"/>
      <c r="C39" s="529" t="s">
        <v>462</v>
      </c>
      <c r="D39" s="529"/>
      <c r="E39" s="529"/>
      <c r="F39" s="529"/>
      <c r="G39" s="59" t="s">
        <v>9</v>
      </c>
      <c r="H39" s="60">
        <f ca="1">H38*0.1</f>
        <v>0</v>
      </c>
      <c r="I39" s="60">
        <f ca="1">I38*0.1</f>
        <v>7691400</v>
      </c>
      <c r="J39" s="60">
        <f ca="1">J38*0.1</f>
        <v>0</v>
      </c>
      <c r="K39" s="60">
        <f ca="1">K38*0.1</f>
        <v>7691400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18" t="s">
        <v>463</v>
      </c>
      <c r="D40" s="518"/>
      <c r="E40" s="518"/>
      <c r="F40" s="518"/>
      <c r="G40" s="61" t="s">
        <v>9</v>
      </c>
      <c r="H40" s="78">
        <f ca="1">SUM(H38:H39)</f>
        <v>0</v>
      </c>
      <c r="I40" s="78">
        <f ca="1">SUM(I38:I39)</f>
        <v>84605400</v>
      </c>
      <c r="J40" s="61">
        <f ca="1">SUM(J38:J39)</f>
        <v>0</v>
      </c>
      <c r="K40" s="61">
        <f ca="1">SUM(K38:K39)</f>
        <v>84605400</v>
      </c>
      <c r="L40" s="44"/>
      <c r="R40" s="99"/>
      <c r="S40" s="99"/>
      <c r="T40" s="99"/>
    </row>
    <row r="41" spans="1:20" s="36" customFormat="1">
      <c r="A41" s="30"/>
      <c r="B41" s="521" t="e">
        <f ca="1">"Terbilang : ( "&amp;L42&amp;" Rupiah )"</f>
        <v>#NAME?</v>
      </c>
      <c r="C41" s="522"/>
      <c r="D41" s="522"/>
      <c r="E41" s="522"/>
      <c r="F41" s="522"/>
      <c r="G41" s="522"/>
      <c r="H41" s="522"/>
      <c r="I41" s="522"/>
      <c r="J41" s="522"/>
      <c r="K41" s="523"/>
      <c r="L41" s="44"/>
      <c r="R41" s="58"/>
      <c r="S41" s="58"/>
      <c r="T41" s="58"/>
    </row>
    <row r="42" spans="1:20" s="36" customFormat="1">
      <c r="A42" s="30"/>
      <c r="B42" s="524"/>
      <c r="C42" s="525"/>
      <c r="D42" s="525"/>
      <c r="E42" s="525"/>
      <c r="F42" s="525"/>
      <c r="G42" s="525"/>
      <c r="H42" s="525"/>
      <c r="I42" s="525"/>
      <c r="J42" s="525"/>
      <c r="K42" s="526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9"/>
      <c r="I45" s="519"/>
      <c r="J45" s="520"/>
      <c r="K45" s="52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9"/>
      <c r="I46" s="519"/>
      <c r="J46" s="520"/>
      <c r="K46" s="52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9"/>
      <c r="I47" s="519"/>
      <c r="J47" s="520"/>
      <c r="K47" s="52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9"/>
      <c r="I52" s="519"/>
      <c r="J52" s="520"/>
      <c r="K52" s="52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SUMIFS(RAB!$F$14:$F$173,RAB!$C$14:$C$173,'REKAP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SUMIFS(RAB!$F$14:$F$173,RAB!$C$14:$C$173,'REKAP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SUMIFS(RAB!$F$14:$F$173,RAB!$C$14:$C$173,'REKAP TIANG'!C59)</f>
        <v>10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SUMIFS(RAB!$F$14:$F$173,RAB!$C$14:$C$173,'REKAP TIANG'!C60)</f>
        <v>2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SUMIFS(RAB!$F$14:$F$173,RAB!$C$14:$C$173,'REKAP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SUMIFS(RAB!$F$14:$F$173,RAB!$C$14:$C$173,'REKAP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SUMIFS(RAB!$F$14:$F$173,RAB!$C$14:$C$173,'REKAP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SUMIFS(RAB!$F$14:$F$173,RAB!$C$14:$C$173,'REKAP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SUMIFS(RAB!$F$14:$F$173,RAB!$C$14:$C$173,'REKAP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SUMIFS(RAB!$F$14:$F$173,RAB!$C$14:$C$173,'REKAP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SUMIFS(RAB!$F$14:$F$173,RAB!$C$14:$C$173,'REKAP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SUMIFS(RAB!$F$14:$F$173,RAB!$C$14:$C$173,'REKAP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SUMIFS(RAB!$F$14:$F$173,RAB!$C$14:$C$173,'REKAP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SUMIFS(RAB!$F$14:$F$173,RAB!$C$14:$C$173,'REKAP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SUMIFS(RAB!$F$14:$F$173,RAB!$C$14:$C$173,'REKAP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SUMIFS(RAB!$F$14:$F$173,RAB!$C$14:$C$173,'REKAP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SUMIFS(RAB!$F$14:$F$173,RAB!$C$14:$C$173,'REKAP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SUMIFS(RAB!$F$14:$F$173,RAB!$C$14:$C$173,'REKAP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SUMIFS(RAB!$F$14:$F$173,RAB!$C$14:$C$173,'REKAP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SUMIFS(RAB!$F$14:$F$173,RAB!$C$14:$C$173,'REKAP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1034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7" t="str">
        <f>RAB!G6</f>
        <v>PB An. PERUM GRIYA PUTRA MANGUNJIWAN ASRI 7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Wijaya Kusuma II,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1" t="s">
        <v>41</v>
      </c>
      <c r="H11" s="540" t="s">
        <v>3</v>
      </c>
      <c r="I11" s="540"/>
      <c r="J11" s="540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30"/>
      <c r="E12" s="530"/>
      <c r="F12" s="530"/>
      <c r="G12" s="542"/>
      <c r="H12" s="532" t="s">
        <v>46</v>
      </c>
      <c r="I12" s="532" t="s">
        <v>5</v>
      </c>
      <c r="J12" s="530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30"/>
      <c r="E13" s="530"/>
      <c r="F13" s="530"/>
      <c r="G13" s="543"/>
      <c r="H13" s="533"/>
      <c r="I13" s="533"/>
      <c r="J13" s="530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74</v>
      </c>
      <c r="G16" s="41">
        <f ca="1">IF(ISERROR(OFFSET('HARGA SATUAN'!$I$6,MATCH(C16,'HARGA SATUAN'!$C$7:$C$1504,0),0)),"",OFFSET('HARGA SATUAN'!$I$6,MATCH(C16,'HARGA SATUAN'!$C$7:$C$1504,0),0))</f>
        <v>327600</v>
      </c>
      <c r="H16" s="42">
        <f t="shared" ca="1" si="1"/>
        <v>24242400</v>
      </c>
      <c r="I16" s="42">
        <f t="shared" ca="1" si="2"/>
        <v>0</v>
      </c>
      <c r="J16" s="42">
        <f t="shared" ca="1" si="3"/>
        <v>0</v>
      </c>
      <c r="K16" s="43">
        <f t="shared" ca="1" si="0"/>
        <v>24242400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74</v>
      </c>
      <c r="G17" s="41">
        <f ca="1">IF(ISERROR(OFFSET('HARGA SATUAN'!$I$6,MATCH(C17,'HARGA SATUAN'!$C$7:$C$1504,0),0)),"",OFFSET('HARGA SATUAN'!$I$6,MATCH(C17,'HARGA SATUAN'!$C$7:$C$1504,0),0))</f>
        <v>39000</v>
      </c>
      <c r="H17" s="42">
        <f t="shared" ca="1" si="1"/>
        <v>2886000</v>
      </c>
      <c r="I17" s="42">
        <f t="shared" ca="1" si="2"/>
        <v>0</v>
      </c>
      <c r="J17" s="42">
        <f t="shared" ca="1" si="3"/>
        <v>0</v>
      </c>
      <c r="K17" s="43">
        <f t="shared" ca="1" si="0"/>
        <v>2886000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2</v>
      </c>
      <c r="G18" s="41">
        <f ca="1">IF(ISERROR(OFFSET('HARGA SATUAN'!$I$6,MATCH(C18,'HARGA SATUAN'!$C$7:$C$1504,0),0)),"",OFFSET('HARGA SATUAN'!$I$6,MATCH(C18,'HARGA SATUAN'!$C$7:$C$1504,0),0))</f>
        <v>27845400</v>
      </c>
      <c r="H18" s="42">
        <f t="shared" ca="1" si="1"/>
        <v>55690800</v>
      </c>
      <c r="I18" s="42">
        <f t="shared" ca="1" si="2"/>
        <v>0</v>
      </c>
      <c r="J18" s="42">
        <f t="shared" ca="1" si="3"/>
        <v>0</v>
      </c>
      <c r="K18" s="43">
        <f t="shared" ca="1" si="0"/>
        <v>55690800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01">
        <f t="shared" ca="1" si="6"/>
        <v>9</v>
      </c>
      <c r="G19" s="41">
        <f ca="1">IF(ISERROR(OFFSET('HARGA SATUAN'!$I$6,MATCH(C19,'HARGA SATUAN'!$C$7:$C$1504,0),0)),"",OFFSET('HARGA SATUAN'!$I$6,MATCH(C19,'HARGA SATUAN'!$C$7:$C$1504,0),0))</f>
        <v>176900</v>
      </c>
      <c r="H19" s="42">
        <f t="shared" ca="1" si="1"/>
        <v>1592100</v>
      </c>
      <c r="I19" s="42">
        <f t="shared" ca="1" si="2"/>
        <v>0</v>
      </c>
      <c r="J19" s="42">
        <f t="shared" ca="1" si="3"/>
        <v>0</v>
      </c>
      <c r="K19" s="43">
        <f t="shared" ca="1" si="0"/>
        <v>1592100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Mtr</v>
      </c>
      <c r="F20" s="101">
        <f t="shared" ca="1" si="6"/>
        <v>942</v>
      </c>
      <c r="G20" s="41">
        <f ca="1">IF(ISERROR(OFFSET('HARGA SATUAN'!$I$6,MATCH(C20,'HARGA SATUAN'!$C$7:$C$1504,0),0)),"",OFFSET('HARGA SATUAN'!$I$6,MATCH(C20,'HARGA SATUAN'!$C$7:$C$1504,0),0))</f>
        <v>14200</v>
      </c>
      <c r="H20" s="42">
        <f t="shared" ca="1" si="1"/>
        <v>13376400</v>
      </c>
      <c r="I20" s="42">
        <f t="shared" ca="1" si="2"/>
        <v>0</v>
      </c>
      <c r="J20" s="42">
        <f t="shared" ca="1" si="3"/>
        <v>0</v>
      </c>
      <c r="K20" s="43">
        <f t="shared" ca="1" si="0"/>
        <v>13376400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50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Mtr</v>
      </c>
      <c r="F21" s="101">
        <f t="shared" ca="1" si="6"/>
        <v>169</v>
      </c>
      <c r="G21" s="41">
        <f ca="1">IF(ISERROR(OFFSET('HARGA SATUAN'!$I$6,MATCH(C21,'HARGA SATUAN'!$C$7:$C$1504,0),0)),"",OFFSET('HARGA SATUAN'!$I$6,MATCH(C21,'HARGA SATUAN'!$C$7:$C$1504,0),0))</f>
        <v>53300</v>
      </c>
      <c r="H21" s="42">
        <f t="shared" ca="1" si="1"/>
        <v>9007700</v>
      </c>
      <c r="I21" s="42">
        <f t="shared" ca="1" si="2"/>
        <v>0</v>
      </c>
      <c r="J21" s="42">
        <f t="shared" ca="1" si="3"/>
        <v>0</v>
      </c>
      <c r="K21" s="43">
        <f t="shared" ca="1" si="0"/>
        <v>9007700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01">
        <f t="shared" ca="1" si="6"/>
        <v>2590</v>
      </c>
      <c r="G22" s="41">
        <f ca="1">IF(ISERROR(OFFSET('HARGA SATUAN'!$I$6,MATCH(C22,'HARGA SATUAN'!$C$7:$C$1504,0),0)),"",OFFSET('HARGA SATUAN'!$I$6,MATCH(C22,'HARGA SATUAN'!$C$7:$C$1504,0),0))</f>
        <v>4300</v>
      </c>
      <c r="H22" s="42">
        <f t="shared" ca="1" si="1"/>
        <v>11137000</v>
      </c>
      <c r="I22" s="42">
        <f t="shared" ca="1" si="2"/>
        <v>0</v>
      </c>
      <c r="J22" s="42">
        <f t="shared" ca="1" si="3"/>
        <v>0</v>
      </c>
      <c r="K22" s="43">
        <f t="shared" ca="1" si="0"/>
        <v>11137000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6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6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6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6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6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6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6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6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8" t="s">
        <v>1008</v>
      </c>
      <c r="D168" s="528"/>
      <c r="E168" s="528"/>
      <c r="F168" s="528"/>
      <c r="G168" s="77" t="s">
        <v>9</v>
      </c>
      <c r="H168" s="55">
        <f ca="1">SUM(H14:H167)</f>
        <v>117932400</v>
      </c>
      <c r="I168" s="55">
        <f ca="1">SUM(I14:I167)</f>
        <v>0</v>
      </c>
      <c r="J168" s="55">
        <f ca="1">SUM(J14:J167)</f>
        <v>0</v>
      </c>
      <c r="K168" s="55">
        <f ca="1">SUM(K14:K167)</f>
        <v>117932400</v>
      </c>
      <c r="L168" s="44"/>
      <c r="R168" s="99"/>
      <c r="S168" s="99"/>
      <c r="T168" s="99"/>
    </row>
    <row r="169" spans="1:20" s="36" customFormat="1">
      <c r="A169" s="30"/>
      <c r="B169" s="56"/>
      <c r="C169" s="529" t="s">
        <v>462</v>
      </c>
      <c r="D169" s="529"/>
      <c r="E169" s="529"/>
      <c r="F169" s="529"/>
      <c r="G169" s="59" t="s">
        <v>9</v>
      </c>
      <c r="H169" s="60">
        <f ca="1">H168*0.1</f>
        <v>11793240</v>
      </c>
      <c r="I169" s="60">
        <f ca="1">I168*0.1</f>
        <v>0</v>
      </c>
      <c r="J169" s="60">
        <f ca="1">J168*0.1</f>
        <v>0</v>
      </c>
      <c r="K169" s="60">
        <f ca="1">K168*0.1</f>
        <v>11793240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18" t="s">
        <v>463</v>
      </c>
      <c r="D170" s="518"/>
      <c r="E170" s="518"/>
      <c r="F170" s="518"/>
      <c r="G170" s="61" t="s">
        <v>9</v>
      </c>
      <c r="H170" s="78">
        <f ca="1">SUM(H168:H169)</f>
        <v>129725640</v>
      </c>
      <c r="I170" s="78">
        <f ca="1">SUM(I168:I169)</f>
        <v>0</v>
      </c>
      <c r="J170" s="61">
        <f ca="1">SUM(J168:J169)</f>
        <v>0</v>
      </c>
      <c r="K170" s="61">
        <f ca="1">SUM(K168:K169)</f>
        <v>129725640</v>
      </c>
      <c r="L170" s="44"/>
      <c r="R170" s="99"/>
      <c r="S170" s="99"/>
      <c r="T170" s="99"/>
    </row>
    <row r="171" spans="1:20" s="36" customFormat="1">
      <c r="A171" s="30"/>
      <c r="B171" s="521" t="e">
        <f ca="1">"Terbilang : ( "&amp;L172&amp;" Rupiah )"</f>
        <v>#NAME?</v>
      </c>
      <c r="C171" s="522"/>
      <c r="D171" s="522"/>
      <c r="E171" s="522"/>
      <c r="F171" s="522"/>
      <c r="G171" s="522"/>
      <c r="H171" s="522"/>
      <c r="I171" s="522"/>
      <c r="J171" s="522"/>
      <c r="K171" s="523"/>
      <c r="L171" s="44"/>
      <c r="R171" s="58"/>
      <c r="S171" s="58"/>
      <c r="T171" s="58"/>
    </row>
    <row r="172" spans="1:20" s="36" customFormat="1">
      <c r="A172" s="30"/>
      <c r="B172" s="524"/>
      <c r="C172" s="525"/>
      <c r="D172" s="525"/>
      <c r="E172" s="525"/>
      <c r="F172" s="525"/>
      <c r="G172" s="525"/>
      <c r="H172" s="525"/>
      <c r="I172" s="525"/>
      <c r="J172" s="525"/>
      <c r="K172" s="526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9"/>
      <c r="I175" s="519"/>
      <c r="J175" s="520"/>
      <c r="K175" s="52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9"/>
      <c r="I176" s="519"/>
      <c r="J176" s="520"/>
      <c r="K176" s="52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9"/>
      <c r="I177" s="519"/>
      <c r="J177" s="520"/>
      <c r="K177" s="52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9"/>
      <c r="I182" s="519"/>
      <c r="J182" s="520"/>
      <c r="K182" s="52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SUMIFS(RAB!$F$14:$F$173,RAB!$C$14:$C$173,C224)</f>
        <v>74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SUMIFS(RAB!$F$14:$F$173,RAB!$C$14:$C$173,C225)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SUMIFS(RAB!$F$14:$F$173,RAB!$C$14:$C$173,C226)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SUMIFS(RAB!$F$14:$F$173,RAB!$C$14:$C$173,C227)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SUMIFS(RAB!$F$14:$F$173,RAB!$C$14:$C$173,C228)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SUMIFS(RAB!$F$14:$F$173,RAB!$C$14:$C$173,C229)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SUMIFS(RAB!$F$14:$F$173,RAB!$C$14:$C$173,C230)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SUMIFS(RAB!$F$14:$F$173,RAB!$C$14:$C$173,C231)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SUMIFS(RAB!$F$14:$F$173,RAB!$C$14:$C$173,C232)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SUMIFS(RAB!$F$14:$F$173,RAB!$C$14:$C$173,C233)</f>
        <v>74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SUMIFS(RAB!$F$14:$F$173,RAB!$C$14:$C$173,C234)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SUMIFS(RAB!$F$14:$F$173,RAB!$C$14:$C$173,C235)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SUMIFS(RAB!$F$14:$F$173,RAB!$C$14:$C$173,C236)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SUMIFS(RAB!$F$14:$F$173,RAB!$C$14:$C$173,C237)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SUMIFS(RAB!$F$14:$F$173,RAB!$C$14:$C$173,C238)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SUMIFS(RAB!$F$14:$F$173,RAB!$C$14:$C$173,C239)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SUMIFS(RAB!$F$14:$F$173,RAB!$C$14:$C$173,C240)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SUMIFS(RAB!$F$14:$F$173,RAB!$C$14:$C$173,C241)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SUMIFS(RAB!$F$14:$F$173,RAB!$C$14:$C$173,C242)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SUMIFS(RAB!$F$14:$F$173,RAB!$C$14:$C$173,C243)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SUMIFS(RAB!$F$14:$F$173,RAB!$C$14:$C$173,C244)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SUMIFS(RAB!$F$14:$F$173,RAB!$C$14:$C$173,C245)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SUMIFS(RAB!$F$14:$F$173,RAB!$C$14:$C$173,C246)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SUMIFS(RAB!$F$14:$F$173,RAB!$C$14:$C$173,C247)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SUMIFS(RAB!$F$14:$F$173,RAB!$C$14:$C$173,C248)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SUMIFS(RAB!$F$14:$F$173,RAB!$C$14:$C$173,C249)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SUMIFS(RAB!$F$14:$F$173,RAB!$C$14:$C$173,C250)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SUMIFS(RAB!$F$14:$F$173,RAB!$C$14:$C$173,C251)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SUMIFS(RAB!$F$14:$F$173,RAB!$C$14:$C$173,C252)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SUMIFS(RAB!$F$14:$F$173,RAB!$C$14:$C$173,C253)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SUMIFS(RAB!$F$14:$F$173,RAB!$C$14:$C$173,C254)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SUMIFS(RAB!$F$14:$F$173,RAB!$C$14:$C$173,C255)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SUMIFS(RAB!$F$14:$F$173,RAB!$C$14:$C$173,C256)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SUMIFS(RAB!$F$14:$F$173,RAB!$C$14:$C$173,C257)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SUMIFS(RAB!$F$14:$F$173,RAB!$C$14:$C$173,C258)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SUMIFS(RAB!$F$14:$F$173,RAB!$C$14:$C$173,C259)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SUMIFS(RAB!$F$14:$F$173,RAB!$C$14:$C$173,C260)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SUMIFS(RAB!$F$14:$F$173,RAB!$C$14:$C$173,C261)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SUMIFS(RAB!$F$14:$F$173,RAB!$C$14:$C$173,C262)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SUMIFS(RAB!$F$14:$F$173,RAB!$C$14:$C$173,C263)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SUMIFS(RAB!$F$14:$F$173,RAB!$C$14:$C$173,C264)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SUMIFS(RAB!$F$14:$F$173,RAB!$C$14:$C$173,C265)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SUMIFS(RAB!$F$14:$F$173,RAB!$C$14:$C$173,C266)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SUMIFS(RAB!$F$14:$F$173,RAB!$C$14:$C$173,C267)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SUMIFS(RAB!$F$14:$F$173,RAB!$C$14:$C$173,C268)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SUMIFS(RAB!$F$14:$F$173,RAB!$C$14:$C$173,C269)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SUMIFS(RAB!$F$14:$F$173,RAB!$C$14:$C$173,C270)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SUMIFS(RAB!$F$14:$F$173,RAB!$C$14:$C$173,C271)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SUMIFS(RAB!$F$14:$F$173,RAB!$C$14:$C$173,C272)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SUMIFS(RAB!$F$14:$F$173,RAB!$C$14:$C$173,C273)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SUMIFS(RAB!$F$14:$F$173,RAB!$C$14:$C$173,C274)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SUMIFS(RAB!$F$14:$F$173,RAB!$C$14:$C$173,C275)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SUMIFS(RAB!$F$14:$F$173,RAB!$C$14:$C$173,C276)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SUMIFS(RAB!$F$14:$F$173,RAB!$C$14:$C$173,C277)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SUMIFS(RAB!$F$14:$F$173,RAB!$C$14:$C$173,C278)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SUMIFS(RAB!$F$14:$F$173,RAB!$C$14:$C$173,C279)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SUMIFS(RAB!$F$14:$F$173,RAB!$C$14:$C$173,C280)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SUMIFS(RAB!$F$14:$F$173,RAB!$C$14:$C$173,C281)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SUMIFS(RAB!$F$14:$F$173,RAB!$C$14:$C$173,C282)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SUMIFS(RAB!$F$14:$F$173,RAB!$C$14:$C$173,C283)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SUMIFS(RAB!$F$14:$F$173,RAB!$C$14:$C$173,C284)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SUMIFS(RAB!$F$14:$F$173,RAB!$C$14:$C$173,C285)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SUMIFS(RAB!$F$14:$F$173,RAB!$C$14:$C$173,C286)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SUMIFS(RAB!$F$14:$F$173,RAB!$C$14:$C$173,C287)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SUMIFS(RAB!$F$14:$F$173,RAB!$C$14:$C$173,C288)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SUMIFS(RAB!$F$14:$F$173,RAB!$C$14:$C$173,C289)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SUMIFS(RAB!$F$14:$F$173,RAB!$C$14:$C$173,C290)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SUMIFS(RAB!$F$14:$F$173,RAB!$C$14:$C$173,C291)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SUMIFS(RAB!$F$14:$F$173,RAB!$C$14:$C$173,C292)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SUMIFS(RAB!$F$14:$F$173,RAB!$C$14:$C$173,C293)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SUMIFS(RAB!$F$14:$F$173,RAB!$C$14:$C$173,C294)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SUMIFS(RAB!$F$14:$F$173,RAB!$C$14:$C$173,C295)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SUMIFS(RAB!$F$14:$F$173,RAB!$C$14:$C$173,C296)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SUMIFS(RAB!$F$14:$F$173,RAB!$C$14:$C$173,C297)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SUMIFS(RAB!$F$14:$F$173,RAB!$C$14:$C$173,C298)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SUMIFS(RAB!$F$14:$F$173,RAB!$C$14:$C$173,C299)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SUMIFS(RAB!$F$14:$F$173,RAB!$C$14:$C$173,C300)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SUMIFS(RAB!$F$14:$F$173,RAB!$C$14:$C$173,C301)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SUMIFS(RAB!$F$14:$F$173,RAB!$C$14:$C$173,C302)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SUMIFS(RAB!$F$14:$F$173,RAB!$C$14:$C$173,C303)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SUMIFS(RAB!$F$14:$F$173,RAB!$C$14:$C$173,C304)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SUMIFS(RAB!$F$14:$F$173,RAB!$C$14:$C$173,C305)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SUMIFS(RAB!$F$14:$F$173,RAB!$C$14:$C$173,C306)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SUMIFS(RAB!$F$14:$F$173,RAB!$C$14:$C$173,C307)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SUMIFS(RAB!$F$14:$F$173,RAB!$C$14:$C$173,C308)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SUMIFS(RAB!$F$14:$F$173,RAB!$C$14:$C$173,C309)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SUMIFS(RAB!$F$14:$F$173,RAB!$C$14:$C$173,C310)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SUMIFS(RAB!$F$14:$F$173,RAB!$C$14:$C$173,C311)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SUMIFS(RAB!$F$14:$F$173,RAB!$C$14:$C$173,C312)</f>
        <v>2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SUMIFS(RAB!$F$14:$F$173,RAB!$C$14:$C$173,C313)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SUMIFS(RAB!$F$14:$F$173,RAB!$C$14:$C$173,C314)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SUMIFS(RAB!$F$14:$F$173,RAB!$C$14:$C$173,C315)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SUMIFS(RAB!$F$14:$F$173,RAB!$C$14:$C$173,C316)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SUMIFS(RAB!$F$14:$F$173,RAB!$C$14:$C$173,C317)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SUMIFS(RAB!$F$14:$F$173,RAB!$C$14:$C$173,C318)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SUMIFS(RAB!$F$14:$F$173,RAB!$C$14:$C$173,C319)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SUMIFS(RAB!$F$14:$F$173,RAB!$C$14:$C$173,C320)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SUMIFS(RAB!$F$14:$F$173,RAB!$C$14:$C$173,C321)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SUMIFS(RAB!$F$14:$F$173,RAB!$C$14:$C$173,C322)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SUMIFS(RAB!$F$14:$F$173,RAB!$C$14:$C$173,C323)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SUMIFS(RAB!$F$14:$F$173,RAB!$C$14:$C$173,C324)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SUMIFS(RAB!$F$14:$F$173,RAB!$C$14:$C$173,C325)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SUMIFS(RAB!$F$14:$F$173,RAB!$C$14:$C$173,C326)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SUMIFS(RAB!$F$14:$F$173,RAB!$C$14:$C$173,C327)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SUMIFS(RAB!$F$14:$F$173,RAB!$C$14:$C$173,C328)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SUMIFS(RAB!$F$14:$F$173,RAB!$C$14:$C$173,C329)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72">
        <f ca="1">SUMIFS(RAB!$F$14:$F$173,RAB!$C$14:$C$173,C330)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72">
        <f ca="1">SUMIFS(RAB!$F$14:$F$173,RAB!$C$14:$C$173,C331)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72">
        <f ca="1">SUMIFS(RAB!$F$14:$F$173,RAB!$C$14:$C$173,C332)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72">
        <f ca="1">SUMIFS(RAB!$F$14:$F$173,RAB!$C$14:$C$173,C333)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72">
        <f ca="1">SUMIFS(RAB!$F$14:$F$173,RAB!$C$14:$C$173,C334)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72">
        <f ca="1">SUMIFS(RAB!$F$14:$F$173,RAB!$C$14:$C$173,C335)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72">
        <f ca="1">SUMIFS(RAB!$F$14:$F$173,RAB!$C$14:$C$173,C336)</f>
        <v>9</v>
      </c>
      <c r="E336" s="24">
        <f t="shared" ca="1" si="22"/>
        <v>1</v>
      </c>
      <c r="F336" s="24">
        <f ca="1">IF(D336=0,0,SUM($E$223:E336))</f>
        <v>4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72">
        <f ca="1">SUMIFS(RAB!$F$14:$F$173,RAB!$C$14:$C$173,C337)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72">
        <f ca="1">SUMIFS(RAB!$F$14:$F$173,RAB!$C$14:$C$173,C338)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72">
        <f ca="1">SUMIFS(RAB!$F$14:$F$173,RAB!$C$14:$C$173,C339)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70 mm²</v>
      </c>
      <c r="D340" s="72">
        <f ca="1">SUMIFS(RAB!$F$14:$F$173,RAB!$C$14:$C$173,C340)</f>
        <v>942</v>
      </c>
      <c r="E340" s="24">
        <f t="shared" ca="1" si="22"/>
        <v>1</v>
      </c>
      <c r="F340" s="24">
        <f ca="1">IF(D340=0,0,SUM($E$223:E340))</f>
        <v>5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150 mm²</v>
      </c>
      <c r="D341" s="72">
        <f ca="1">SUMIFS(RAB!$F$14:$F$173,RAB!$C$14:$C$173,C341)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 240 mm²</v>
      </c>
      <c r="D342" s="72">
        <f ca="1">SUMIFS(RAB!$F$14:$F$173,RAB!$C$14:$C$173,C342)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70 mm²</v>
      </c>
      <c r="D343" s="72">
        <f ca="1">SUMIFS(RAB!$F$14:$F$173,RAB!$C$14:$C$173,C343)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72">
        <f ca="1">SUMIFS(RAB!$F$14:$F$173,RAB!$C$14:$C$173,C344)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72">
        <f ca="1">SUMIFS(RAB!$F$14:$F$173,RAB!$C$14:$C$173,C345)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72">
        <f ca="1">SUMIFS(RAB!$F$14:$F$173,RAB!$C$14:$C$173,C346)</f>
        <v>169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72">
        <f ca="1">SUMIFS(RAB!$F$14:$F$173,RAB!$C$14:$C$173,C347)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72">
        <f ca="1">SUMIFS(RAB!$F$14:$F$173,RAB!$C$14:$C$173,C348)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72">
        <f ca="1">SUMIFS(RAB!$F$14:$F$173,RAB!$C$14:$C$173,C349)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72">
        <f ca="1">SUMIFS(RAB!$F$14:$F$173,RAB!$C$14:$C$173,C350)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72">
        <f ca="1">SUMIFS(RAB!$F$14:$F$173,RAB!$C$14:$C$173,C351)</f>
        <v>2590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72">
        <f ca="1">SUMIFS(RAB!$F$14:$F$173,RAB!$C$14:$C$173,C352)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72">
        <f ca="1">SUMIFS(RAB!$F$14:$F$173,RAB!$C$14:$C$173,C353)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72">
        <f ca="1">SUMIFS(RAB!$F$14:$F$173,RAB!$C$14:$C$173,C354)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72">
        <f ca="1">SUMIFS(RAB!$F$14:$F$173,RAB!$C$14:$C$173,C355)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72">
        <f ca="1">SUMIFS(RAB!$F$14:$F$173,RAB!$C$14:$C$173,C356)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72">
        <f ca="1">SUMIFS(RAB!$F$14:$F$173,RAB!$C$14:$C$173,C357)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72">
        <f ca="1">SUMIFS(RAB!$F$14:$F$173,RAB!$C$14:$C$173,C358)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72">
        <f ca="1">SUMIFS(RAB!$F$14:$F$173,RAB!$C$14:$C$173,C359)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72">
        <f ca="1">SUMIFS(RAB!$F$14:$F$173,RAB!$C$14:$C$173,C360)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72">
        <f ca="1">SUMIFS(RAB!$F$14:$F$173,RAB!$C$14:$C$173,C361)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72">
        <f ca="1">SUMIFS(RAB!$F$14:$F$173,RAB!$C$14:$C$173,C362)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72">
        <f ca="1">SUMIFS(RAB!$F$14:$F$173,RAB!$C$14:$C$173,C363)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72">
        <f ca="1">SUMIFS(RAB!$F$14:$F$173,RAB!$C$14:$C$173,C364)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SUMIFS(RAB!$F$14:$F$173,RAB!$C$14:$C$173,C365)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SUMIFS(RAB!$F$14:$F$173,RAB!$C$14:$C$173,C366)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SUMIFS(RAB!$F$14:$F$173,RAB!$C$14:$C$173,C367)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SUMIFS(RAB!$F$14:$F$173,RAB!$C$14:$C$173,C368)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SUMIFS(RAB!$F$14:$F$173,RAB!$C$14:$C$173,C369)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SUMIFS(RAB!$F$14:$F$173,RAB!$C$14:$C$173,C370)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SUMIFS(RAB!$F$14:$F$173,RAB!$C$14:$C$173,C371)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SUMIFS(RAB!$F$14:$F$173,RAB!$C$14:$C$173,C372)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SUMIFS(RAB!$F$14:$F$173,RAB!$C$14:$C$173,C373)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922" activePane="bottomRight" state="frozen"/>
      <selection activeCell="D209" sqref="D209"/>
      <selection pane="topRight" activeCell="D209" sqref="D209"/>
      <selection pane="bottomLeft" activeCell="D209" sqref="D209"/>
      <selection pane="bottomRight" activeCell="C931" sqref="C931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46" t="s">
        <v>41</v>
      </c>
      <c r="C2" s="54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7" t="s">
        <v>23</v>
      </c>
      <c r="C4" s="548" t="s">
        <v>1012</v>
      </c>
      <c r="D4" s="548" t="s">
        <v>42</v>
      </c>
      <c r="E4" s="547" t="s">
        <v>43</v>
      </c>
      <c r="F4" s="108" t="s">
        <v>1598</v>
      </c>
      <c r="G4" s="108" t="s">
        <v>1597</v>
      </c>
      <c r="H4" s="54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7"/>
      <c r="C5" s="548"/>
      <c r="D5" s="548"/>
      <c r="E5" s="547"/>
      <c r="F5" s="93"/>
      <c r="G5" s="93"/>
      <c r="H5" s="545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141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6" t="s">
        <v>1617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24"/>
        <v>113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8" t="s">
        <v>1616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0">IF(L218=0,M218,L218)</f>
        <v>115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24"/>
        <v>117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24"/>
        <v>118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9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123</v>
      </c>
      <c r="M230" s="155">
        <f>IF(K230=1,SUM($K$6:K230),0)</f>
        <v>0</v>
      </c>
      <c r="N230" s="165">
        <f t="shared" ref="N230" si="35">IF(L230=0,M230,L230)</f>
        <v>123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24"/>
        <v>124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9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0">IF(L233=0,M233,L233)</f>
        <v>126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130</v>
      </c>
      <c r="M239" s="155">
        <f>IF(K239=1,SUM($K$6:K239),0)</f>
        <v>0</v>
      </c>
      <c r="N239" s="165">
        <f t="shared" si="24"/>
        <v>130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131</v>
      </c>
      <c r="M241" s="155">
        <f>IF(K241=1,SUM($K$6:K241),0)</f>
        <v>0</v>
      </c>
      <c r="N241" s="165">
        <f t="shared" si="24"/>
        <v>131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24"/>
        <v>132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136</v>
      </c>
      <c r="M253" s="155">
        <f>IF(K253=1,SUM($K$6:K253),0)</f>
        <v>0</v>
      </c>
      <c r="N253" s="165">
        <f t="shared" si="24"/>
        <v>136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24"/>
        <v>137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5"/>
        <v>140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45"/>
        <v>141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9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6" t="s">
        <v>1619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9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6" t="s">
        <v>1618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9" t="s">
        <v>1620</v>
      </c>
      <c r="D1043" s="226" t="s">
        <v>47</v>
      </c>
      <c r="E1043" s="227" t="s">
        <v>14</v>
      </c>
      <c r="F1043" s="228">
        <v>11600</v>
      </c>
      <c r="G1043" s="493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9" t="s">
        <v>1621</v>
      </c>
      <c r="D1044" s="226" t="s">
        <v>47</v>
      </c>
      <c r="E1044" s="227" t="s">
        <v>14</v>
      </c>
      <c r="F1044" s="228">
        <v>10700</v>
      </c>
      <c r="G1044" s="493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9" t="s">
        <v>1622</v>
      </c>
      <c r="D1045" s="226" t="s">
        <v>47</v>
      </c>
      <c r="E1045" s="227" t="s">
        <v>14</v>
      </c>
      <c r="F1045" s="228">
        <v>11600</v>
      </c>
      <c r="G1045" s="493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9" t="s">
        <v>1623</v>
      </c>
      <c r="D1046" s="226" t="s">
        <v>47</v>
      </c>
      <c r="E1046" s="227" t="s">
        <v>14</v>
      </c>
      <c r="F1046" s="228">
        <v>10700</v>
      </c>
      <c r="G1046" s="493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8 B190:G214 B189 D189:G189 B305:G305 B306 D306:G306 B234:G292 B294:G303 B293 D293:G293 B307:G1042 B1047:G1505 B1043:B1046 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8" priority="8" operator="equal">
      <formula>0</formula>
    </cfRule>
  </conditionalFormatting>
  <conditionalFormatting sqref="B218 D218:G218">
    <cfRule type="cellIs" dxfId="27" priority="15" operator="equal">
      <formula>0</formula>
    </cfRule>
  </conditionalFormatting>
  <conditionalFormatting sqref="B8:C135">
    <cfRule type="cellIs" dxfId="26" priority="70" operator="equal">
      <formula>0</formula>
    </cfRule>
  </conditionalFormatting>
  <conditionalFormatting sqref="B217:G217">
    <cfRule type="cellIs" dxfId="25" priority="20" operator="equal">
      <formula>0</formula>
    </cfRule>
  </conditionalFormatting>
  <conditionalFormatting sqref="B219:G292 B293 D293:G293 B294:G305 B306 D306:G306">
    <cfRule type="cellIs" dxfId="24" priority="3" operator="equal">
      <formula>0</formula>
    </cfRule>
  </conditionalFormatting>
  <conditionalFormatting sqref="B307:G1505">
    <cfRule type="cellIs" dxfId="23" priority="1" operator="equal">
      <formula>0</formula>
    </cfRule>
  </conditionalFormatting>
  <conditionalFormatting sqref="C143:G149">
    <cfRule type="cellIs" dxfId="22" priority="24" operator="equal">
      <formula>0</formula>
    </cfRule>
  </conditionalFormatting>
  <conditionalFormatting sqref="D9:G142">
    <cfRule type="cellIs" dxfId="21" priority="30" operator="equal">
      <formula>0</formula>
    </cfRule>
  </conditionalFormatting>
  <conditionalFormatting sqref="D1:IV5 A1:C7 D6:K6 H1467:IV1469 H1470:XFD1497 H1498:H1505 I1498:XFD1506 A1506:H1506 A1507:XFD65548">
    <cfRule type="cellIs" dxfId="20" priority="182" operator="equal">
      <formula>0</formula>
    </cfRule>
  </conditionalFormatting>
  <conditionalFormatting sqref="D7:IV8 C136:C142 B136:B149 B150:G188 B189 D189:G189 B190:G214 B215:B216 D215:G216">
    <cfRule type="cellIs" dxfId="19" priority="81" operator="equal">
      <formula>0</formula>
    </cfRule>
  </conditionalFormatting>
  <conditionalFormatting sqref="H9:H1430">
    <cfRule type="cellIs" dxfId="18" priority="7" operator="equal">
      <formula>0</formula>
    </cfRule>
  </conditionalFormatting>
  <conditionalFormatting sqref="H1431:I1466">
    <cfRule type="cellIs" dxfId="17" priority="147" operator="equal">
      <formula>0</formula>
    </cfRule>
  </conditionalFormatting>
  <conditionalFormatting sqref="I108:I1430">
    <cfRule type="cellIs" dxfId="16" priority="6" operator="equal">
      <formula>0</formula>
    </cfRule>
  </conditionalFormatting>
  <conditionalFormatting sqref="I9:IV107">
    <cfRule type="cellIs" dxfId="15" priority="157" operator="equal">
      <formula>0</formula>
    </cfRule>
  </conditionalFormatting>
  <conditionalFormatting sqref="J108:IV1466">
    <cfRule type="cellIs" dxfId="14" priority="9" operator="equal">
      <formula>0</formula>
    </cfRule>
  </conditionalFormatting>
  <conditionalFormatting sqref="M6:IV6">
    <cfRule type="cellIs" dxfId="13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53" t="s">
        <v>1453</v>
      </c>
      <c r="C2" s="553"/>
      <c r="D2" s="553"/>
      <c r="E2" s="55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58" t="s">
        <v>1528</v>
      </c>
      <c r="C4" s="559"/>
      <c r="D4" s="559"/>
      <c r="E4" s="560"/>
      <c r="F4" s="370"/>
      <c r="G4" s="370"/>
      <c r="H4" s="371"/>
      <c r="I4" s="585" t="s">
        <v>1529</v>
      </c>
      <c r="J4" s="586"/>
      <c r="K4" s="586"/>
      <c r="L4" s="587"/>
    </row>
    <row r="5" spans="1:12" ht="34.5" customHeight="1">
      <c r="A5" s="193"/>
      <c r="B5" s="373" t="s">
        <v>1378</v>
      </c>
      <c r="C5" s="224" t="s">
        <v>9</v>
      </c>
      <c r="D5" s="554" t="str">
        <f>DATA!D14</f>
        <v>PB An. PERUM GRIYA PUTRA MANGUNJIWAN ASRI 7</v>
      </c>
      <c r="E5" s="555"/>
      <c r="F5" s="197"/>
      <c r="G5" s="197"/>
      <c r="I5" s="374" t="s">
        <v>1378</v>
      </c>
      <c r="J5" s="224" t="s">
        <v>9</v>
      </c>
      <c r="K5" s="588" t="str">
        <f>D5</f>
        <v>PB An. PERUM GRIYA PUTRA MANGUNJIWAN ASRI 7</v>
      </c>
      <c r="L5" s="589"/>
    </row>
    <row r="6" spans="1:12" ht="31.5" customHeight="1">
      <c r="A6" s="193"/>
      <c r="B6" s="373" t="s">
        <v>1525</v>
      </c>
      <c r="C6" s="224" t="s">
        <v>9</v>
      </c>
      <c r="D6" s="563">
        <f>DATA!D17*1000</f>
        <v>0</v>
      </c>
      <c r="E6" s="564"/>
      <c r="F6" s="197"/>
      <c r="G6" s="197"/>
      <c r="I6" s="374" t="s">
        <v>1526</v>
      </c>
      <c r="J6" s="224" t="s">
        <v>9</v>
      </c>
      <c r="K6" s="590">
        <f>DATA!D20*1000</f>
        <v>96200</v>
      </c>
      <c r="L6" s="591"/>
    </row>
    <row r="7" spans="1:12" ht="30.75" customHeight="1">
      <c r="A7" s="193"/>
      <c r="B7" s="373" t="s">
        <v>1440</v>
      </c>
      <c r="C7" s="224" t="s">
        <v>9</v>
      </c>
      <c r="D7" s="561">
        <f>DATA!D18</f>
        <v>1</v>
      </c>
      <c r="E7" s="562"/>
      <c r="F7" s="372" t="s">
        <v>1452</v>
      </c>
      <c r="I7" s="374" t="s">
        <v>1440</v>
      </c>
      <c r="J7" s="224" t="s">
        <v>9</v>
      </c>
      <c r="K7" s="592">
        <f>DATA!D21</f>
        <v>3</v>
      </c>
      <c r="L7" s="593"/>
    </row>
    <row r="8" spans="1:12" ht="51" customHeight="1">
      <c r="A8" s="193"/>
      <c r="B8" s="373" t="s">
        <v>1441</v>
      </c>
      <c r="C8" s="224" t="s">
        <v>9</v>
      </c>
      <c r="D8" s="561">
        <f>DATA!D19</f>
        <v>220</v>
      </c>
      <c r="E8" s="562"/>
      <c r="F8" s="372" t="s">
        <v>1452</v>
      </c>
      <c r="G8" s="367">
        <v>220</v>
      </c>
      <c r="I8" s="374" t="s">
        <v>1441</v>
      </c>
      <c r="J8" s="224" t="s">
        <v>9</v>
      </c>
      <c r="K8" s="592">
        <f>DATA!D22</f>
        <v>380</v>
      </c>
      <c r="L8" s="593"/>
    </row>
    <row r="9" spans="1:12" ht="30" customHeight="1" thickBot="1">
      <c r="A9" s="193"/>
      <c r="B9" s="379" t="s">
        <v>1537</v>
      </c>
      <c r="C9" s="369" t="s">
        <v>9</v>
      </c>
      <c r="D9" s="556">
        <f>IF(D7=1,D6/(380/3^0.5),(D6/(380*3^0.5)))</f>
        <v>0</v>
      </c>
      <c r="E9" s="557"/>
      <c r="F9" s="196"/>
      <c r="G9" s="368">
        <v>380</v>
      </c>
      <c r="I9" s="380" t="s">
        <v>1537</v>
      </c>
      <c r="J9" s="369" t="s">
        <v>9</v>
      </c>
      <c r="K9" s="594">
        <f>IF(K7=1,K6/(380/3^0.5),(K6/(380*3^0.5)))</f>
        <v>146.16077867379474</v>
      </c>
      <c r="L9" s="595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6.2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65"/>
      <c r="E12" s="566"/>
      <c r="F12" s="197"/>
      <c r="G12" s="197"/>
      <c r="I12" s="396" t="s">
        <v>1530</v>
      </c>
      <c r="J12" s="397" t="s">
        <v>9</v>
      </c>
      <c r="K12" s="565" t="s">
        <v>1601</v>
      </c>
      <c r="L12" s="566"/>
    </row>
    <row r="13" spans="1:12" ht="31.5" customHeight="1">
      <c r="A13" s="193"/>
      <c r="B13" s="404" t="s">
        <v>1379</v>
      </c>
      <c r="C13" s="384" t="s">
        <v>9</v>
      </c>
      <c r="D13" s="569"/>
      <c r="E13" s="570"/>
      <c r="F13" s="197"/>
      <c r="G13" s="197"/>
      <c r="I13" s="398" t="s">
        <v>1379</v>
      </c>
      <c r="J13" s="384" t="s">
        <v>9</v>
      </c>
      <c r="K13" s="569" t="s">
        <v>1602</v>
      </c>
      <c r="L13" s="570"/>
    </row>
    <row r="14" spans="1:12" ht="30.75" customHeight="1">
      <c r="A14" s="193"/>
      <c r="B14" s="404" t="s">
        <v>1531</v>
      </c>
      <c r="C14" s="384" t="s">
        <v>9</v>
      </c>
      <c r="D14" s="577"/>
      <c r="E14" s="578"/>
      <c r="F14" s="372" t="s">
        <v>1452</v>
      </c>
      <c r="G14" s="376">
        <v>50</v>
      </c>
      <c r="I14" s="398" t="s">
        <v>1531</v>
      </c>
      <c r="J14" s="384" t="s">
        <v>9</v>
      </c>
      <c r="K14" s="579">
        <v>160</v>
      </c>
      <c r="L14" s="580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81">
        <v>0</v>
      </c>
      <c r="E16" s="582"/>
      <c r="F16" s="372"/>
      <c r="G16" s="376">
        <v>160</v>
      </c>
      <c r="I16" s="398" t="s">
        <v>1533</v>
      </c>
      <c r="J16" s="384" t="s">
        <v>9</v>
      </c>
      <c r="K16" s="583">
        <f>K9</f>
        <v>146.16077867379474</v>
      </c>
      <c r="L16" s="584"/>
    </row>
    <row r="17" spans="1:12" ht="34.5" customHeight="1">
      <c r="A17" s="193"/>
      <c r="B17" s="404" t="s">
        <v>1534</v>
      </c>
      <c r="C17" s="384" t="s">
        <v>9</v>
      </c>
      <c r="D17" s="571">
        <f>IF(D15=1,D14/(20/3^0.5),(D14/(20*3^0.5)))</f>
        <v>0</v>
      </c>
      <c r="E17" s="572"/>
      <c r="F17" s="372" t="s">
        <v>1452</v>
      </c>
      <c r="G17" s="377">
        <v>200</v>
      </c>
      <c r="I17" s="398" t="s">
        <v>1534</v>
      </c>
      <c r="J17" s="384" t="s">
        <v>9</v>
      </c>
      <c r="K17" s="575">
        <f>IF(K15=1,K14/(20/3^0.5),(K14/(20*3^0.5)))</f>
        <v>4.6188021535170067</v>
      </c>
      <c r="L17" s="576"/>
    </row>
    <row r="18" spans="1:12" ht="34.5" customHeight="1">
      <c r="A18" s="193"/>
      <c r="B18" s="404" t="s">
        <v>1535</v>
      </c>
      <c r="C18" s="384" t="s">
        <v>9</v>
      </c>
      <c r="D18" s="571">
        <f>IF(D15=1,D14/(380/3^0.5),(D14/(380*3^0.5)))*1000</f>
        <v>0</v>
      </c>
      <c r="E18" s="572"/>
      <c r="F18" s="372" t="s">
        <v>1452</v>
      </c>
      <c r="G18" s="377">
        <v>250</v>
      </c>
      <c r="I18" s="398" t="s">
        <v>1535</v>
      </c>
      <c r="J18" s="384" t="s">
        <v>9</v>
      </c>
      <c r="K18" s="575">
        <f>IF(K15=1,K14/(380/3^0.5),(K14/(380*3^0.5)))*1000</f>
        <v>243.0948501851056</v>
      </c>
      <c r="L18" s="576"/>
    </row>
    <row r="19" spans="1:12" ht="30" customHeight="1">
      <c r="A19" s="193"/>
      <c r="B19" s="405" t="s">
        <v>1527</v>
      </c>
      <c r="C19" s="383" t="s">
        <v>9</v>
      </c>
      <c r="D19" s="571">
        <f>IF(D15=1,D14/(380/3^0.5),(D14/(380*3^0.5)))</f>
        <v>0</v>
      </c>
      <c r="E19" s="572"/>
      <c r="F19" s="196"/>
      <c r="G19" s="368"/>
      <c r="I19" s="400" t="s">
        <v>1527</v>
      </c>
      <c r="J19" s="383" t="s">
        <v>9</v>
      </c>
      <c r="K19" s="575">
        <f>IF(K15=1,K14/(380/3^0.5),(K14/(380*3^0.5)))</f>
        <v>0.2430948501851056</v>
      </c>
      <c r="L19" s="576"/>
    </row>
    <row r="20" spans="1:12" ht="30" customHeight="1" thickBot="1">
      <c r="A20" s="193"/>
      <c r="B20" s="406" t="s">
        <v>1536</v>
      </c>
      <c r="C20" s="402" t="s">
        <v>9</v>
      </c>
      <c r="D20" s="567" t="e">
        <f>D16/D18</f>
        <v>#DIV/0!</v>
      </c>
      <c r="E20" s="568"/>
      <c r="F20" s="196"/>
      <c r="G20" s="368"/>
      <c r="I20" s="401" t="s">
        <v>1527</v>
      </c>
      <c r="J20" s="402" t="s">
        <v>9</v>
      </c>
      <c r="K20" s="573">
        <f>K16/K18</f>
        <v>0.60124999999999995</v>
      </c>
      <c r="L20" s="574"/>
    </row>
    <row r="21" spans="1:12" ht="9.75" customHeight="1">
      <c r="A21" s="193"/>
      <c r="B21" s="391" t="s">
        <v>1536</v>
      </c>
      <c r="C21" s="392" t="s">
        <v>9</v>
      </c>
      <c r="D21" s="552">
        <v>1</v>
      </c>
      <c r="E21" s="552"/>
      <c r="F21" s="393"/>
      <c r="G21" s="394"/>
      <c r="H21" s="395"/>
      <c r="I21" s="391" t="s">
        <v>1527</v>
      </c>
      <c r="J21" s="392" t="s">
        <v>9</v>
      </c>
      <c r="K21" s="552">
        <v>1</v>
      </c>
      <c r="L21" s="552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5" thickBot="1"/>
    <row r="24" spans="1:12" ht="200.25" customHeight="1" thickBot="1">
      <c r="B24" s="549"/>
      <c r="C24" s="550"/>
      <c r="D24" s="550"/>
      <c r="E24" s="551"/>
      <c r="I24" s="549"/>
      <c r="J24" s="550"/>
      <c r="K24" s="550"/>
      <c r="L24" s="551"/>
    </row>
    <row r="26" spans="1:12">
      <c r="D26" s="386"/>
    </row>
    <row r="27" spans="1:12">
      <c r="D27" s="38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2" priority="5" stopIfTrue="1" operator="greaterThan">
      <formula>0.89</formula>
    </cfRule>
    <cfRule type="cellIs" dxfId="1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U24" sqref="U24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96"/>
      <c r="C1" s="596"/>
      <c r="D1" s="59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0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96.2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60702200.000000007</v>
      </c>
    </row>
    <row r="10" spans="2:11" ht="20.100000000000001" customHeight="1">
      <c r="B10" s="238" t="s">
        <v>1445</v>
      </c>
      <c r="C10" s="239" t="s">
        <v>9</v>
      </c>
      <c r="D10" s="245">
        <f ca="1">RAB!K179</f>
        <v>266166206.12272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5323324.1224544002</v>
      </c>
    </row>
    <row r="12" spans="2:11" ht="9" customHeight="1">
      <c r="B12" s="597"/>
      <c r="C12" s="597"/>
      <c r="D12" s="597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PB An. PERUM GRIYA PUTRA MANGUNJIWAN ASRI 7</v>
      </c>
      <c r="E14" s="247" t="s">
        <v>1452</v>
      </c>
    </row>
    <row r="15" spans="2:11" ht="20.100000000000001" customHeight="1">
      <c r="B15" s="359" t="s">
        <v>1446</v>
      </c>
      <c r="C15" s="360" t="s">
        <v>9</v>
      </c>
      <c r="D15" s="364" t="s">
        <v>1646</v>
      </c>
      <c r="E15" s="247" t="s">
        <v>1452</v>
      </c>
    </row>
    <row r="16" spans="2:11" ht="20.100000000000001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00000000000001" customHeight="1">
      <c r="B17" s="359" t="s">
        <v>1448</v>
      </c>
      <c r="C17" s="360" t="s">
        <v>9</v>
      </c>
      <c r="D17" s="364">
        <v>0</v>
      </c>
      <c r="E17" s="247" t="s">
        <v>1452</v>
      </c>
      <c r="F17" s="496">
        <f>D17/(20*SQRT(3))</f>
        <v>0</v>
      </c>
    </row>
    <row r="18" spans="2:6" ht="20.100000000000001" hidden="1" customHeight="1">
      <c r="B18" s="359" t="s">
        <v>1539</v>
      </c>
      <c r="C18" s="360"/>
      <c r="D18" s="365">
        <f>IF((D17&lt;=11),1,3)</f>
        <v>1</v>
      </c>
      <c r="E18" s="247"/>
    </row>
    <row r="19" spans="2:6" ht="20.100000000000001" hidden="1" customHeight="1">
      <c r="B19" s="359" t="s">
        <v>1540</v>
      </c>
      <c r="C19" s="360"/>
      <c r="D19" s="365">
        <f>IF((D17&lt;=11),220,380)</f>
        <v>220</v>
      </c>
      <c r="E19" s="247"/>
    </row>
    <row r="20" spans="2:6" ht="20.100000000000001" customHeight="1">
      <c r="B20" s="359" t="s">
        <v>1449</v>
      </c>
      <c r="C20" s="360" t="s">
        <v>9</v>
      </c>
      <c r="D20" s="364">
        <f>(1300*74)/1000</f>
        <v>96.2</v>
      </c>
      <c r="E20" s="247" t="s">
        <v>1452</v>
      </c>
      <c r="F20" s="496">
        <f>D20/(20*SQRT(3))</f>
        <v>2.7770547948021003</v>
      </c>
    </row>
    <row r="21" spans="2:6" ht="20.100000000000001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00000000000001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00000000000001" customHeight="1">
      <c r="B23" s="359" t="s">
        <v>1352</v>
      </c>
      <c r="C23" s="360" t="s">
        <v>9</v>
      </c>
      <c r="D23" s="364">
        <v>1444.7</v>
      </c>
      <c r="E23" s="247" t="s">
        <v>1452</v>
      </c>
    </row>
    <row r="24" spans="2:6" ht="20.100000000000001" customHeight="1">
      <c r="B24" s="359" t="s">
        <v>1353</v>
      </c>
      <c r="C24" s="360" t="s">
        <v>9</v>
      </c>
      <c r="D24" s="364">
        <v>1444.7</v>
      </c>
      <c r="E24" s="247" t="s">
        <v>1452</v>
      </c>
    </row>
    <row r="25" spans="2:6" ht="20.100000000000001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00000000000001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  <pageSetUpPr fitToPage="1"/>
  </sheetPr>
  <dimension ref="A1:V39"/>
  <sheetViews>
    <sheetView showGridLines="0" tabSelected="1" view="pageBreakPreview" zoomScale="70" zoomScaleNormal="70" zoomScaleSheetLayoutView="70" workbookViewId="0">
      <pane ySplit="6" topLeftCell="A7" activePane="bottomLeft" state="frozen"/>
      <selection activeCell="H105" sqref="H105"/>
      <selection pane="bottomLeft" activeCell="H105" sqref="H105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98" t="s">
        <v>1356</v>
      </c>
      <c r="C3" s="598"/>
      <c r="D3" s="598"/>
      <c r="E3" s="598"/>
      <c r="F3" s="252" t="str">
        <f>DATA!D14</f>
        <v>PB An. PERUM GRIYA PUTRA MANGUNJIWAN ASRI 7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9" t="s">
        <v>1348</v>
      </c>
      <c r="C5" s="599" t="s">
        <v>1357</v>
      </c>
      <c r="D5" s="600" t="s">
        <v>1358</v>
      </c>
      <c r="E5" s="600" t="s">
        <v>1359</v>
      </c>
      <c r="F5" s="599" t="s">
        <v>1360</v>
      </c>
      <c r="G5" s="599"/>
      <c r="H5" s="599"/>
      <c r="I5" s="599"/>
      <c r="J5" s="599"/>
      <c r="K5" s="599" t="s">
        <v>1361</v>
      </c>
      <c r="L5" s="599"/>
      <c r="M5" s="254"/>
      <c r="N5" s="603" t="s">
        <v>1362</v>
      </c>
      <c r="O5" s="600" t="s">
        <v>1363</v>
      </c>
      <c r="P5" s="600" t="s">
        <v>1364</v>
      </c>
      <c r="Q5" s="600" t="s">
        <v>1365</v>
      </c>
      <c r="R5" s="255"/>
      <c r="S5" s="256"/>
      <c r="T5" s="601" t="s">
        <v>1366</v>
      </c>
      <c r="U5" s="257"/>
    </row>
    <row r="6" spans="1:21" ht="20.100000000000001" customHeight="1">
      <c r="B6" s="599"/>
      <c r="C6" s="599"/>
      <c r="D6" s="599"/>
      <c r="E6" s="59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4"/>
      <c r="O6" s="599"/>
      <c r="P6" s="599"/>
      <c r="Q6" s="599"/>
      <c r="R6" s="255"/>
      <c r="S6" s="256"/>
      <c r="T6" s="599"/>
      <c r="U6" s="259"/>
    </row>
    <row r="7" spans="1:21" ht="20.100000000000001" customHeight="1">
      <c r="A7" s="260">
        <v>0</v>
      </c>
      <c r="B7" s="261">
        <v>2023</v>
      </c>
      <c r="C7" s="407">
        <f>DATA!D8*DATA!D26*6</f>
        <v>23088</v>
      </c>
      <c r="D7" s="263">
        <f>C7*4/24</f>
        <v>3848</v>
      </c>
      <c r="E7" s="263">
        <f>C7-D7</f>
        <v>19240</v>
      </c>
      <c r="F7" s="264">
        <f ca="1">DATA!D10/1000000</f>
        <v>266.16620612271998</v>
      </c>
      <c r="G7" s="265">
        <f ca="1">DATA!$D$11/1000000</f>
        <v>5.3233241224543999</v>
      </c>
      <c r="H7" s="265">
        <f>C7*DATA!$D$5/1000000</f>
        <v>25.030279059429454</v>
      </c>
      <c r="I7" s="265">
        <f>(C7*DATA!$D$5*DATA!$D$7)/1000000</f>
        <v>0.56318127883716262</v>
      </c>
      <c r="J7" s="263">
        <f ca="1">SUM(F7:I7)</f>
        <v>297.08299058344096</v>
      </c>
      <c r="K7" s="266">
        <f>DATA!D9/1000000</f>
        <v>60.702200000000005</v>
      </c>
      <c r="L7" s="263">
        <f>((D7*DATA!$D$23)/1000000)+((E7*DATA!$D$24)/1000000)</f>
        <v>33.355233599999998</v>
      </c>
      <c r="M7" s="263">
        <f>K7+L7</f>
        <v>94.057433599999996</v>
      </c>
      <c r="N7" s="263">
        <f ca="1">M7-J7</f>
        <v>-203.02555698344096</v>
      </c>
      <c r="O7" s="261">
        <v>1</v>
      </c>
      <c r="P7" s="263">
        <f ca="1">O7*N7</f>
        <v>-203.02555698344096</v>
      </c>
      <c r="Q7" s="263">
        <f ca="1">P7</f>
        <v>-203.02555698344096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46176</v>
      </c>
      <c r="D8" s="263">
        <f>C8*4/24</f>
        <v>7696</v>
      </c>
      <c r="E8" s="263">
        <f t="shared" ref="E8:E32" si="0">C8-D8</f>
        <v>38480</v>
      </c>
      <c r="F8" s="261"/>
      <c r="G8" s="265">
        <f ca="1">DATA!$D$11/1000000</f>
        <v>5.3233241224543999</v>
      </c>
      <c r="H8" s="265">
        <f>C8*DATA!$D$5/1000000</f>
        <v>50.060558118858907</v>
      </c>
      <c r="I8" s="265">
        <f>(C8*DATA!$D$5*DATA!$D$7)/1000000</f>
        <v>1.1263625576743252</v>
      </c>
      <c r="J8" s="263">
        <f t="shared" ref="J8:J32" ca="1" si="1">SUM(F8:I8)</f>
        <v>56.510244798987635</v>
      </c>
      <c r="K8" s="268"/>
      <c r="L8" s="263">
        <f>((D8*DATA!$D$23)/1000000)+((E8*DATA!$D$24)/1000000)</f>
        <v>66.710467199999997</v>
      </c>
      <c r="M8" s="263">
        <f t="shared" ref="M8:M32" si="2">K8+L8</f>
        <v>66.710467199999997</v>
      </c>
      <c r="N8" s="263">
        <f ca="1">M8-J8</f>
        <v>10.200222401012361</v>
      </c>
      <c r="O8" s="262">
        <f>1/(1+'[91]Asumsi I'!$C$3)^(KKF!A8)</f>
        <v>0.89285714285714279</v>
      </c>
      <c r="P8" s="263">
        <f ca="1">O8*N8</f>
        <v>9.107341429475321</v>
      </c>
      <c r="Q8" s="263">
        <f ca="1">Q7+P8</f>
        <v>-193.91821555396564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46176</v>
      </c>
      <c r="D9" s="263">
        <f t="shared" ref="D9:D32" si="5">C9*4/24</f>
        <v>7696</v>
      </c>
      <c r="E9" s="263">
        <f t="shared" si="0"/>
        <v>38480</v>
      </c>
      <c r="F9" s="261"/>
      <c r="G9" s="265">
        <f ca="1">DATA!$D$11/1000000</f>
        <v>5.3233241224543999</v>
      </c>
      <c r="H9" s="265">
        <f>C9*DATA!$D$5/1000000</f>
        <v>50.060558118858907</v>
      </c>
      <c r="I9" s="265">
        <f>(C9*DATA!$D$5*DATA!$D$7)/1000000</f>
        <v>1.1263625576743252</v>
      </c>
      <c r="J9" s="263">
        <f t="shared" ca="1" si="1"/>
        <v>56.510244798987635</v>
      </c>
      <c r="K9" s="263"/>
      <c r="L9" s="263">
        <f>((D9*DATA!$D$23)/1000000)+((E9*DATA!$D$24)/1000000)</f>
        <v>66.710467199999997</v>
      </c>
      <c r="M9" s="263">
        <f t="shared" si="2"/>
        <v>66.710467199999997</v>
      </c>
      <c r="N9" s="263">
        <f t="shared" ref="N9:N32" ca="1" si="6">M9-J9</f>
        <v>10.200222401012361</v>
      </c>
      <c r="O9" s="269">
        <f>1/(1+'[91]Asumsi I'!$C$3)^(KKF!A9)</f>
        <v>0.79719387755102034</v>
      </c>
      <c r="P9" s="263">
        <f t="shared" ref="P9:P32" ca="1" si="7">O9*N9</f>
        <v>8.1315548477458233</v>
      </c>
      <c r="Q9" s="263">
        <f ca="1">Q8+P9</f>
        <v>-185.78666070621981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46176</v>
      </c>
      <c r="D10" s="263">
        <f t="shared" si="5"/>
        <v>7696</v>
      </c>
      <c r="E10" s="263">
        <f t="shared" si="0"/>
        <v>38480</v>
      </c>
      <c r="F10" s="261"/>
      <c r="G10" s="265">
        <f ca="1">DATA!$D$11/1000000</f>
        <v>5.3233241224543999</v>
      </c>
      <c r="H10" s="265">
        <f>C10*DATA!$D$5/1000000</f>
        <v>50.060558118858907</v>
      </c>
      <c r="I10" s="265">
        <f>(C10*DATA!$D$5*DATA!$D$7)/1000000</f>
        <v>1.1263625576743252</v>
      </c>
      <c r="J10" s="263">
        <f t="shared" ca="1" si="1"/>
        <v>56.510244798987635</v>
      </c>
      <c r="K10" s="261"/>
      <c r="L10" s="263">
        <f>((D10*DATA!$D$23)/1000000)+((E10*DATA!$D$24)/1000000)</f>
        <v>66.710467199999997</v>
      </c>
      <c r="M10" s="263">
        <f t="shared" si="2"/>
        <v>66.710467199999997</v>
      </c>
      <c r="N10" s="263">
        <f t="shared" ca="1" si="6"/>
        <v>10.200222401012361</v>
      </c>
      <c r="O10" s="262">
        <f>1/(1+'[91]Asumsi I'!$C$3)^(KKF!A10)</f>
        <v>0.71178024781341087</v>
      </c>
      <c r="P10" s="263">
        <f t="shared" ca="1" si="7"/>
        <v>7.2603168283444832</v>
      </c>
      <c r="Q10" s="263">
        <f t="shared" ref="Q10:Q30" ca="1" si="9">Q9+P10</f>
        <v>-178.52634387787532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46176</v>
      </c>
      <c r="D11" s="263">
        <f t="shared" si="5"/>
        <v>7696</v>
      </c>
      <c r="E11" s="263">
        <f t="shared" si="0"/>
        <v>38480</v>
      </c>
      <c r="F11" s="261"/>
      <c r="G11" s="265">
        <f ca="1">DATA!$D$11/1000000</f>
        <v>5.3233241224543999</v>
      </c>
      <c r="H11" s="265">
        <f>C11*DATA!$D$5/1000000</f>
        <v>50.060558118858907</v>
      </c>
      <c r="I11" s="265">
        <f>(C11*DATA!$D$5*DATA!$D$7)/1000000</f>
        <v>1.1263625576743252</v>
      </c>
      <c r="J11" s="263">
        <f t="shared" ca="1" si="1"/>
        <v>56.510244798987635</v>
      </c>
      <c r="K11" s="261"/>
      <c r="L11" s="263">
        <f>((D11*DATA!$D$23)/1000000)+((E11*DATA!$D$24)/1000000)</f>
        <v>66.710467199999997</v>
      </c>
      <c r="M11" s="263">
        <f t="shared" si="2"/>
        <v>66.710467199999997</v>
      </c>
      <c r="N11" s="263">
        <f t="shared" ca="1" si="6"/>
        <v>10.200222401012361</v>
      </c>
      <c r="O11" s="262">
        <f>1/(1+'[91]Asumsi I'!$C$3)^(KKF!A11)</f>
        <v>0.63551807840483121</v>
      </c>
      <c r="P11" s="263">
        <f t="shared" ca="1" si="7"/>
        <v>6.4824257395932898</v>
      </c>
      <c r="Q11" s="263">
        <f t="shared" ca="1" si="9"/>
        <v>-172.04391813828204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46176</v>
      </c>
      <c r="D12" s="263">
        <f t="shared" si="5"/>
        <v>7696</v>
      </c>
      <c r="E12" s="263">
        <f t="shared" si="0"/>
        <v>38480</v>
      </c>
      <c r="F12" s="261"/>
      <c r="G12" s="265">
        <f ca="1">DATA!$D$11/1000000</f>
        <v>5.3233241224543999</v>
      </c>
      <c r="H12" s="265">
        <f>C12*DATA!$D$5/1000000</f>
        <v>50.060558118858907</v>
      </c>
      <c r="I12" s="265">
        <f>(C12*DATA!$D$5*DATA!$D$7)/1000000</f>
        <v>1.1263625576743252</v>
      </c>
      <c r="J12" s="263">
        <f t="shared" ca="1" si="1"/>
        <v>56.510244798987635</v>
      </c>
      <c r="K12" s="261"/>
      <c r="L12" s="263">
        <f>((D12*DATA!$D$23)/1000000)+((E12*DATA!$D$24)/1000000)</f>
        <v>66.710467199999997</v>
      </c>
      <c r="M12" s="263">
        <f t="shared" si="2"/>
        <v>66.710467199999997</v>
      </c>
      <c r="N12" s="263">
        <f t="shared" ca="1" si="6"/>
        <v>10.200222401012361</v>
      </c>
      <c r="O12" s="262">
        <f>1/(1+'[91]Asumsi I'!$C$3)^(KKF!A12)</f>
        <v>0.56742685571859919</v>
      </c>
      <c r="P12" s="263">
        <f t="shared" ca="1" si="7"/>
        <v>5.7878801246368647</v>
      </c>
      <c r="Q12" s="263">
        <f t="shared" ca="1" si="9"/>
        <v>-166.25603801364517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46176</v>
      </c>
      <c r="D13" s="263">
        <f t="shared" si="5"/>
        <v>7696</v>
      </c>
      <c r="E13" s="263">
        <f t="shared" si="0"/>
        <v>38480</v>
      </c>
      <c r="F13" s="261"/>
      <c r="G13" s="265">
        <f ca="1">DATA!$D$11/1000000</f>
        <v>5.3233241224543999</v>
      </c>
      <c r="H13" s="265">
        <f>C13*DATA!$D$5/1000000</f>
        <v>50.060558118858907</v>
      </c>
      <c r="I13" s="265">
        <f>(C13*DATA!$D$5*DATA!$D$7)/1000000</f>
        <v>1.1263625576743252</v>
      </c>
      <c r="J13" s="263">
        <f t="shared" ca="1" si="1"/>
        <v>56.510244798987635</v>
      </c>
      <c r="K13" s="261"/>
      <c r="L13" s="263">
        <f>((D13*DATA!$D$23)/1000000)+((E13*DATA!$D$24)/1000000)</f>
        <v>66.710467199999997</v>
      </c>
      <c r="M13" s="263">
        <f t="shared" si="2"/>
        <v>66.710467199999997</v>
      </c>
      <c r="N13" s="263">
        <f t="shared" ca="1" si="6"/>
        <v>10.200222401012361</v>
      </c>
      <c r="O13" s="262">
        <f>1/(1+'[91]Asumsi I'!$C$3)^(KKF!A13)</f>
        <v>0.50663112117732068</v>
      </c>
      <c r="P13" s="263">
        <f t="shared" ca="1" si="7"/>
        <v>5.1677501112829143</v>
      </c>
      <c r="Q13" s="263">
        <f t="shared" ca="1" si="9"/>
        <v>-161.08828790236225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46176</v>
      </c>
      <c r="D14" s="263">
        <f t="shared" si="5"/>
        <v>7696</v>
      </c>
      <c r="E14" s="263">
        <f t="shared" si="0"/>
        <v>38480</v>
      </c>
      <c r="F14" s="261"/>
      <c r="G14" s="265">
        <f ca="1">DATA!$D$11/1000000</f>
        <v>5.3233241224543999</v>
      </c>
      <c r="H14" s="265">
        <f>C14*DATA!$D$5/1000000</f>
        <v>50.060558118858907</v>
      </c>
      <c r="I14" s="265">
        <f>(C14*DATA!$D$5*DATA!$D$7)/1000000</f>
        <v>1.1263625576743252</v>
      </c>
      <c r="J14" s="263">
        <f t="shared" ca="1" si="1"/>
        <v>56.510244798987635</v>
      </c>
      <c r="K14" s="261"/>
      <c r="L14" s="263">
        <f>((D14*DATA!$D$23)/1000000)+((E14*DATA!$D$24)/1000000)</f>
        <v>66.710467199999997</v>
      </c>
      <c r="M14" s="263">
        <f t="shared" si="2"/>
        <v>66.710467199999997</v>
      </c>
      <c r="N14" s="263">
        <f t="shared" ca="1" si="6"/>
        <v>10.200222401012361</v>
      </c>
      <c r="O14" s="262">
        <f>1/(1+'[91]Asumsi I'!$C$3)^(KKF!A14)</f>
        <v>0.45234921533689343</v>
      </c>
      <c r="P14" s="263">
        <f t="shared" ca="1" si="7"/>
        <v>4.6140625993597446</v>
      </c>
      <c r="Q14" s="263">
        <f t="shared" ca="1" si="9"/>
        <v>-156.4742253030025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46176</v>
      </c>
      <c r="D15" s="263">
        <f t="shared" si="5"/>
        <v>7696</v>
      </c>
      <c r="E15" s="263">
        <f t="shared" si="0"/>
        <v>38480</v>
      </c>
      <c r="F15" s="261"/>
      <c r="G15" s="265">
        <f ca="1">DATA!$D$11/1000000</f>
        <v>5.3233241224543999</v>
      </c>
      <c r="H15" s="265">
        <f>C15*DATA!$D$5/1000000</f>
        <v>50.060558118858907</v>
      </c>
      <c r="I15" s="265">
        <f>(C15*DATA!$D$5*DATA!$D$7)/1000000</f>
        <v>1.1263625576743252</v>
      </c>
      <c r="J15" s="263">
        <f t="shared" ca="1" si="1"/>
        <v>56.510244798987635</v>
      </c>
      <c r="K15" s="261"/>
      <c r="L15" s="263">
        <f>((D15*DATA!$D$23)/1000000)+((E15*DATA!$D$24)/1000000)</f>
        <v>66.710467199999997</v>
      </c>
      <c r="M15" s="263">
        <f t="shared" si="2"/>
        <v>66.710467199999997</v>
      </c>
      <c r="N15" s="263">
        <f t="shared" ca="1" si="6"/>
        <v>10.200222401012361</v>
      </c>
      <c r="O15" s="262">
        <f>1/(1+'[91]Asumsi I'!$C$3)^(KKF!A15)</f>
        <v>0.4038832279793691</v>
      </c>
      <c r="P15" s="263">
        <f t="shared" ca="1" si="7"/>
        <v>4.119698749428343</v>
      </c>
      <c r="Q15" s="263">
        <f t="shared" ca="1" si="9"/>
        <v>-152.35452655357415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46176</v>
      </c>
      <c r="D16" s="263">
        <f t="shared" si="5"/>
        <v>7696</v>
      </c>
      <c r="E16" s="263">
        <f t="shared" si="0"/>
        <v>38480</v>
      </c>
      <c r="F16" s="261"/>
      <c r="G16" s="265">
        <f ca="1">DATA!$D$11/1000000</f>
        <v>5.3233241224543999</v>
      </c>
      <c r="H16" s="265">
        <f>C16*DATA!$D$5/1000000</f>
        <v>50.060558118858907</v>
      </c>
      <c r="I16" s="265">
        <f>(C16*DATA!$D$5*DATA!$D$7)/1000000</f>
        <v>1.1263625576743252</v>
      </c>
      <c r="J16" s="263">
        <f t="shared" ca="1" si="1"/>
        <v>56.510244798987635</v>
      </c>
      <c r="K16" s="261"/>
      <c r="L16" s="263">
        <f>((D16*DATA!$D$23)/1000000)+((E16*DATA!$D$24)/1000000)</f>
        <v>66.710467199999997</v>
      </c>
      <c r="M16" s="263">
        <f t="shared" si="2"/>
        <v>66.710467199999997</v>
      </c>
      <c r="N16" s="263">
        <f t="shared" ca="1" si="6"/>
        <v>10.200222401012361</v>
      </c>
      <c r="O16" s="262">
        <f>1/(1+'[91]Asumsi I'!$C$3)^(KKF!A16)</f>
        <v>0.36061002498157957</v>
      </c>
      <c r="P16" s="263">
        <f t="shared" ca="1" si="7"/>
        <v>3.6783024548467349</v>
      </c>
      <c r="Q16" s="263">
        <f t="shared" ca="1" si="9"/>
        <v>-148.6762240987274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46176</v>
      </c>
      <c r="D17" s="263">
        <f t="shared" si="5"/>
        <v>7696</v>
      </c>
      <c r="E17" s="263">
        <f t="shared" si="0"/>
        <v>38480</v>
      </c>
      <c r="F17" s="261"/>
      <c r="G17" s="265">
        <f ca="1">DATA!$D$11/1000000</f>
        <v>5.3233241224543999</v>
      </c>
      <c r="H17" s="265">
        <f>C17*DATA!$D$5/1000000</f>
        <v>50.060558118858907</v>
      </c>
      <c r="I17" s="265">
        <f>(C17*DATA!$D$5*DATA!$D$7)/1000000</f>
        <v>1.1263625576743252</v>
      </c>
      <c r="J17" s="263">
        <f t="shared" ca="1" si="1"/>
        <v>56.510244798987635</v>
      </c>
      <c r="K17" s="261"/>
      <c r="L17" s="263">
        <f>((D17*DATA!$D$23)/1000000)+((E17*DATA!$D$24)/1000000)</f>
        <v>66.710467199999997</v>
      </c>
      <c r="M17" s="263">
        <f t="shared" si="2"/>
        <v>66.710467199999997</v>
      </c>
      <c r="N17" s="263">
        <f t="shared" ca="1" si="6"/>
        <v>10.200222401012361</v>
      </c>
      <c r="O17" s="262">
        <f>1/(1+'[91]Asumsi I'!$C$3)^(KKF!A17)</f>
        <v>0.32197323659069599</v>
      </c>
      <c r="P17" s="263">
        <f t="shared" ca="1" si="7"/>
        <v>3.28419862039887</v>
      </c>
      <c r="Q17" s="263">
        <f t="shared" ca="1" si="9"/>
        <v>-145.39202547832852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46176</v>
      </c>
      <c r="D18" s="263">
        <f t="shared" si="5"/>
        <v>7696</v>
      </c>
      <c r="E18" s="263">
        <f t="shared" si="0"/>
        <v>38480</v>
      </c>
      <c r="F18" s="261"/>
      <c r="G18" s="265">
        <f ca="1">DATA!$D$11/1000000</f>
        <v>5.3233241224543999</v>
      </c>
      <c r="H18" s="265">
        <f>C18*DATA!$D$5/1000000</f>
        <v>50.060558118858907</v>
      </c>
      <c r="I18" s="265">
        <f>(C18*DATA!$D$5*DATA!$D$7)/1000000</f>
        <v>1.1263625576743252</v>
      </c>
      <c r="J18" s="263">
        <f t="shared" ca="1" si="1"/>
        <v>56.510244798987635</v>
      </c>
      <c r="K18" s="261"/>
      <c r="L18" s="263">
        <f>((D18*DATA!$D$23)/1000000)+((E18*DATA!$D$24)/1000000)</f>
        <v>66.710467199999997</v>
      </c>
      <c r="M18" s="263">
        <f t="shared" si="2"/>
        <v>66.710467199999997</v>
      </c>
      <c r="N18" s="263">
        <f t="shared" ca="1" si="6"/>
        <v>10.200222401012361</v>
      </c>
      <c r="O18" s="262">
        <f>1/(1+'[91]Asumsi I'!$C$3)^(KKF!A18)</f>
        <v>0.28747610409883567</v>
      </c>
      <c r="P18" s="263">
        <f t="shared" ca="1" si="7"/>
        <v>2.9323201967847052</v>
      </c>
      <c r="Q18" s="263">
        <f t="shared" ca="1" si="9"/>
        <v>-142.45970528154382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46176</v>
      </c>
      <c r="D19" s="263">
        <f t="shared" si="5"/>
        <v>7696</v>
      </c>
      <c r="E19" s="263">
        <f t="shared" si="0"/>
        <v>38480</v>
      </c>
      <c r="F19" s="261"/>
      <c r="G19" s="265">
        <f ca="1">DATA!$D$11/1000000</f>
        <v>5.3233241224543999</v>
      </c>
      <c r="H19" s="265">
        <f>C19*DATA!$D$5/1000000</f>
        <v>50.060558118858907</v>
      </c>
      <c r="I19" s="265">
        <f>(C19*DATA!$D$5*DATA!$D$7)/1000000</f>
        <v>1.1263625576743252</v>
      </c>
      <c r="J19" s="263">
        <f t="shared" ca="1" si="1"/>
        <v>56.510244798987635</v>
      </c>
      <c r="K19" s="261"/>
      <c r="L19" s="263">
        <f>((D19*DATA!$D$23)/1000000)+((E19*DATA!$D$24)/1000000)</f>
        <v>66.710467199999997</v>
      </c>
      <c r="M19" s="263">
        <f t="shared" si="2"/>
        <v>66.710467199999997</v>
      </c>
      <c r="N19" s="263">
        <f t="shared" ca="1" si="6"/>
        <v>10.200222401012361</v>
      </c>
      <c r="O19" s="262">
        <f>1/(1+'[91]Asumsi I'!$C$3)^(KKF!A19)</f>
        <v>0.25667509294538904</v>
      </c>
      <c r="P19" s="263">
        <f t="shared" ca="1" si="7"/>
        <v>2.6181430328434874</v>
      </c>
      <c r="Q19" s="263">
        <f t="shared" ca="1" si="9"/>
        <v>-139.84156224870034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46176</v>
      </c>
      <c r="D20" s="263">
        <f t="shared" si="5"/>
        <v>7696</v>
      </c>
      <c r="E20" s="263">
        <f t="shared" si="0"/>
        <v>38480</v>
      </c>
      <c r="F20" s="261"/>
      <c r="G20" s="265">
        <f ca="1">DATA!$D$11/1000000</f>
        <v>5.3233241224543999</v>
      </c>
      <c r="H20" s="265">
        <f>C20*DATA!$D$5/1000000</f>
        <v>50.060558118858907</v>
      </c>
      <c r="I20" s="265">
        <f>(C20*DATA!$D$5*DATA!$D$7)/1000000</f>
        <v>1.1263625576743252</v>
      </c>
      <c r="J20" s="263">
        <f t="shared" ca="1" si="1"/>
        <v>56.510244798987635</v>
      </c>
      <c r="K20" s="261"/>
      <c r="L20" s="263">
        <f>((D20*DATA!$D$23)/1000000)+((E20*DATA!$D$24)/1000000)</f>
        <v>66.710467199999997</v>
      </c>
      <c r="M20" s="263">
        <f t="shared" si="2"/>
        <v>66.710467199999997</v>
      </c>
      <c r="N20" s="263">
        <f t="shared" ca="1" si="6"/>
        <v>10.200222401012361</v>
      </c>
      <c r="O20" s="262">
        <f>1/(1+'[91]Asumsi I'!$C$3)^(KKF!A20)</f>
        <v>0.22917419012981158</v>
      </c>
      <c r="P20" s="263">
        <f t="shared" ca="1" si="7"/>
        <v>2.3376277078959702</v>
      </c>
      <c r="Q20" s="263">
        <f t="shared" ca="1" si="9"/>
        <v>-137.50393454080438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46176</v>
      </c>
      <c r="D21" s="263">
        <f t="shared" si="5"/>
        <v>7696</v>
      </c>
      <c r="E21" s="263">
        <f t="shared" si="0"/>
        <v>38480</v>
      </c>
      <c r="F21" s="261"/>
      <c r="G21" s="265">
        <f ca="1">DATA!$D$11/1000000</f>
        <v>5.3233241224543999</v>
      </c>
      <c r="H21" s="265">
        <f>C21*DATA!$D$5/1000000</f>
        <v>50.060558118858907</v>
      </c>
      <c r="I21" s="265">
        <f>(C21*DATA!$D$5*DATA!$D$7)/1000000</f>
        <v>1.1263625576743252</v>
      </c>
      <c r="J21" s="263">
        <f t="shared" ca="1" si="1"/>
        <v>56.510244798987635</v>
      </c>
      <c r="K21" s="261"/>
      <c r="L21" s="263">
        <f>((D21*DATA!$D$23)/1000000)+((E21*DATA!$D$24)/1000000)</f>
        <v>66.710467199999997</v>
      </c>
      <c r="M21" s="263">
        <f t="shared" si="2"/>
        <v>66.710467199999997</v>
      </c>
      <c r="N21" s="263">
        <f t="shared" ca="1" si="6"/>
        <v>10.200222401012361</v>
      </c>
      <c r="O21" s="262">
        <f>1/(1+'[91]Asumsi I'!$C$3)^(KKF!A21)</f>
        <v>0.20461981261590317</v>
      </c>
      <c r="P21" s="263">
        <f t="shared" ca="1" si="7"/>
        <v>2.0871675963356875</v>
      </c>
      <c r="Q21" s="263">
        <f t="shared" ca="1" si="9"/>
        <v>-135.41676694446869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46176</v>
      </c>
      <c r="D22" s="263">
        <f t="shared" si="5"/>
        <v>7696</v>
      </c>
      <c r="E22" s="263">
        <f t="shared" si="0"/>
        <v>38480</v>
      </c>
      <c r="F22" s="261"/>
      <c r="G22" s="265">
        <f ca="1">DATA!$D$11/1000000</f>
        <v>5.3233241224543999</v>
      </c>
      <c r="H22" s="265">
        <f>C22*DATA!$D$5/1000000</f>
        <v>50.060558118858907</v>
      </c>
      <c r="I22" s="265">
        <f>(C22*DATA!$D$5*DATA!$D$7)/1000000</f>
        <v>1.1263625576743252</v>
      </c>
      <c r="J22" s="263">
        <f t="shared" ca="1" si="1"/>
        <v>56.510244798987635</v>
      </c>
      <c r="K22" s="261"/>
      <c r="L22" s="263">
        <f>((D22*DATA!$D$23)/1000000)+((E22*DATA!$D$24)/1000000)</f>
        <v>66.710467199999997</v>
      </c>
      <c r="M22" s="263">
        <f t="shared" si="2"/>
        <v>66.710467199999997</v>
      </c>
      <c r="N22" s="263">
        <f t="shared" ca="1" si="6"/>
        <v>10.200222401012361</v>
      </c>
      <c r="O22" s="262">
        <f>1/(1+'[91]Asumsi I'!$C$3)^(KKF!A22)</f>
        <v>0.18269626126419927</v>
      </c>
      <c r="P22" s="263">
        <f t="shared" ca="1" si="7"/>
        <v>1.8635424967282923</v>
      </c>
      <c r="Q22" s="263">
        <f t="shared" ca="1" si="9"/>
        <v>-133.5532244477404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46176</v>
      </c>
      <c r="D23" s="263">
        <f t="shared" si="5"/>
        <v>7696</v>
      </c>
      <c r="E23" s="263">
        <f t="shared" si="0"/>
        <v>38480</v>
      </c>
      <c r="F23" s="261"/>
      <c r="G23" s="265">
        <f ca="1">DATA!$D$11/1000000</f>
        <v>5.3233241224543999</v>
      </c>
      <c r="H23" s="265">
        <f>C23*DATA!$D$5/1000000</f>
        <v>50.060558118858907</v>
      </c>
      <c r="I23" s="265">
        <f>(C23*DATA!$D$5*DATA!$D$7)/1000000</f>
        <v>1.1263625576743252</v>
      </c>
      <c r="J23" s="263">
        <f t="shared" ca="1" si="1"/>
        <v>56.510244798987635</v>
      </c>
      <c r="K23" s="261"/>
      <c r="L23" s="263">
        <f>((D23*DATA!$D$23)/1000000)+((E23*DATA!$D$24)/1000000)</f>
        <v>66.710467199999997</v>
      </c>
      <c r="M23" s="263">
        <f t="shared" si="2"/>
        <v>66.710467199999997</v>
      </c>
      <c r="N23" s="263">
        <f t="shared" ca="1" si="6"/>
        <v>10.200222401012361</v>
      </c>
      <c r="O23" s="262">
        <f>1/(1+'[91]Asumsi I'!$C$3)^(KKF!A23)</f>
        <v>0.16312166184303503</v>
      </c>
      <c r="P23" s="263">
        <f t="shared" ca="1" si="7"/>
        <v>1.6638772292216892</v>
      </c>
      <c r="Q23" s="263">
        <f t="shared" ca="1" si="9"/>
        <v>-131.88934721851871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46176</v>
      </c>
      <c r="D24" s="263">
        <f t="shared" si="5"/>
        <v>7696</v>
      </c>
      <c r="E24" s="263">
        <f t="shared" si="0"/>
        <v>38480</v>
      </c>
      <c r="F24" s="261"/>
      <c r="G24" s="265">
        <f ca="1">DATA!$D$11/1000000</f>
        <v>5.3233241224543999</v>
      </c>
      <c r="H24" s="265">
        <f>C24*DATA!$D$5/1000000</f>
        <v>50.060558118858907</v>
      </c>
      <c r="I24" s="265">
        <f>(C24*DATA!$D$5*DATA!$D$7)/1000000</f>
        <v>1.1263625576743252</v>
      </c>
      <c r="J24" s="263">
        <f t="shared" ca="1" si="1"/>
        <v>56.510244798987635</v>
      </c>
      <c r="K24" s="261"/>
      <c r="L24" s="263">
        <f>((D24*DATA!$D$23)/1000000)+((E24*DATA!$D$24)/1000000)</f>
        <v>66.710467199999997</v>
      </c>
      <c r="M24" s="263">
        <f t="shared" si="2"/>
        <v>66.710467199999997</v>
      </c>
      <c r="N24" s="263">
        <f t="shared" ca="1" si="6"/>
        <v>10.200222401012361</v>
      </c>
      <c r="O24" s="262">
        <f>1/(1+'[91]Asumsi I'!$C$3)^(KKF!A24)</f>
        <v>0.14564434093128129</v>
      </c>
      <c r="P24" s="263">
        <f t="shared" ca="1" si="7"/>
        <v>1.485604668947937</v>
      </c>
      <c r="Q24" s="263">
        <f t="shared" ca="1" si="9"/>
        <v>-130.40374254957078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46176</v>
      </c>
      <c r="D25" s="263">
        <f t="shared" si="5"/>
        <v>7696</v>
      </c>
      <c r="E25" s="263">
        <f t="shared" si="0"/>
        <v>38480</v>
      </c>
      <c r="F25" s="261"/>
      <c r="G25" s="265">
        <f ca="1">DATA!$D$11/1000000</f>
        <v>5.3233241224543999</v>
      </c>
      <c r="H25" s="265">
        <f>C25*DATA!$D$5/1000000</f>
        <v>50.060558118858907</v>
      </c>
      <c r="I25" s="265">
        <f>(C25*DATA!$D$5*DATA!$D$7)/1000000</f>
        <v>1.1263625576743252</v>
      </c>
      <c r="J25" s="263">
        <f t="shared" ca="1" si="1"/>
        <v>56.510244798987635</v>
      </c>
      <c r="K25" s="261"/>
      <c r="L25" s="263">
        <f>((D25*DATA!$D$23)/1000000)+((E25*DATA!$D$24)/1000000)</f>
        <v>66.710467199999997</v>
      </c>
      <c r="M25" s="263">
        <f t="shared" si="2"/>
        <v>66.710467199999997</v>
      </c>
      <c r="N25" s="263">
        <f t="shared" ca="1" si="6"/>
        <v>10.200222401012361</v>
      </c>
      <c r="O25" s="262">
        <f>1/(1+'[91]Asumsi I'!$C$3)^(KKF!A25)</f>
        <v>0.13003959011721541</v>
      </c>
      <c r="P25" s="263">
        <f t="shared" ca="1" si="7"/>
        <v>1.3264327401320863</v>
      </c>
      <c r="Q25" s="263">
        <f t="shared" ca="1" si="9"/>
        <v>-129.0773098094387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46176</v>
      </c>
      <c r="D26" s="263">
        <f t="shared" si="5"/>
        <v>7696</v>
      </c>
      <c r="E26" s="263">
        <f t="shared" si="0"/>
        <v>38480</v>
      </c>
      <c r="F26" s="261"/>
      <c r="G26" s="265">
        <f ca="1">DATA!$D$11/1000000</f>
        <v>5.3233241224543999</v>
      </c>
      <c r="H26" s="265">
        <f>C26*DATA!$D$5/1000000</f>
        <v>50.060558118858907</v>
      </c>
      <c r="I26" s="265">
        <f>(C26*DATA!$D$5*DATA!$D$7)/1000000</f>
        <v>1.1263625576743252</v>
      </c>
      <c r="J26" s="263">
        <f t="shared" ca="1" si="1"/>
        <v>56.510244798987635</v>
      </c>
      <c r="K26" s="261"/>
      <c r="L26" s="263">
        <f>((D26*DATA!$D$23)/1000000)+((E26*DATA!$D$24)/1000000)</f>
        <v>66.710467199999997</v>
      </c>
      <c r="M26" s="263">
        <f t="shared" si="2"/>
        <v>66.710467199999997</v>
      </c>
      <c r="N26" s="263">
        <f t="shared" ca="1" si="6"/>
        <v>10.200222401012361</v>
      </c>
      <c r="O26" s="262">
        <f>1/(1+'[91]Asumsi I'!$C$3)^(KKF!A26)</f>
        <v>0.1161067768903709</v>
      </c>
      <c r="P26" s="263">
        <f t="shared" ca="1" si="7"/>
        <v>1.1843149465465055</v>
      </c>
      <c r="Q26" s="263">
        <f t="shared" ca="1" si="9"/>
        <v>-127.89299486289219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46176</v>
      </c>
      <c r="D27" s="263">
        <f t="shared" si="5"/>
        <v>7696</v>
      </c>
      <c r="E27" s="263">
        <f t="shared" si="0"/>
        <v>38480</v>
      </c>
      <c r="F27" s="261"/>
      <c r="G27" s="265">
        <f ca="1">DATA!$D$11/1000000</f>
        <v>5.3233241224543999</v>
      </c>
      <c r="H27" s="265">
        <f>C27*DATA!$D$5/1000000</f>
        <v>50.060558118858907</v>
      </c>
      <c r="I27" s="265">
        <f>(C27*DATA!$D$5*DATA!$D$7)/1000000</f>
        <v>1.1263625576743252</v>
      </c>
      <c r="J27" s="263">
        <f t="shared" ca="1" si="1"/>
        <v>56.510244798987635</v>
      </c>
      <c r="K27" s="261"/>
      <c r="L27" s="263">
        <f>((D27*DATA!$D$23)/1000000)+((E27*DATA!$D$24)/1000000)</f>
        <v>66.710467199999997</v>
      </c>
      <c r="M27" s="263">
        <f t="shared" si="2"/>
        <v>66.710467199999997</v>
      </c>
      <c r="N27" s="263">
        <f t="shared" ca="1" si="6"/>
        <v>10.200222401012361</v>
      </c>
      <c r="O27" s="262">
        <f>1/(1+'[91]Asumsi I'!$C$3)^(KKF!A27)</f>
        <v>0.1036667650806883</v>
      </c>
      <c r="P27" s="263">
        <f t="shared" ca="1" si="7"/>
        <v>1.0574240594165227</v>
      </c>
      <c r="Q27" s="263">
        <f t="shared" ca="1" si="9"/>
        <v>-126.83557080347568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46176</v>
      </c>
      <c r="D28" s="263">
        <f t="shared" si="5"/>
        <v>7696</v>
      </c>
      <c r="E28" s="263">
        <f t="shared" si="0"/>
        <v>38480</v>
      </c>
      <c r="F28" s="261"/>
      <c r="G28" s="265">
        <f ca="1">DATA!$D$11/1000000</f>
        <v>5.3233241224543999</v>
      </c>
      <c r="H28" s="265">
        <f>C28*DATA!$D$5/1000000</f>
        <v>50.060558118858907</v>
      </c>
      <c r="I28" s="265">
        <f>(C28*DATA!$D$5*DATA!$D$7)/1000000</f>
        <v>1.1263625576743252</v>
      </c>
      <c r="J28" s="263">
        <f t="shared" ca="1" si="1"/>
        <v>56.510244798987635</v>
      </c>
      <c r="K28" s="261"/>
      <c r="L28" s="263">
        <f>((D28*DATA!$D$23)/1000000)+((E28*DATA!$D$24)/1000000)</f>
        <v>66.710467199999997</v>
      </c>
      <c r="M28" s="263">
        <f t="shared" si="2"/>
        <v>66.710467199999997</v>
      </c>
      <c r="N28" s="263">
        <f t="shared" ca="1" si="6"/>
        <v>10.200222401012361</v>
      </c>
      <c r="O28" s="262">
        <f>1/(1+'[91]Asumsi I'!$C$3)^(KKF!A28)</f>
        <v>9.2559611679185971E-2</v>
      </c>
      <c r="P28" s="263">
        <f t="shared" ca="1" si="7"/>
        <v>0.94412862447903811</v>
      </c>
      <c r="Q28" s="263">
        <f t="shared" ca="1" si="9"/>
        <v>-125.89144217899664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46176</v>
      </c>
      <c r="D29" s="263">
        <f t="shared" si="5"/>
        <v>7696</v>
      </c>
      <c r="E29" s="263">
        <f t="shared" si="0"/>
        <v>38480</v>
      </c>
      <c r="F29" s="261"/>
      <c r="G29" s="265">
        <f ca="1">DATA!$D$11/1000000</f>
        <v>5.3233241224543999</v>
      </c>
      <c r="H29" s="265">
        <f>C29*DATA!$D$5/1000000</f>
        <v>50.060558118858907</v>
      </c>
      <c r="I29" s="265">
        <f>(C29*DATA!$D$5*DATA!$D$7)/1000000</f>
        <v>1.1263625576743252</v>
      </c>
      <c r="J29" s="263">
        <f t="shared" ca="1" si="1"/>
        <v>56.510244798987635</v>
      </c>
      <c r="K29" s="261"/>
      <c r="L29" s="263">
        <f>((D29*DATA!$D$23)/1000000)+((E29*DATA!$D$24)/1000000)</f>
        <v>66.710467199999997</v>
      </c>
      <c r="M29" s="263">
        <f t="shared" si="2"/>
        <v>66.710467199999997</v>
      </c>
      <c r="N29" s="263">
        <f t="shared" ca="1" si="6"/>
        <v>10.200222401012361</v>
      </c>
      <c r="O29" s="262">
        <f>1/(1+'[91]Asumsi I'!$C$3)^(KKF!A29)</f>
        <v>8.2642510427844609E-2</v>
      </c>
      <c r="P29" s="263">
        <f t="shared" ca="1" si="7"/>
        <v>0.8429719861419982</v>
      </c>
      <c r="Q29" s="263">
        <f t="shared" ca="1" si="9"/>
        <v>-125.04847019285464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46176</v>
      </c>
      <c r="D30" s="263">
        <f t="shared" si="5"/>
        <v>7696</v>
      </c>
      <c r="E30" s="263">
        <f t="shared" si="0"/>
        <v>38480</v>
      </c>
      <c r="F30" s="261"/>
      <c r="G30" s="265">
        <f ca="1">DATA!$D$11/1000000</f>
        <v>5.3233241224543999</v>
      </c>
      <c r="H30" s="265">
        <f>C30*DATA!$D$5/1000000</f>
        <v>50.060558118858907</v>
      </c>
      <c r="I30" s="265">
        <f>(C30*DATA!$D$5*DATA!$D$7)/1000000</f>
        <v>1.1263625576743252</v>
      </c>
      <c r="J30" s="263">
        <f t="shared" ca="1" si="1"/>
        <v>56.510244798987635</v>
      </c>
      <c r="K30" s="261"/>
      <c r="L30" s="263">
        <f>((D30*DATA!$D$23)/1000000)+((E30*DATA!$D$24)/1000000)</f>
        <v>66.710467199999997</v>
      </c>
      <c r="M30" s="263">
        <f t="shared" si="2"/>
        <v>66.710467199999997</v>
      </c>
      <c r="N30" s="263">
        <f t="shared" ca="1" si="6"/>
        <v>10.200222401012361</v>
      </c>
      <c r="O30" s="262">
        <f>1/(1+'[91]Asumsi I'!$C$3)^(KKF!A30)</f>
        <v>7.3787955739146982E-2</v>
      </c>
      <c r="P30" s="263">
        <f t="shared" ca="1" si="7"/>
        <v>0.75265355905535569</v>
      </c>
      <c r="Q30" s="263">
        <f t="shared" ca="1" si="9"/>
        <v>-124.29581663379928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46176</v>
      </c>
      <c r="D31" s="263">
        <f t="shared" si="5"/>
        <v>7696</v>
      </c>
      <c r="E31" s="263">
        <f t="shared" si="0"/>
        <v>38480</v>
      </c>
      <c r="F31" s="261"/>
      <c r="G31" s="265">
        <f ca="1">DATA!$D$11/1000000</f>
        <v>5.3233241224543999</v>
      </c>
      <c r="H31" s="265">
        <f>C31*DATA!$D$5/1000000</f>
        <v>50.060558118858907</v>
      </c>
      <c r="I31" s="265">
        <f>(C31*DATA!$D$5*DATA!$D$7)/1000000</f>
        <v>1.1263625576743252</v>
      </c>
      <c r="J31" s="263">
        <f t="shared" ca="1" si="1"/>
        <v>56.510244798987635</v>
      </c>
      <c r="K31" s="261"/>
      <c r="L31" s="263">
        <f>((D31*DATA!$D$23)/1000000)+((E31*DATA!$D$24)/1000000)</f>
        <v>66.710467199999997</v>
      </c>
      <c r="M31" s="263">
        <f t="shared" si="2"/>
        <v>66.710467199999997</v>
      </c>
      <c r="N31" s="263">
        <f t="shared" ca="1" si="6"/>
        <v>10.200222401012361</v>
      </c>
      <c r="O31" s="262">
        <f>1/(1+'[91]Asumsi I'!$C$3)^(KKF!A31)</f>
        <v>6.5882103338524081E-2</v>
      </c>
      <c r="P31" s="263">
        <f t="shared" ca="1" si="7"/>
        <v>0.67201210629942465</v>
      </c>
      <c r="Q31" s="263">
        <f ca="1">Q30+P31</f>
        <v>-123.62380452749986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46176</v>
      </c>
      <c r="D32" s="263">
        <f t="shared" si="5"/>
        <v>7696</v>
      </c>
      <c r="E32" s="263">
        <f t="shared" si="0"/>
        <v>38480</v>
      </c>
      <c r="F32" s="261"/>
      <c r="G32" s="265">
        <f ca="1">DATA!$D$11/1000000</f>
        <v>5.3233241224543999</v>
      </c>
      <c r="H32" s="265">
        <f>C32*DATA!$D$5/1000000</f>
        <v>50.060558118858907</v>
      </c>
      <c r="I32" s="265">
        <f>(C32*DATA!$D$5*DATA!$D$7)/1000000</f>
        <v>1.1263625576743252</v>
      </c>
      <c r="J32" s="263">
        <f t="shared" ca="1" si="1"/>
        <v>56.510244798987635</v>
      </c>
      <c r="K32" s="261"/>
      <c r="L32" s="263">
        <f>((D32*DATA!$D$23)/1000000)+((E32*DATA!$D$24)/1000000)</f>
        <v>66.710467199999997</v>
      </c>
      <c r="M32" s="263">
        <f t="shared" si="2"/>
        <v>66.710467199999997</v>
      </c>
      <c r="N32" s="263">
        <f t="shared" ca="1" si="6"/>
        <v>10.200222401012361</v>
      </c>
      <c r="O32" s="262">
        <f>1/(1+'[91]Asumsi I'!$C$3)^(KKF!A32)</f>
        <v>5.8823306552253637E-2</v>
      </c>
      <c r="P32" s="263">
        <f t="shared" ca="1" si="7"/>
        <v>0.60001080919591476</v>
      </c>
      <c r="Q32" s="263">
        <f ca="1">Q31+P32</f>
        <v>-123.02379371830395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2" t="s">
        <v>1373</v>
      </c>
      <c r="G33" s="602"/>
      <c r="H33" s="602"/>
      <c r="I33" s="271"/>
      <c r="J33" s="272">
        <f ca="1">SUM(J7:J32)</f>
        <v>1709.8391105581331</v>
      </c>
      <c r="K33" s="602" t="s">
        <v>1374</v>
      </c>
      <c r="L33" s="602"/>
      <c r="M33" s="272">
        <f>SUM(M7:M32)</f>
        <v>1761.8191136000005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29.125148345192532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1.0304005229035262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-109.84267296277137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1.8362481253372476E-2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0" priority="1" stopIfTrue="1" operator="greaterThanOrEqual">
      <formula>$F$7</formula>
    </cfRule>
    <cfRule type="cellIs" dxfId="9" priority="2" stopIfTrue="1" operator="lessThan">
      <formula>$F$7</formula>
    </cfRule>
  </conditionalFormatting>
  <conditionalFormatting sqref="Q7:Q32">
    <cfRule type="cellIs" dxfId="8" priority="3" operator="lessThan">
      <formula>0</formula>
    </cfRule>
    <cfRule type="cellIs" dxfId="7" priority="4" operator="lessThan">
      <formula>0</formula>
    </cfRule>
    <cfRule type="cellIs" dxfId="6" priority="5" operator="lessThan">
      <formula>-6395.81</formula>
    </cfRule>
    <cfRule type="cellIs" dxfId="5" priority="6" operator="lessThan">
      <formula>0</formula>
    </cfRule>
  </conditionalFormatting>
  <printOptions horizontalCentered="1"/>
  <pageMargins left="0.27559055118110198" right="0.3" top="0.31496062992126" bottom="0.59055118110236204" header="0.31496062992126" footer="0.31496062992126"/>
  <pageSetup paperSize="9" scale="45" fitToHeight="2" orientation="portrait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94"/>
  <sheetViews>
    <sheetView showGridLines="0" tabSelected="1" view="pageBreakPreview" zoomScale="70" zoomScaleNormal="70" zoomScaleSheetLayoutView="70" workbookViewId="0">
      <pane ySplit="13" topLeftCell="A95" activePane="bottomLeft" state="frozen"/>
      <selection activeCell="H105" sqref="H105"/>
      <selection pane="bottomLeft" activeCell="H105" sqref="H105"/>
    </sheetView>
  </sheetViews>
  <sheetFormatPr defaultColWidth="9.109375" defaultRowHeight="13.8"/>
  <cols>
    <col min="1" max="1" width="8.33203125" style="283" customWidth="1"/>
    <col min="2" max="2" width="5.109375" style="284" customWidth="1"/>
    <col min="3" max="3" width="53.44140625" style="351" customWidth="1"/>
    <col min="4" max="4" width="13.6640625" style="351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05" t="s">
        <v>1036</v>
      </c>
      <c r="P3" s="605"/>
      <c r="Q3" s="293"/>
      <c r="T3" s="291"/>
      <c r="U3" s="292" t="s">
        <v>1041</v>
      </c>
      <c r="V3" s="291"/>
    </row>
    <row r="4" spans="1:22" ht="15.75" customHeight="1">
      <c r="B4" s="606" t="s">
        <v>1023</v>
      </c>
      <c r="C4" s="606"/>
      <c r="D4" s="606"/>
      <c r="E4" s="606"/>
      <c r="F4" s="606"/>
      <c r="G4" s="606"/>
      <c r="H4" s="606"/>
      <c r="I4" s="606"/>
      <c r="J4" s="606"/>
      <c r="K4" s="606"/>
      <c r="O4" s="605"/>
      <c r="P4" s="60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1644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1645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1624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08" t="s">
        <v>0</v>
      </c>
      <c r="C11" s="610" t="s">
        <v>1</v>
      </c>
      <c r="D11" s="613" t="s">
        <v>42</v>
      </c>
      <c r="E11" s="613" t="s">
        <v>43</v>
      </c>
      <c r="F11" s="613" t="s">
        <v>2</v>
      </c>
      <c r="G11" s="615" t="s">
        <v>41</v>
      </c>
      <c r="H11" s="613" t="s">
        <v>3</v>
      </c>
      <c r="I11" s="613"/>
      <c r="J11" s="613"/>
      <c r="K11" s="63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09"/>
      <c r="C12" s="611"/>
      <c r="D12" s="614"/>
      <c r="E12" s="614"/>
      <c r="F12" s="614"/>
      <c r="G12" s="616"/>
      <c r="H12" s="618" t="s">
        <v>46</v>
      </c>
      <c r="I12" s="618" t="s">
        <v>5</v>
      </c>
      <c r="J12" s="614" t="s">
        <v>47</v>
      </c>
      <c r="K12" s="63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09"/>
      <c r="C13" s="612"/>
      <c r="D13" s="614"/>
      <c r="E13" s="614"/>
      <c r="F13" s="614"/>
      <c r="G13" s="617"/>
      <c r="H13" s="619"/>
      <c r="I13" s="619"/>
      <c r="J13" s="614"/>
      <c r="K13" s="63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4">
      <c r="A15" s="283"/>
      <c r="B15" s="415" t="s">
        <v>10</v>
      </c>
      <c r="C15" s="416" t="s">
        <v>1647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7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" ca="1" si="4">IF(OR(D15="MDU",D15="MDU-KD"),(IF($O$3="RAB NON MDU","PLN KD",G15*F15)),0)</f>
        <v>0</v>
      </c>
      <c r="I15" s="308">
        <f t="shared" ref="I15" ca="1" si="5">IF(D15="HDW",G15*F15,0)</f>
        <v>0</v>
      </c>
      <c r="J15" s="308">
        <f t="shared" ref="J15" ca="1" si="6">IF(D15="JASA",G15*F15,0)</f>
        <v>0</v>
      </c>
      <c r="K15" s="309">
        <f t="shared" ref="K15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4">
      <c r="A16" s="283"/>
      <c r="B16" s="498">
        <v>1</v>
      </c>
      <c r="C16" s="316" t="s">
        <v>101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87">
        <v>2</v>
      </c>
      <c r="G16" s="307">
        <f ca="1">IF(ISERROR(OFFSET('HARGA SATUAN'!$I$6,MATCH(RAB!C16,'HARGA SATUAN'!$C$7:$C$1504,0),0)),0,OFFSET('HARGA SATUAN'!$I$6,MATCH(RAB!C16,'HARGA SATUAN'!$C$7:$C$1504,0),0))</f>
        <v>3382600</v>
      </c>
      <c r="H16" s="308">
        <f t="shared" ref="H16:H20" ca="1" si="8">IF(OR(D16="MDU",D16="MDU-KD"),(IF($O$3="RAB NON MDU","PLN KD",G16*F16)),0)</f>
        <v>0</v>
      </c>
      <c r="I16" s="308">
        <f t="shared" ref="I16:I20" ca="1" si="9">IF(D16="HDW",G16*F16,0)</f>
        <v>6765200</v>
      </c>
      <c r="J16" s="308">
        <f t="shared" ref="J16:J20" ca="1" si="10">IF(D16="JASA",G16*F16,0)</f>
        <v>0</v>
      </c>
      <c r="K16" s="309">
        <f t="shared" ref="K16:K20" ca="1" si="11">SUM(H16:J16)</f>
        <v>6765200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4">
      <c r="A17" s="283"/>
      <c r="B17" s="498">
        <v>2</v>
      </c>
      <c r="C17" s="316" t="s">
        <v>103</v>
      </c>
      <c r="D17" s="305" t="str">
        <f ca="1">IF(ISERROR(OFFSET('HARGA SATUAN'!$D$6,MATCH(RAB!C17,'HARGA SATUAN'!$C$7:$C$1504,0),0)),"",OFFSET('HARGA SATUAN'!$D$6,MATCH(RAB!C17,'HARGA SATUAN'!$C$7:$C$1504,0),0))</f>
        <v>HDW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87">
        <v>10</v>
      </c>
      <c r="G17" s="307">
        <f ca="1">IF(ISERROR(OFFSET('HARGA SATUAN'!$I$6,MATCH(RAB!C17,'HARGA SATUAN'!$C$7:$C$1504,0),0)),0,OFFSET('HARGA SATUAN'!$I$6,MATCH(RAB!C17,'HARGA SATUAN'!$C$7:$C$1504,0),0))</f>
        <v>5800000</v>
      </c>
      <c r="H17" s="308">
        <f t="shared" ca="1" si="8"/>
        <v>0</v>
      </c>
      <c r="I17" s="308">
        <f t="shared" ca="1" si="9"/>
        <v>58000000</v>
      </c>
      <c r="J17" s="308">
        <f t="shared" ca="1" si="10"/>
        <v>0</v>
      </c>
      <c r="K17" s="309">
        <f t="shared" ca="1" si="11"/>
        <v>58000000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4">
      <c r="A18" s="283"/>
      <c r="B18" s="498">
        <v>3</v>
      </c>
      <c r="C18" s="316" t="s">
        <v>104</v>
      </c>
      <c r="D18" s="305" t="str">
        <f ca="1">IF(ISERROR(OFFSET('HARGA SATUAN'!$D$6,MATCH(RAB!C18,'HARGA SATUAN'!$C$7:$C$1504,0),0)),"",OFFSET('HARGA SATUAN'!$D$6,MATCH(RAB!C18,'HARGA SATUAN'!$C$7:$C$1504,0),0))</f>
        <v>HDW</v>
      </c>
      <c r="E18" s="306" t="str">
        <f ca="1">IF(B18="+","Unit",IF(ISERROR(OFFSET('HARGA SATUAN'!$E$6,MATCH(RAB!C18,'HARGA SATUAN'!$C$7:$C$1504,0),0)),"",OFFSET('HARGA SATUAN'!$E$6,MATCH(RAB!C18,'HARGA SATUAN'!$C$7:$C$1504,0),0)))</f>
        <v>Btg</v>
      </c>
      <c r="F18" s="487">
        <v>2</v>
      </c>
      <c r="G18" s="307">
        <f ca="1">IF(ISERROR(OFFSET('HARGA SATUAN'!$I$6,MATCH(RAB!C18,'HARGA SATUAN'!$C$7:$C$1504,0),0)),0,OFFSET('HARGA SATUAN'!$I$6,MATCH(RAB!C18,'HARGA SATUAN'!$C$7:$C$1504,0),0))</f>
        <v>6074400</v>
      </c>
      <c r="H18" s="308">
        <f t="shared" ca="1" si="8"/>
        <v>0</v>
      </c>
      <c r="I18" s="308">
        <f t="shared" ca="1" si="9"/>
        <v>12148800</v>
      </c>
      <c r="J18" s="308">
        <f t="shared" ca="1" si="10"/>
        <v>0</v>
      </c>
      <c r="K18" s="309">
        <f t="shared" ca="1" si="11"/>
        <v>12148800</v>
      </c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4">
      <c r="A19" s="283"/>
      <c r="B19" s="498">
        <v>4</v>
      </c>
      <c r="C19" s="316" t="s">
        <v>6</v>
      </c>
      <c r="D19" s="305" t="str">
        <f ca="1">IF(ISERROR(OFFSET('HARGA SATUAN'!$D$6,MATCH(RAB!C19,'HARGA SATUAN'!$C$7:$C$1504,0),0)),"",OFFSET('HARGA SATUAN'!$D$6,MATCH(RAB!C19,'HARGA SATUAN'!$C$7:$C$1504,0),0))</f>
        <v>JASA</v>
      </c>
      <c r="E19" s="306" t="str">
        <f ca="1">IF(B19="+","Unit",IF(ISERROR(OFFSET('HARGA SATUAN'!$E$6,MATCH(RAB!C19,'HARGA SATUAN'!$C$7:$C$1504,0),0)),"",OFFSET('HARGA SATUAN'!$E$6,MATCH(RAB!C19,'HARGA SATUAN'!$C$7:$C$1504,0),0)))</f>
        <v>Btg</v>
      </c>
      <c r="F19" s="487">
        <v>14</v>
      </c>
      <c r="G19" s="307">
        <f ca="1">IF(ISERROR(OFFSET('HARGA SATUAN'!$I$6,MATCH(RAB!C19,'HARGA SATUAN'!$C$7:$C$1504,0),0)),0,OFFSET('HARGA SATUAN'!$I$6,MATCH(RAB!C19,'HARGA SATUAN'!$C$7:$C$1504,0),0))</f>
        <v>10066.666666666668</v>
      </c>
      <c r="H19" s="308">
        <f t="shared" ca="1" si="8"/>
        <v>0</v>
      </c>
      <c r="I19" s="308">
        <f t="shared" ca="1" si="9"/>
        <v>0</v>
      </c>
      <c r="J19" s="308">
        <f t="shared" ca="1" si="10"/>
        <v>140933.33333333334</v>
      </c>
      <c r="K19" s="309">
        <f t="shared" ca="1" si="11"/>
        <v>140933.33333333334</v>
      </c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4">
      <c r="A20" s="283"/>
      <c r="B20" s="498">
        <v>5</v>
      </c>
      <c r="C20" s="316" t="s">
        <v>461</v>
      </c>
      <c r="D20" s="305" t="str">
        <f ca="1">IF(ISERROR(OFFSET('HARGA SATUAN'!$D$6,MATCH(RAB!C20,'HARGA SATUAN'!$C$7:$C$1504,0),0)),"",OFFSET('HARGA SATUAN'!$D$6,MATCH(RAB!C20,'HARGA SATUAN'!$C$7:$C$1504,0),0))</f>
        <v>HDW</v>
      </c>
      <c r="E20" s="306" t="str">
        <f ca="1">IF(B20="+","Unit",IF(ISERROR(OFFSET('HARGA SATUAN'!$E$6,MATCH(RAB!C20,'HARGA SATUAN'!$C$7:$C$1504,0),0)),"",OFFSET('HARGA SATUAN'!$E$6,MATCH(RAB!C20,'HARGA SATUAN'!$C$7:$C$1504,0),0)))</f>
        <v>Set</v>
      </c>
      <c r="F20" s="487">
        <v>14</v>
      </c>
      <c r="G20" s="307">
        <f ca="1">IF(ISERROR(OFFSET('HARGA SATUAN'!$I$6,MATCH(RAB!C20,'HARGA SATUAN'!$C$7:$C$1504,0),0)),0,OFFSET('HARGA SATUAN'!$I$6,MATCH(RAB!C20,'HARGA SATUAN'!$C$7:$C$1504,0),0))</f>
        <v>200000</v>
      </c>
      <c r="H20" s="308">
        <f t="shared" ca="1" si="8"/>
        <v>0</v>
      </c>
      <c r="I20" s="308">
        <f t="shared" ca="1" si="9"/>
        <v>2800000</v>
      </c>
      <c r="J20" s="308">
        <f t="shared" ca="1" si="10"/>
        <v>0</v>
      </c>
      <c r="K20" s="309">
        <f t="shared" ca="1" si="11"/>
        <v>2800000</v>
      </c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 ht="14.4">
      <c r="A21" s="283"/>
      <c r="B21" s="498"/>
      <c r="C21" s="316"/>
      <c r="D21" s="305"/>
      <c r="E21" s="306"/>
      <c r="F21" s="487"/>
      <c r="G21" s="307"/>
      <c r="H21" s="308"/>
      <c r="I21" s="308"/>
      <c r="J21" s="308"/>
      <c r="K21" s="309"/>
      <c r="L21" s="289"/>
      <c r="M21" s="289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 ht="14.4">
      <c r="A22" s="283"/>
      <c r="B22" s="415" t="s">
        <v>1600</v>
      </c>
      <c r="C22" s="416" t="s">
        <v>1649</v>
      </c>
      <c r="D22" s="305"/>
      <c r="E22" s="306"/>
      <c r="F22" s="487"/>
      <c r="G22" s="307"/>
      <c r="H22" s="308"/>
      <c r="I22" s="308"/>
      <c r="J22" s="308"/>
      <c r="K22" s="309"/>
      <c r="L22" s="289"/>
      <c r="M22" s="289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 ht="14.4">
      <c r="A23" s="283"/>
      <c r="B23" s="498" t="s">
        <v>1035</v>
      </c>
      <c r="C23" s="316" t="s">
        <v>1629</v>
      </c>
      <c r="D23" s="305" t="str">
        <f ca="1">IF(ISERROR(OFFSET('HARGA SATUAN'!$D$6,MATCH(RAB!C23,'HARGA SATUAN'!$C$7:$C$1504,0),0)),"",OFFSET('HARGA SATUAN'!$D$6,MATCH(RAB!C23,'HARGA SATUAN'!$C$7:$C$1504,0),0))</f>
        <v/>
      </c>
      <c r="E23" s="306" t="str">
        <f ca="1">IF(B23="+","Unit",IF(ISERROR(OFFSET('HARGA SATUAN'!$E$6,MATCH(RAB!C23,'HARGA SATUAN'!$C$7:$C$1504,0),0)),"",OFFSET('HARGA SATUAN'!$E$6,MATCH(RAB!C23,'HARGA SATUAN'!$C$7:$C$1504,0),0)))</f>
        <v>Unit</v>
      </c>
      <c r="F23" s="487">
        <v>9</v>
      </c>
      <c r="G23" s="307">
        <f ca="1">IF(ISERROR(OFFSET('HARGA SATUAN'!$I$6,MATCH(RAB!C23,'HARGA SATUAN'!$C$7:$C$1504,0),0)),0,OFFSET('HARGA SATUAN'!$I$6,MATCH(RAB!C23,'HARGA SATUAN'!$C$7:$C$1504,0),0))</f>
        <v>0</v>
      </c>
      <c r="H23" s="308">
        <f t="shared" ref="H23" ca="1" si="12">IF(OR(D23="MDU",D23="MDU-KD"),(IF($O$3="RAB NON MDU","PLN KD",G23*F23)),0)</f>
        <v>0</v>
      </c>
      <c r="I23" s="308">
        <f t="shared" ref="I23" ca="1" si="13">IF(D23="HDW",G23*F23,0)</f>
        <v>0</v>
      </c>
      <c r="J23" s="308">
        <f t="shared" ref="J23" ca="1" si="14">IF(D23="JASA",G23*F23,0)</f>
        <v>0</v>
      </c>
      <c r="K23" s="309">
        <f t="shared" ref="K23" ca="1" si="15">SUM(H23:J23)</f>
        <v>0</v>
      </c>
      <c r="L23" s="289"/>
      <c r="M23" s="289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 ht="14.4">
      <c r="A24" s="283"/>
      <c r="B24" s="498">
        <v>1</v>
      </c>
      <c r="C24" s="316" t="s">
        <v>1607</v>
      </c>
      <c r="D24" s="305" t="str">
        <f ca="1">IF(ISERROR(OFFSET('HARGA SATUAN'!$D$6,MATCH(RAB!C24,'HARGA SATUAN'!$C$7:$C$1504,0),0)),"",OFFSET('HARGA SATUAN'!$D$6,MATCH(RAB!C24,'HARGA SATUAN'!$C$7:$C$1504,0),0))</f>
        <v>MDU-KD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87">
        <f>F23*1</f>
        <v>9</v>
      </c>
      <c r="G24" s="307">
        <f ca="1">IF(ISERROR(OFFSET('HARGA SATUAN'!$I$6,MATCH(RAB!C24,'HARGA SATUAN'!$C$7:$C$1504,0),0)),0,OFFSET('HARGA SATUAN'!$I$6,MATCH(RAB!C24,'HARGA SATUAN'!$C$7:$C$1504,0),0))</f>
        <v>176900</v>
      </c>
      <c r="H24" s="308">
        <f t="shared" ref="H24:H56" ca="1" si="16">IF(OR(D24="MDU",D24="MDU-KD"),(IF($O$3="RAB NON MDU","PLN KD",G24*F24)),0)</f>
        <v>1592100</v>
      </c>
      <c r="I24" s="308">
        <f t="shared" ref="I24:I56" ca="1" si="17">IF(D24="HDW",G24*F24,0)</f>
        <v>0</v>
      </c>
      <c r="J24" s="308">
        <f t="shared" ref="J24:J56" ca="1" si="18">IF(D24="JASA",G24*F24,0)</f>
        <v>0</v>
      </c>
      <c r="K24" s="309">
        <f t="shared" ref="K24:K56" ca="1" si="19">SUM(H24:J24)</f>
        <v>1592100</v>
      </c>
      <c r="L24" s="289"/>
      <c r="M24" s="289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 ht="14.4">
      <c r="A25" s="283"/>
      <c r="B25" s="498">
        <v>2</v>
      </c>
      <c r="C25" s="316" t="s">
        <v>28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87">
        <f>F23*2</f>
        <v>18</v>
      </c>
      <c r="G25" s="307">
        <f ca="1">IF(ISERROR(OFFSET('HARGA SATUAN'!$I$6,MATCH(RAB!C25,'HARGA SATUAN'!$C$7:$C$1504,0),0)),0,OFFSET('HARGA SATUAN'!$I$6,MATCH(RAB!C25,'HARGA SATUAN'!$C$7:$C$1504,0),0))</f>
        <v>26500</v>
      </c>
      <c r="H25" s="308">
        <f t="shared" ca="1" si="16"/>
        <v>0</v>
      </c>
      <c r="I25" s="308">
        <f t="shared" ca="1" si="17"/>
        <v>477000</v>
      </c>
      <c r="J25" s="308">
        <f t="shared" ca="1" si="18"/>
        <v>0</v>
      </c>
      <c r="K25" s="309">
        <f t="shared" ca="1" si="19"/>
        <v>477000</v>
      </c>
      <c r="L25" s="289"/>
      <c r="M25" s="289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 ht="14.4">
      <c r="A26" s="283"/>
      <c r="B26" s="498">
        <v>3</v>
      </c>
      <c r="C26" s="316" t="s">
        <v>178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87">
        <f>F23*1</f>
        <v>9</v>
      </c>
      <c r="G26" s="307">
        <f ca="1">IF(ISERROR(OFFSET('HARGA SATUAN'!$I$6,MATCH(RAB!C26,'HARGA SATUAN'!$C$7:$C$1504,0),0)),0,OFFSET('HARGA SATUAN'!$I$6,MATCH(RAB!C26,'HARGA SATUAN'!$C$7:$C$1504,0),0))</f>
        <v>95000</v>
      </c>
      <c r="H26" s="308">
        <f t="shared" ca="1" si="16"/>
        <v>0</v>
      </c>
      <c r="I26" s="308">
        <f t="shared" ca="1" si="17"/>
        <v>855000</v>
      </c>
      <c r="J26" s="308">
        <f t="shared" ca="1" si="18"/>
        <v>0</v>
      </c>
      <c r="K26" s="309">
        <f t="shared" ca="1" si="19"/>
        <v>855000</v>
      </c>
      <c r="L26" s="289"/>
      <c r="M26" s="289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 ht="14.4">
      <c r="A27" s="283"/>
      <c r="B27" s="498">
        <v>4</v>
      </c>
      <c r="C27" s="316" t="s">
        <v>217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87">
        <f>F23*2</f>
        <v>18</v>
      </c>
      <c r="G27" s="307">
        <f ca="1">IF(ISERROR(OFFSET('HARGA SATUAN'!$I$6,MATCH(RAB!C27,'HARGA SATUAN'!$C$7:$C$1504,0),0)),0,OFFSET('HARGA SATUAN'!$I$6,MATCH(RAB!C27,'HARGA SATUAN'!$C$7:$C$1504,0),0))</f>
        <v>11400</v>
      </c>
      <c r="H27" s="308">
        <f t="shared" ca="1" si="16"/>
        <v>0</v>
      </c>
      <c r="I27" s="308">
        <f t="shared" ca="1" si="17"/>
        <v>205200</v>
      </c>
      <c r="J27" s="308">
        <f t="shared" ca="1" si="18"/>
        <v>0</v>
      </c>
      <c r="K27" s="309">
        <f t="shared" ca="1" si="19"/>
        <v>205200</v>
      </c>
      <c r="L27" s="289"/>
      <c r="M27" s="289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14.4">
      <c r="A28" s="283"/>
      <c r="B28" s="498">
        <v>5</v>
      </c>
      <c r="C28" s="316" t="s">
        <v>254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87">
        <f>F23*1</f>
        <v>9</v>
      </c>
      <c r="G28" s="307">
        <f ca="1">IF(ISERROR(OFFSET('HARGA SATUAN'!$I$6,MATCH(RAB!C28,'HARGA SATUAN'!$C$7:$C$1504,0),0)),0,OFFSET('HARGA SATUAN'!$I$6,MATCH(RAB!C28,'HARGA SATUAN'!$C$7:$C$1504,0),0))</f>
        <v>51100</v>
      </c>
      <c r="H28" s="308">
        <f t="shared" ca="1" si="16"/>
        <v>0</v>
      </c>
      <c r="I28" s="308">
        <f t="shared" ca="1" si="17"/>
        <v>459900</v>
      </c>
      <c r="J28" s="308">
        <f t="shared" ca="1" si="18"/>
        <v>0</v>
      </c>
      <c r="K28" s="309">
        <f t="shared" ca="1" si="19"/>
        <v>459900</v>
      </c>
      <c r="L28" s="289"/>
      <c r="M28" s="289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 ht="14.4">
      <c r="A29" s="283"/>
      <c r="B29" s="498">
        <v>6</v>
      </c>
      <c r="C29" s="316" t="s">
        <v>264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Bh</v>
      </c>
      <c r="F29" s="487">
        <f>F23*1</f>
        <v>9</v>
      </c>
      <c r="G29" s="307">
        <f ca="1">IF(ISERROR(OFFSET('HARGA SATUAN'!$I$6,MATCH(RAB!C29,'HARGA SATUAN'!$C$7:$C$1504,0),0)),0,OFFSET('HARGA SATUAN'!$I$6,MATCH(RAB!C29,'HARGA SATUAN'!$C$7:$C$1504,0),0))</f>
        <v>28000</v>
      </c>
      <c r="H29" s="308">
        <f t="shared" ca="1" si="16"/>
        <v>0</v>
      </c>
      <c r="I29" s="308">
        <f t="shared" ca="1" si="17"/>
        <v>252000</v>
      </c>
      <c r="J29" s="308">
        <f t="shared" ca="1" si="18"/>
        <v>0</v>
      </c>
      <c r="K29" s="309">
        <f t="shared" ca="1" si="19"/>
        <v>252000</v>
      </c>
      <c r="L29" s="289"/>
      <c r="M29" s="289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14.4">
      <c r="A30" s="283"/>
      <c r="B30" s="498">
        <v>7</v>
      </c>
      <c r="C30" s="316" t="s">
        <v>38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Mtr</v>
      </c>
      <c r="F30" s="487">
        <f>2.6*F23</f>
        <v>23.400000000000002</v>
      </c>
      <c r="G30" s="307">
        <f ca="1">IF(ISERROR(OFFSET('HARGA SATUAN'!$I$6,MATCH(RAB!C30,'HARGA SATUAN'!$C$7:$C$1504,0),0)),0,OFFSET('HARGA SATUAN'!$I$6,MATCH(RAB!C30,'HARGA SATUAN'!$C$7:$C$1504,0),0))</f>
        <v>8550</v>
      </c>
      <c r="H30" s="308">
        <f t="shared" ca="1" si="16"/>
        <v>0</v>
      </c>
      <c r="I30" s="308">
        <f t="shared" ca="1" si="17"/>
        <v>200070.00000000003</v>
      </c>
      <c r="J30" s="308">
        <f t="shared" ca="1" si="18"/>
        <v>0</v>
      </c>
      <c r="K30" s="309">
        <f t="shared" ca="1" si="19"/>
        <v>200070.00000000003</v>
      </c>
      <c r="L30" s="289"/>
      <c r="M30" s="289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 ht="14.4">
      <c r="A31" s="283"/>
      <c r="B31" s="498">
        <v>8</v>
      </c>
      <c r="C31" s="316" t="s">
        <v>26</v>
      </c>
      <c r="D31" s="305" t="str">
        <f ca="1">IF(ISERROR(OFFSET('HARGA SATUAN'!$D$6,MATCH(RAB!C31,'HARGA SATUAN'!$C$7:$C$1504,0),0)),"",OFFSET('HARGA SATUAN'!$D$6,MATCH(RAB!C31,'HARGA SATUAN'!$C$7:$C$1504,0),0))</f>
        <v>HDW</v>
      </c>
      <c r="E31" s="306" t="str">
        <f ca="1">IF(B31="+","Unit",IF(ISERROR(OFFSET('HARGA SATUAN'!$E$6,MATCH(RAB!C31,'HARGA SATUAN'!$C$7:$C$1504,0),0)),"",OFFSET('HARGA SATUAN'!$E$6,MATCH(RAB!C31,'HARGA SATUAN'!$C$7:$C$1504,0),0)))</f>
        <v>Bh</v>
      </c>
      <c r="F31" s="487">
        <f>F23*2</f>
        <v>18</v>
      </c>
      <c r="G31" s="307">
        <f ca="1">IF(ISERROR(OFFSET('HARGA SATUAN'!$I$6,MATCH(RAB!C31,'HARGA SATUAN'!$C$7:$C$1504,0),0)),0,OFFSET('HARGA SATUAN'!$I$6,MATCH(RAB!C31,'HARGA SATUAN'!$C$7:$C$1504,0),0))</f>
        <v>2500</v>
      </c>
      <c r="H31" s="308">
        <f t="shared" ca="1" si="16"/>
        <v>0</v>
      </c>
      <c r="I31" s="308">
        <f t="shared" ca="1" si="17"/>
        <v>45000</v>
      </c>
      <c r="J31" s="308">
        <f t="shared" ca="1" si="18"/>
        <v>0</v>
      </c>
      <c r="K31" s="309">
        <f t="shared" ca="1" si="19"/>
        <v>45000</v>
      </c>
      <c r="L31" s="289"/>
      <c r="M31" s="289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 ht="14.4">
      <c r="A32" s="283"/>
      <c r="B32" s="498">
        <v>9</v>
      </c>
      <c r="C32" s="316" t="s">
        <v>641</v>
      </c>
      <c r="D32" s="305" t="str">
        <f ca="1">IF(ISERROR(OFFSET('HARGA SATUAN'!$D$6,MATCH(RAB!C32,'HARGA SATUAN'!$C$7:$C$1504,0),0)),"",OFFSET('HARGA SATUAN'!$D$6,MATCH(RAB!C32,'HARGA SATUAN'!$C$7:$C$1504,0),0))</f>
        <v>JASA</v>
      </c>
      <c r="E32" s="306" t="str">
        <f ca="1">IF(B32="+","Unit",IF(ISERROR(OFFSET('HARGA SATUAN'!$E$6,MATCH(RAB!C32,'HARGA SATUAN'!$C$7:$C$1504,0),0)),"",OFFSET('HARGA SATUAN'!$E$6,MATCH(RAB!C32,'HARGA SATUAN'!$C$7:$C$1504,0),0)))</f>
        <v>Unit</v>
      </c>
      <c r="F32" s="487">
        <f>F23*1</f>
        <v>9</v>
      </c>
      <c r="G32" s="307">
        <f ca="1">IF(ISERROR(OFFSET('HARGA SATUAN'!$I$6,MATCH(RAB!C32,'HARGA SATUAN'!$C$7:$C$1504,0),0)),0,OFFSET('HARGA SATUAN'!$I$6,MATCH(RAB!C32,'HARGA SATUAN'!$C$7:$C$1504,0),0))</f>
        <v>53200</v>
      </c>
      <c r="H32" s="308">
        <f t="shared" ca="1" si="16"/>
        <v>0</v>
      </c>
      <c r="I32" s="308">
        <f t="shared" ca="1" si="17"/>
        <v>0</v>
      </c>
      <c r="J32" s="308">
        <f t="shared" ca="1" si="18"/>
        <v>478800</v>
      </c>
      <c r="K32" s="309">
        <f t="shared" ca="1" si="19"/>
        <v>478800</v>
      </c>
      <c r="L32" s="289"/>
      <c r="M32" s="289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 ht="14.4">
      <c r="A33" s="283"/>
      <c r="B33" s="498"/>
      <c r="C33" s="316"/>
      <c r="D33" s="305" t="str">
        <f ca="1">IF(ISERROR(OFFSET('HARGA SATUAN'!$D$6,MATCH(RAB!C33,'HARGA SATUAN'!$C$7:$C$1504,0),0)),"",OFFSET('HARGA SATUAN'!$D$6,MATCH(RAB!C33,'HARGA SATUAN'!$C$7:$C$1504,0),0))</f>
        <v/>
      </c>
      <c r="E33" s="306" t="str">
        <f ca="1">IF(B33="+","Unit",IF(ISERROR(OFFSET('HARGA SATUAN'!$E$6,MATCH(RAB!C33,'HARGA SATUAN'!$C$7:$C$1504,0),0)),"",OFFSET('HARGA SATUAN'!$E$6,MATCH(RAB!C33,'HARGA SATUAN'!$C$7:$C$1504,0),0)))</f>
        <v/>
      </c>
      <c r="F33" s="487"/>
      <c r="G33" s="307">
        <f ca="1">IF(ISERROR(OFFSET('HARGA SATUAN'!$I$6,MATCH(RAB!C33,'HARGA SATUAN'!$C$7:$C$1504,0),0)),0,OFFSET('HARGA SATUAN'!$I$6,MATCH(RAB!C33,'HARGA SATUAN'!$C$7:$C$1504,0),0))</f>
        <v>0</v>
      </c>
      <c r="H33" s="308">
        <f t="shared" ca="1" si="16"/>
        <v>0</v>
      </c>
      <c r="I33" s="308">
        <f t="shared" ca="1" si="17"/>
        <v>0</v>
      </c>
      <c r="J33" s="308">
        <f t="shared" ca="1" si="18"/>
        <v>0</v>
      </c>
      <c r="K33" s="309">
        <f t="shared" ca="1" si="19"/>
        <v>0</v>
      </c>
      <c r="L33" s="289"/>
      <c r="M33" s="289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 ht="14.4">
      <c r="A34" s="283"/>
      <c r="B34" s="498" t="s">
        <v>1035</v>
      </c>
      <c r="C34" s="316" t="s">
        <v>1630</v>
      </c>
      <c r="D34" s="305" t="str">
        <f ca="1">IF(ISERROR(OFFSET('HARGA SATUAN'!$D$6,MATCH(RAB!C34,'HARGA SATUAN'!$C$7:$C$1504,0),0)),"",OFFSET('HARGA SATUAN'!$D$6,MATCH(RAB!C34,'HARGA SATUAN'!$C$7:$C$1504,0),0))</f>
        <v/>
      </c>
      <c r="E34" s="306" t="str">
        <f ca="1">IF(B34="+","Unit",IF(ISERROR(OFFSET('HARGA SATUAN'!$E$6,MATCH(RAB!C34,'HARGA SATUAN'!$C$7:$C$1504,0),0)),"",OFFSET('HARGA SATUAN'!$E$6,MATCH(RAB!C34,'HARGA SATUAN'!$C$7:$C$1504,0),0)))</f>
        <v>Unit</v>
      </c>
      <c r="F34" s="487">
        <v>1</v>
      </c>
      <c r="G34" s="307">
        <f ca="1">IF(ISERROR(OFFSET('HARGA SATUAN'!$I$6,MATCH(RAB!C34,'HARGA SATUAN'!$C$7:$C$1504,0),0)),0,OFFSET('HARGA SATUAN'!$I$6,MATCH(RAB!C34,'HARGA SATUAN'!$C$7:$C$1504,0),0))</f>
        <v>0</v>
      </c>
      <c r="H34" s="308">
        <f t="shared" ca="1" si="16"/>
        <v>0</v>
      </c>
      <c r="I34" s="308">
        <f t="shared" ca="1" si="17"/>
        <v>0</v>
      </c>
      <c r="J34" s="308">
        <f t="shared" ca="1" si="18"/>
        <v>0</v>
      </c>
      <c r="K34" s="309">
        <f t="shared" ca="1" si="19"/>
        <v>0</v>
      </c>
      <c r="L34" s="289"/>
      <c r="M34" s="289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 ht="27.6">
      <c r="A35" s="283"/>
      <c r="B35" s="498">
        <v>1</v>
      </c>
      <c r="C35" s="316" t="s">
        <v>1648</v>
      </c>
      <c r="D35" s="305" t="str">
        <f ca="1">IF(ISERROR(OFFSET('HARGA SATUAN'!$D$6,MATCH(RAB!C35,'HARGA SATUAN'!$C$7:$C$1504,0),0)),"",OFFSET('HARGA SATUAN'!$D$6,MATCH(RAB!C35,'HARGA SATUAN'!$C$7:$C$1504,0),0))</f>
        <v/>
      </c>
      <c r="E35" s="306" t="str">
        <f ca="1">IF(B35="+","Unit",IF(ISERROR(OFFSET('HARGA SATUAN'!$E$6,MATCH(RAB!C35,'HARGA SATUAN'!$C$7:$C$1504,0),0)),"",OFFSET('HARGA SATUAN'!$E$6,MATCH(RAB!C35,'HARGA SATUAN'!$C$7:$C$1504,0),0)))</f>
        <v/>
      </c>
      <c r="F35" s="487">
        <f>F34*1</f>
        <v>1</v>
      </c>
      <c r="G35" s="307">
        <f ca="1">IF(ISERROR(OFFSET('HARGA SATUAN'!$I$6,MATCH(RAB!C35,'HARGA SATUAN'!$C$7:$C$1504,0),0)),0,OFFSET('HARGA SATUAN'!$I$6,MATCH(RAB!C35,'HARGA SATUAN'!$C$7:$C$1504,0),0))</f>
        <v>0</v>
      </c>
      <c r="H35" s="308">
        <f t="shared" ca="1" si="16"/>
        <v>0</v>
      </c>
      <c r="I35" s="308">
        <f t="shared" ca="1" si="17"/>
        <v>0</v>
      </c>
      <c r="J35" s="308">
        <f t="shared" ca="1" si="18"/>
        <v>0</v>
      </c>
      <c r="K35" s="309">
        <f t="shared" ca="1" si="19"/>
        <v>0</v>
      </c>
      <c r="L35" s="289"/>
      <c r="M35" s="289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 ht="14.4">
      <c r="A36" s="283"/>
      <c r="B36" s="498">
        <v>2</v>
      </c>
      <c r="C36" s="316" t="s">
        <v>152</v>
      </c>
      <c r="D36" s="305" t="str">
        <f ca="1">IF(ISERROR(OFFSET('HARGA SATUAN'!$D$6,MATCH(RAB!C36,'HARGA SATUAN'!$C$7:$C$1504,0),0)),"",OFFSET('HARGA SATUAN'!$D$6,MATCH(RAB!C36,'HARGA SATUAN'!$C$7:$C$1504,0),0))</f>
        <v>HDW</v>
      </c>
      <c r="E36" s="306" t="str">
        <f ca="1">IF(B36="+","Unit",IF(ISERROR(OFFSET('HARGA SATUAN'!$E$6,MATCH(RAB!C36,'HARGA SATUAN'!$C$7:$C$1504,0),0)),"",OFFSET('HARGA SATUAN'!$E$6,MATCH(RAB!C36,'HARGA SATUAN'!$C$7:$C$1504,0),0)))</f>
        <v>Mtr</v>
      </c>
      <c r="F36" s="487">
        <f>F34*1</f>
        <v>1</v>
      </c>
      <c r="G36" s="307">
        <f ca="1">IF(ISERROR(OFFSET('HARGA SATUAN'!$I$6,MATCH(RAB!C36,'HARGA SATUAN'!$C$7:$C$1504,0),0)),0,OFFSET('HARGA SATUAN'!$I$6,MATCH(RAB!C36,'HARGA SATUAN'!$C$7:$C$1504,0),0))</f>
        <v>7789</v>
      </c>
      <c r="H36" s="308">
        <f t="shared" ca="1" si="16"/>
        <v>0</v>
      </c>
      <c r="I36" s="308">
        <f t="shared" ca="1" si="17"/>
        <v>7789</v>
      </c>
      <c r="J36" s="308">
        <f t="shared" ca="1" si="18"/>
        <v>0</v>
      </c>
      <c r="K36" s="309">
        <f t="shared" ca="1" si="19"/>
        <v>7789</v>
      </c>
      <c r="L36" s="289"/>
      <c r="M36" s="289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 ht="14.4">
      <c r="A37" s="283"/>
      <c r="B37" s="498">
        <v>3</v>
      </c>
      <c r="C37" s="316" t="s">
        <v>179</v>
      </c>
      <c r="D37" s="305" t="str">
        <f ca="1">IF(ISERROR(OFFSET('HARGA SATUAN'!$D$6,MATCH(RAB!C37,'HARGA SATUAN'!$C$7:$C$1504,0),0)),"",OFFSET('HARGA SATUAN'!$D$6,MATCH(RAB!C37,'HARGA SATUAN'!$C$7:$C$1504,0),0))</f>
        <v>HDW</v>
      </c>
      <c r="E37" s="306" t="str">
        <f ca="1">IF(B37="+","Unit",IF(ISERROR(OFFSET('HARGA SATUAN'!$E$6,MATCH(RAB!C37,'HARGA SATUAN'!$C$7:$C$1504,0),0)),"",OFFSET('HARGA SATUAN'!$E$6,MATCH(RAB!C37,'HARGA SATUAN'!$C$7:$C$1504,0),0)))</f>
        <v>Bh</v>
      </c>
      <c r="F37" s="487">
        <f>F34*1</f>
        <v>1</v>
      </c>
      <c r="G37" s="307">
        <f ca="1">IF(ISERROR(OFFSET('HARGA SATUAN'!$I$6,MATCH(RAB!C37,'HARGA SATUAN'!$C$7:$C$1504,0),0)),0,OFFSET('HARGA SATUAN'!$I$6,MATCH(RAB!C37,'HARGA SATUAN'!$C$7:$C$1504,0),0))</f>
        <v>15500</v>
      </c>
      <c r="H37" s="308">
        <f t="shared" ca="1" si="16"/>
        <v>0</v>
      </c>
      <c r="I37" s="308">
        <f t="shared" ca="1" si="17"/>
        <v>15500</v>
      </c>
      <c r="J37" s="308">
        <f t="shared" ca="1" si="18"/>
        <v>0</v>
      </c>
      <c r="K37" s="309">
        <f t="shared" ca="1" si="19"/>
        <v>15500</v>
      </c>
      <c r="L37" s="289"/>
      <c r="M37" s="289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 ht="14.4">
      <c r="A38" s="283"/>
      <c r="B38" s="498">
        <v>4</v>
      </c>
      <c r="C38" s="316" t="s">
        <v>217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Bh</v>
      </c>
      <c r="F38" s="487">
        <f>F34*2</f>
        <v>2</v>
      </c>
      <c r="G38" s="307">
        <f ca="1">IF(ISERROR(OFFSET('HARGA SATUAN'!$I$6,MATCH(RAB!C38,'HARGA SATUAN'!$C$7:$C$1504,0),0)),0,OFFSET('HARGA SATUAN'!$I$6,MATCH(RAB!C38,'HARGA SATUAN'!$C$7:$C$1504,0),0))</f>
        <v>11400</v>
      </c>
      <c r="H38" s="308">
        <f t="shared" ca="1" si="16"/>
        <v>0</v>
      </c>
      <c r="I38" s="308">
        <f t="shared" ca="1" si="17"/>
        <v>22800</v>
      </c>
      <c r="J38" s="308">
        <f t="shared" ca="1" si="18"/>
        <v>0</v>
      </c>
      <c r="K38" s="309">
        <f t="shared" ca="1" si="19"/>
        <v>22800</v>
      </c>
      <c r="L38" s="289"/>
      <c r="M38" s="289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 ht="14.4">
      <c r="A39" s="283"/>
      <c r="B39" s="498">
        <v>5</v>
      </c>
      <c r="C39" s="316" t="s">
        <v>218</v>
      </c>
      <c r="D39" s="305" t="str">
        <f ca="1">IF(ISERROR(OFFSET('HARGA SATUAN'!$D$6,MATCH(RAB!C39,'HARGA SATUAN'!$C$7:$C$1504,0),0)),"",OFFSET('HARGA SATUAN'!$D$6,MATCH(RAB!C39,'HARGA SATUAN'!$C$7:$C$1504,0),0))</f>
        <v>HDW</v>
      </c>
      <c r="E39" s="306" t="str">
        <f ca="1">IF(B39="+","Unit",IF(ISERROR(OFFSET('HARGA SATUAN'!$E$6,MATCH(RAB!C39,'HARGA SATUAN'!$C$7:$C$1504,0),0)),"",OFFSET('HARGA SATUAN'!$E$6,MATCH(RAB!C39,'HARGA SATUAN'!$C$7:$C$1504,0),0)))</f>
        <v>Bh</v>
      </c>
      <c r="F39" s="487">
        <f>F34*2</f>
        <v>2</v>
      </c>
      <c r="G39" s="307">
        <f ca="1">IF(ISERROR(OFFSET('HARGA SATUAN'!$I$6,MATCH(RAB!C39,'HARGA SATUAN'!$C$7:$C$1504,0),0)),0,OFFSET('HARGA SATUAN'!$I$6,MATCH(RAB!C39,'HARGA SATUAN'!$C$7:$C$1504,0),0))</f>
        <v>29600</v>
      </c>
      <c r="H39" s="308">
        <f t="shared" ca="1" si="16"/>
        <v>0</v>
      </c>
      <c r="I39" s="308">
        <f t="shared" ca="1" si="17"/>
        <v>59200</v>
      </c>
      <c r="J39" s="308">
        <f t="shared" ca="1" si="18"/>
        <v>0</v>
      </c>
      <c r="K39" s="309">
        <f t="shared" ca="1" si="19"/>
        <v>59200</v>
      </c>
      <c r="L39" s="289"/>
      <c r="M39" s="289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 ht="14.4">
      <c r="A40" s="283"/>
      <c r="B40" s="498">
        <v>6</v>
      </c>
      <c r="C40" s="316" t="s">
        <v>223</v>
      </c>
      <c r="D40" s="305" t="str">
        <f ca="1">IF(ISERROR(OFFSET('HARGA SATUAN'!$D$6,MATCH(RAB!C40,'HARGA SATUAN'!$C$7:$C$1504,0),0)),"",OFFSET('HARGA SATUAN'!$D$6,MATCH(RAB!C40,'HARGA SATUAN'!$C$7:$C$1504,0),0))</f>
        <v>HDW</v>
      </c>
      <c r="E40" s="306" t="str">
        <f ca="1">IF(B40="+","Unit",IF(ISERROR(OFFSET('HARGA SATUAN'!$E$6,MATCH(RAB!C40,'HARGA SATUAN'!$C$7:$C$1504,0),0)),"",OFFSET('HARGA SATUAN'!$E$6,MATCH(RAB!C40,'HARGA SATUAN'!$C$7:$C$1504,0),0)))</f>
        <v>Bh</v>
      </c>
      <c r="F40" s="487">
        <f>F34*2</f>
        <v>2</v>
      </c>
      <c r="G40" s="307">
        <f ca="1">IF(ISERROR(OFFSET('HARGA SATUAN'!$I$6,MATCH(RAB!C40,'HARGA SATUAN'!$C$7:$C$1504,0),0)),0,OFFSET('HARGA SATUAN'!$I$6,MATCH(RAB!C40,'HARGA SATUAN'!$C$7:$C$1504,0),0))</f>
        <v>27815</v>
      </c>
      <c r="H40" s="308">
        <f t="shared" ca="1" si="16"/>
        <v>0</v>
      </c>
      <c r="I40" s="308">
        <f t="shared" ca="1" si="17"/>
        <v>55630</v>
      </c>
      <c r="J40" s="308">
        <f t="shared" ca="1" si="18"/>
        <v>0</v>
      </c>
      <c r="K40" s="309">
        <f t="shared" ca="1" si="19"/>
        <v>55630</v>
      </c>
      <c r="L40" s="289"/>
      <c r="M40" s="289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 ht="14.4">
      <c r="A41" s="283"/>
      <c r="B41" s="498">
        <v>7</v>
      </c>
      <c r="C41" s="316" t="s">
        <v>27</v>
      </c>
      <c r="D41" s="305" t="str">
        <f ca="1">IF(ISERROR(OFFSET('HARGA SATUAN'!$D$6,MATCH(RAB!C41,'HARGA SATUAN'!$C$7:$C$1504,0),0)),"",OFFSET('HARGA SATUAN'!$D$6,MATCH(RAB!C41,'HARGA SATUAN'!$C$7:$C$1504,0),0))</f>
        <v>HDW</v>
      </c>
      <c r="E41" s="306" t="str">
        <f ca="1">IF(B41="+","Unit",IF(ISERROR(OFFSET('HARGA SATUAN'!$E$6,MATCH(RAB!C41,'HARGA SATUAN'!$C$7:$C$1504,0),0)),"",OFFSET('HARGA SATUAN'!$E$6,MATCH(RAB!C41,'HARGA SATUAN'!$C$7:$C$1504,0),0)))</f>
        <v>Bh</v>
      </c>
      <c r="F41" s="487">
        <f>F34*1</f>
        <v>1</v>
      </c>
      <c r="G41" s="307">
        <f ca="1">IF(ISERROR(OFFSET('HARGA SATUAN'!$I$6,MATCH(RAB!C41,'HARGA SATUAN'!$C$7:$C$1504,0),0)),0,OFFSET('HARGA SATUAN'!$I$6,MATCH(RAB!C41,'HARGA SATUAN'!$C$7:$C$1504,0),0))</f>
        <v>16000</v>
      </c>
      <c r="H41" s="308">
        <f t="shared" ca="1" si="16"/>
        <v>0</v>
      </c>
      <c r="I41" s="308">
        <f t="shared" ca="1" si="17"/>
        <v>16000</v>
      </c>
      <c r="J41" s="308">
        <f t="shared" ca="1" si="18"/>
        <v>0</v>
      </c>
      <c r="K41" s="309">
        <f t="shared" ca="1" si="19"/>
        <v>16000</v>
      </c>
      <c r="L41" s="289"/>
      <c r="M41" s="289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 ht="14.4">
      <c r="A42" s="283"/>
      <c r="B42" s="498">
        <v>8</v>
      </c>
      <c r="C42" s="316" t="s">
        <v>265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487">
        <f>F34*1</f>
        <v>1</v>
      </c>
      <c r="G42" s="307">
        <f ca="1">IF(ISERROR(OFFSET('HARGA SATUAN'!$I$6,MATCH(RAB!C42,'HARGA SATUAN'!$C$7:$C$1504,0),0)),0,OFFSET('HARGA SATUAN'!$I$6,MATCH(RAB!C42,'HARGA SATUAN'!$C$7:$C$1504,0),0))</f>
        <v>33501.866666666669</v>
      </c>
      <c r="H42" s="308">
        <f t="shared" ca="1" si="16"/>
        <v>0</v>
      </c>
      <c r="I42" s="308">
        <f t="shared" ca="1" si="17"/>
        <v>33501.866666666669</v>
      </c>
      <c r="J42" s="308">
        <f t="shared" ca="1" si="18"/>
        <v>0</v>
      </c>
      <c r="K42" s="309">
        <f t="shared" ca="1" si="19"/>
        <v>33501.866666666669</v>
      </c>
      <c r="L42" s="289"/>
      <c r="M42" s="289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 ht="14.4">
      <c r="A43" s="283"/>
      <c r="B43" s="498">
        <v>9</v>
      </c>
      <c r="C43" s="316" t="s">
        <v>26</v>
      </c>
      <c r="D43" s="305" t="str">
        <f ca="1">IF(ISERROR(OFFSET('HARGA SATUAN'!$D$6,MATCH(RAB!C43,'HARGA SATUAN'!$C$7:$C$1504,0),0)),"",OFFSET('HARGA SATUAN'!$D$6,MATCH(RAB!C43,'HARGA SATUAN'!$C$7:$C$1504,0),0))</f>
        <v>HDW</v>
      </c>
      <c r="E43" s="306" t="str">
        <f ca="1">IF(B43="+","Unit",IF(ISERROR(OFFSET('HARGA SATUAN'!$E$6,MATCH(RAB!C43,'HARGA SATUAN'!$C$7:$C$1504,0),0)),"",OFFSET('HARGA SATUAN'!$E$6,MATCH(RAB!C43,'HARGA SATUAN'!$C$7:$C$1504,0),0)))</f>
        <v>Bh</v>
      </c>
      <c r="F43" s="487">
        <f>F34*2</f>
        <v>2</v>
      </c>
      <c r="G43" s="307">
        <f ca="1">IF(ISERROR(OFFSET('HARGA SATUAN'!$I$6,MATCH(RAB!C43,'HARGA SATUAN'!$C$7:$C$1504,0),0)),0,OFFSET('HARGA SATUAN'!$I$6,MATCH(RAB!C43,'HARGA SATUAN'!$C$7:$C$1504,0),0))</f>
        <v>2500</v>
      </c>
      <c r="H43" s="308">
        <f t="shared" ca="1" si="16"/>
        <v>0</v>
      </c>
      <c r="I43" s="308">
        <f t="shared" ca="1" si="17"/>
        <v>5000</v>
      </c>
      <c r="J43" s="308">
        <f t="shared" ca="1" si="18"/>
        <v>0</v>
      </c>
      <c r="K43" s="309">
        <f t="shared" ca="1" si="19"/>
        <v>5000</v>
      </c>
      <c r="L43" s="289"/>
      <c r="M43" s="289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 ht="14.4">
      <c r="A44" s="283"/>
      <c r="B44" s="498">
        <v>10</v>
      </c>
      <c r="C44" s="316" t="s">
        <v>655</v>
      </c>
      <c r="D44" s="305" t="str">
        <f ca="1">IF(ISERROR(OFFSET('HARGA SATUAN'!$D$6,MATCH(RAB!C44,'HARGA SATUAN'!$C$7:$C$1504,0),0)),"",OFFSET('HARGA SATUAN'!$D$6,MATCH(RAB!C44,'HARGA SATUAN'!$C$7:$C$1504,0),0))</f>
        <v>JASA</v>
      </c>
      <c r="E44" s="306" t="str">
        <f ca="1">IF(B44="+","Unit",IF(ISERROR(OFFSET('HARGA SATUAN'!$E$6,MATCH(RAB!C44,'HARGA SATUAN'!$C$7:$C$1504,0),0)),"",OFFSET('HARGA SATUAN'!$E$6,MATCH(RAB!C44,'HARGA SATUAN'!$C$7:$C$1504,0),0)))</f>
        <v>Unit</v>
      </c>
      <c r="F44" s="487">
        <f>F34*1</f>
        <v>1</v>
      </c>
      <c r="G44" s="307">
        <f ca="1">IF(ISERROR(OFFSET('HARGA SATUAN'!$I$6,MATCH(RAB!C44,'HARGA SATUAN'!$C$7:$C$1504,0),0)),0,OFFSET('HARGA SATUAN'!$I$6,MATCH(RAB!C44,'HARGA SATUAN'!$C$7:$C$1504,0),0))</f>
        <v>50100</v>
      </c>
      <c r="H44" s="308">
        <f t="shared" ca="1" si="16"/>
        <v>0</v>
      </c>
      <c r="I44" s="308">
        <f t="shared" ca="1" si="17"/>
        <v>0</v>
      </c>
      <c r="J44" s="308">
        <f t="shared" ca="1" si="18"/>
        <v>50100</v>
      </c>
      <c r="K44" s="309">
        <f t="shared" ca="1" si="19"/>
        <v>50100</v>
      </c>
      <c r="L44" s="289"/>
      <c r="M44" s="289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 ht="14.4">
      <c r="A45" s="283"/>
      <c r="B45" s="498"/>
      <c r="C45" s="316"/>
      <c r="D45" s="305" t="str">
        <f ca="1">IF(ISERROR(OFFSET('HARGA SATUAN'!$D$6,MATCH(RAB!C45,'HARGA SATUAN'!$C$7:$C$1504,0),0)),"",OFFSET('HARGA SATUAN'!$D$6,MATCH(RAB!C45,'HARGA SATUAN'!$C$7:$C$1504,0),0))</f>
        <v/>
      </c>
      <c r="E45" s="306" t="str">
        <f ca="1">IF(B45="+","Unit",IF(ISERROR(OFFSET('HARGA SATUAN'!$E$6,MATCH(RAB!C45,'HARGA SATUAN'!$C$7:$C$1504,0),0)),"",OFFSET('HARGA SATUAN'!$E$6,MATCH(RAB!C45,'HARGA SATUAN'!$C$7:$C$1504,0),0)))</f>
        <v/>
      </c>
      <c r="F45" s="487"/>
      <c r="G45" s="307">
        <f ca="1">IF(ISERROR(OFFSET('HARGA SATUAN'!$I$6,MATCH(RAB!C45,'HARGA SATUAN'!$C$7:$C$1504,0),0)),0,OFFSET('HARGA SATUAN'!$I$6,MATCH(RAB!C45,'HARGA SATUAN'!$C$7:$C$1504,0),0))</f>
        <v>0</v>
      </c>
      <c r="H45" s="308">
        <f t="shared" ca="1" si="16"/>
        <v>0</v>
      </c>
      <c r="I45" s="308">
        <f t="shared" ca="1" si="17"/>
        <v>0</v>
      </c>
      <c r="J45" s="308">
        <f t="shared" ca="1" si="18"/>
        <v>0</v>
      </c>
      <c r="K45" s="309">
        <f t="shared" ca="1" si="19"/>
        <v>0</v>
      </c>
      <c r="L45" s="289"/>
      <c r="M45" s="289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 ht="14.4">
      <c r="A46" s="283"/>
      <c r="B46" s="498" t="s">
        <v>1035</v>
      </c>
      <c r="C46" s="316" t="s">
        <v>1631</v>
      </c>
      <c r="D46" s="305" t="str">
        <f ca="1">IF(ISERROR(OFFSET('HARGA SATUAN'!$D$6,MATCH(RAB!C46,'HARGA SATUAN'!$C$7:$C$1504,0),0)),"",OFFSET('HARGA SATUAN'!$D$6,MATCH(RAB!C46,'HARGA SATUAN'!$C$7:$C$1504,0),0))</f>
        <v/>
      </c>
      <c r="E46" s="306" t="str">
        <f ca="1">IF(B46="+","Unit",IF(ISERROR(OFFSET('HARGA SATUAN'!$E$6,MATCH(RAB!C46,'HARGA SATUAN'!$C$7:$C$1504,0),0)),"",OFFSET('HARGA SATUAN'!$E$6,MATCH(RAB!C46,'HARGA SATUAN'!$C$7:$C$1504,0),0)))</f>
        <v>Unit</v>
      </c>
      <c r="F46" s="487">
        <v>1</v>
      </c>
      <c r="G46" s="307">
        <f ca="1">IF(ISERROR(OFFSET('HARGA SATUAN'!$I$6,MATCH(RAB!C46,'HARGA SATUAN'!$C$7:$C$1504,0),0)),0,OFFSET('HARGA SATUAN'!$I$6,MATCH(RAB!C46,'HARGA SATUAN'!$C$7:$C$1504,0),0))</f>
        <v>0</v>
      </c>
      <c r="H46" s="308">
        <f t="shared" ca="1" si="16"/>
        <v>0</v>
      </c>
      <c r="I46" s="308">
        <f t="shared" ca="1" si="17"/>
        <v>0</v>
      </c>
      <c r="J46" s="308">
        <f t="shared" ca="1" si="18"/>
        <v>0</v>
      </c>
      <c r="K46" s="309">
        <f t="shared" ca="1" si="19"/>
        <v>0</v>
      </c>
      <c r="L46" s="289"/>
      <c r="M46" s="289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 ht="27.6">
      <c r="A47" s="283"/>
      <c r="B47" s="498">
        <v>1</v>
      </c>
      <c r="C47" s="316" t="s">
        <v>1648</v>
      </c>
      <c r="D47" s="305" t="str">
        <f ca="1">IF(ISERROR(OFFSET('HARGA SATUAN'!$D$6,MATCH(RAB!C47,'HARGA SATUAN'!$C$7:$C$1504,0),0)),"",OFFSET('HARGA SATUAN'!$D$6,MATCH(RAB!C47,'HARGA SATUAN'!$C$7:$C$1504,0),0))</f>
        <v/>
      </c>
      <c r="E47" s="306" t="str">
        <f ca="1">IF(B47="+","Unit",IF(ISERROR(OFFSET('HARGA SATUAN'!$E$6,MATCH(RAB!C47,'HARGA SATUAN'!$C$7:$C$1504,0),0)),"",OFFSET('HARGA SATUAN'!$E$6,MATCH(RAB!C47,'HARGA SATUAN'!$C$7:$C$1504,0),0)))</f>
        <v/>
      </c>
      <c r="F47" s="487">
        <f>F46*1</f>
        <v>1</v>
      </c>
      <c r="G47" s="307">
        <f ca="1">IF(ISERROR(OFFSET('HARGA SATUAN'!$I$6,MATCH(RAB!C47,'HARGA SATUAN'!$C$7:$C$1504,0),0)),0,OFFSET('HARGA SATUAN'!$I$6,MATCH(RAB!C47,'HARGA SATUAN'!$C$7:$C$1504,0),0))</f>
        <v>0</v>
      </c>
      <c r="H47" s="308">
        <f t="shared" ca="1" si="16"/>
        <v>0</v>
      </c>
      <c r="I47" s="308">
        <f t="shared" ca="1" si="17"/>
        <v>0</v>
      </c>
      <c r="J47" s="308">
        <f t="shared" ca="1" si="18"/>
        <v>0</v>
      </c>
      <c r="K47" s="309">
        <f t="shared" ca="1" si="19"/>
        <v>0</v>
      </c>
      <c r="L47" s="289"/>
      <c r="M47" s="289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 ht="14.4">
      <c r="A48" s="283"/>
      <c r="B48" s="498">
        <v>2</v>
      </c>
      <c r="C48" s="316" t="s">
        <v>152</v>
      </c>
      <c r="D48" s="305" t="str">
        <f ca="1">IF(ISERROR(OFFSET('HARGA SATUAN'!$D$6,MATCH(RAB!C48,'HARGA SATUAN'!$C$7:$C$1504,0),0)),"",OFFSET('HARGA SATUAN'!$D$6,MATCH(RAB!C48,'HARGA SATUAN'!$C$7:$C$1504,0),0))</f>
        <v>HDW</v>
      </c>
      <c r="E48" s="306" t="str">
        <f ca="1">IF(B48="+","Unit",IF(ISERROR(OFFSET('HARGA SATUAN'!$E$6,MATCH(RAB!C48,'HARGA SATUAN'!$C$7:$C$1504,0),0)),"",OFFSET('HARGA SATUAN'!$E$6,MATCH(RAB!C48,'HARGA SATUAN'!$C$7:$C$1504,0),0)))</f>
        <v>Mtr</v>
      </c>
      <c r="F48" s="487">
        <f>F46*1</f>
        <v>1</v>
      </c>
      <c r="G48" s="307">
        <f ca="1">IF(ISERROR(OFFSET('HARGA SATUAN'!$I$6,MATCH(RAB!C48,'HARGA SATUAN'!$C$7:$C$1504,0),0)),0,OFFSET('HARGA SATUAN'!$I$6,MATCH(RAB!C48,'HARGA SATUAN'!$C$7:$C$1504,0),0))</f>
        <v>7789</v>
      </c>
      <c r="H48" s="308">
        <f t="shared" ca="1" si="16"/>
        <v>0</v>
      </c>
      <c r="I48" s="308">
        <f t="shared" ca="1" si="17"/>
        <v>7789</v>
      </c>
      <c r="J48" s="308">
        <f t="shared" ca="1" si="18"/>
        <v>0</v>
      </c>
      <c r="K48" s="309">
        <f t="shared" ca="1" si="19"/>
        <v>7789</v>
      </c>
      <c r="L48" s="289"/>
      <c r="M48" s="289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 ht="14.4">
      <c r="A49" s="283"/>
      <c r="B49" s="498">
        <v>3</v>
      </c>
      <c r="C49" s="316" t="s">
        <v>179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87">
        <f>F46*1</f>
        <v>1</v>
      </c>
      <c r="G49" s="307">
        <f ca="1">IF(ISERROR(OFFSET('HARGA SATUAN'!$I$6,MATCH(RAB!C49,'HARGA SATUAN'!$C$7:$C$1504,0),0)),0,OFFSET('HARGA SATUAN'!$I$6,MATCH(RAB!C49,'HARGA SATUAN'!$C$7:$C$1504,0),0))</f>
        <v>15500</v>
      </c>
      <c r="H49" s="308">
        <f t="shared" ca="1" si="16"/>
        <v>0</v>
      </c>
      <c r="I49" s="308">
        <f t="shared" ca="1" si="17"/>
        <v>15500</v>
      </c>
      <c r="J49" s="308">
        <f t="shared" ca="1" si="18"/>
        <v>0</v>
      </c>
      <c r="K49" s="309">
        <f t="shared" ca="1" si="19"/>
        <v>15500</v>
      </c>
      <c r="L49" s="289"/>
      <c r="M49" s="289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 ht="14.4">
      <c r="A50" s="283"/>
      <c r="B50" s="498">
        <v>4</v>
      </c>
      <c r="C50" s="316" t="s">
        <v>184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487">
        <f>F46*2</f>
        <v>2</v>
      </c>
      <c r="G50" s="307">
        <f ca="1">IF(ISERROR(OFFSET('HARGA SATUAN'!$I$6,MATCH(RAB!C50,'HARGA SATUAN'!$C$7:$C$1504,0),0)),0,OFFSET('HARGA SATUAN'!$I$6,MATCH(RAB!C50,'HARGA SATUAN'!$C$7:$C$1504,0),0))</f>
        <v>15900</v>
      </c>
      <c r="H50" s="308">
        <f t="shared" ca="1" si="16"/>
        <v>0</v>
      </c>
      <c r="I50" s="308">
        <f t="shared" ca="1" si="17"/>
        <v>31800</v>
      </c>
      <c r="J50" s="308">
        <f t="shared" ca="1" si="18"/>
        <v>0</v>
      </c>
      <c r="K50" s="309">
        <f t="shared" ca="1" si="19"/>
        <v>31800</v>
      </c>
      <c r="L50" s="289"/>
      <c r="M50" s="289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 ht="14.4">
      <c r="A51" s="283"/>
      <c r="B51" s="498">
        <v>5</v>
      </c>
      <c r="C51" s="316" t="s">
        <v>218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Bh</v>
      </c>
      <c r="F51" s="487">
        <f>F46*2</f>
        <v>2</v>
      </c>
      <c r="G51" s="307">
        <f ca="1">IF(ISERROR(OFFSET('HARGA SATUAN'!$I$6,MATCH(RAB!C51,'HARGA SATUAN'!$C$7:$C$1504,0),0)),0,OFFSET('HARGA SATUAN'!$I$6,MATCH(RAB!C51,'HARGA SATUAN'!$C$7:$C$1504,0),0))</f>
        <v>29600</v>
      </c>
      <c r="H51" s="308">
        <f t="shared" ca="1" si="16"/>
        <v>0</v>
      </c>
      <c r="I51" s="308">
        <f t="shared" ca="1" si="17"/>
        <v>59200</v>
      </c>
      <c r="J51" s="308">
        <f t="shared" ca="1" si="18"/>
        <v>0</v>
      </c>
      <c r="K51" s="309">
        <f t="shared" ca="1" si="19"/>
        <v>59200</v>
      </c>
      <c r="L51" s="289"/>
      <c r="M51" s="289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 ht="14.4">
      <c r="A52" s="283"/>
      <c r="B52" s="498">
        <v>6</v>
      </c>
      <c r="C52" s="316" t="s">
        <v>25</v>
      </c>
      <c r="D52" s="305" t="str">
        <f ca="1">IF(ISERROR(OFFSET('HARGA SATUAN'!$D$6,MATCH(RAB!C52,'HARGA SATUAN'!$C$7:$C$1504,0),0)),"",OFFSET('HARGA SATUAN'!$D$6,MATCH(RAB!C52,'HARGA SATUAN'!$C$7:$C$1504,0),0))</f>
        <v>HDW</v>
      </c>
      <c r="E52" s="306" t="str">
        <f ca="1">IF(B52="+","Unit",IF(ISERROR(OFFSET('HARGA SATUAN'!$E$6,MATCH(RAB!C52,'HARGA SATUAN'!$C$7:$C$1504,0),0)),"",OFFSET('HARGA SATUAN'!$E$6,MATCH(RAB!C52,'HARGA SATUAN'!$C$7:$C$1504,0),0)))</f>
        <v>Bh</v>
      </c>
      <c r="F52" s="487">
        <f>F46*2</f>
        <v>2</v>
      </c>
      <c r="G52" s="307">
        <f ca="1">IF(ISERROR(OFFSET('HARGA SATUAN'!$I$6,MATCH(RAB!C52,'HARGA SATUAN'!$C$7:$C$1504,0),0)),0,OFFSET('HARGA SATUAN'!$I$6,MATCH(RAB!C52,'HARGA SATUAN'!$C$7:$C$1504,0),0))</f>
        <v>23936</v>
      </c>
      <c r="H52" s="308">
        <f t="shared" ca="1" si="16"/>
        <v>0</v>
      </c>
      <c r="I52" s="308">
        <f t="shared" ca="1" si="17"/>
        <v>47872</v>
      </c>
      <c r="J52" s="308">
        <f t="shared" ca="1" si="18"/>
        <v>0</v>
      </c>
      <c r="K52" s="309">
        <f t="shared" ca="1" si="19"/>
        <v>47872</v>
      </c>
      <c r="L52" s="289"/>
      <c r="M52" s="289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 ht="14.4">
      <c r="A53" s="283"/>
      <c r="B53" s="498">
        <v>7</v>
      </c>
      <c r="C53" s="316" t="s">
        <v>247</v>
      </c>
      <c r="D53" s="305" t="str">
        <f ca="1">IF(ISERROR(OFFSET('HARGA SATUAN'!$D$6,MATCH(RAB!C53,'HARGA SATUAN'!$C$7:$C$1504,0),0)),"",OFFSET('HARGA SATUAN'!$D$6,MATCH(RAB!C53,'HARGA SATUAN'!$C$7:$C$1504,0),0))</f>
        <v>HDW</v>
      </c>
      <c r="E53" s="306" t="str">
        <f ca="1">IF(B53="+","Unit",IF(ISERROR(OFFSET('HARGA SATUAN'!$E$6,MATCH(RAB!C53,'HARGA SATUAN'!$C$7:$C$1504,0),0)),"",OFFSET('HARGA SATUAN'!$E$6,MATCH(RAB!C53,'HARGA SATUAN'!$C$7:$C$1504,0),0)))</f>
        <v>Bh</v>
      </c>
      <c r="F53" s="487">
        <f>F46*2</f>
        <v>2</v>
      </c>
      <c r="G53" s="307">
        <f ca="1">IF(ISERROR(OFFSET('HARGA SATUAN'!$I$6,MATCH(RAB!C53,'HARGA SATUAN'!$C$7:$C$1504,0),0)),0,OFFSET('HARGA SATUAN'!$I$6,MATCH(RAB!C53,'HARGA SATUAN'!$C$7:$C$1504,0),0))</f>
        <v>57690</v>
      </c>
      <c r="H53" s="308">
        <f t="shared" ca="1" si="16"/>
        <v>0</v>
      </c>
      <c r="I53" s="308">
        <f t="shared" ca="1" si="17"/>
        <v>115380</v>
      </c>
      <c r="J53" s="308">
        <f t="shared" ca="1" si="18"/>
        <v>0</v>
      </c>
      <c r="K53" s="309">
        <f t="shared" ca="1" si="19"/>
        <v>115380</v>
      </c>
      <c r="L53" s="289"/>
      <c r="M53" s="289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 ht="14.4">
      <c r="A54" s="283"/>
      <c r="B54" s="498">
        <v>8</v>
      </c>
      <c r="C54" s="316" t="s">
        <v>27</v>
      </c>
      <c r="D54" s="305" t="str">
        <f ca="1">IF(ISERROR(OFFSET('HARGA SATUAN'!$D$6,MATCH(RAB!C54,'HARGA SATUAN'!$C$7:$C$1504,0),0)),"",OFFSET('HARGA SATUAN'!$D$6,MATCH(RAB!C54,'HARGA SATUAN'!$C$7:$C$1504,0),0))</f>
        <v>HDW</v>
      </c>
      <c r="E54" s="306" t="str">
        <f ca="1">IF(B54="+","Unit",IF(ISERROR(OFFSET('HARGA SATUAN'!$E$6,MATCH(RAB!C54,'HARGA SATUAN'!$C$7:$C$1504,0),0)),"",OFFSET('HARGA SATUAN'!$E$6,MATCH(RAB!C54,'HARGA SATUAN'!$C$7:$C$1504,0),0)))</f>
        <v>Bh</v>
      </c>
      <c r="F54" s="487">
        <f>F46*1</f>
        <v>1</v>
      </c>
      <c r="G54" s="307">
        <f ca="1">IF(ISERROR(OFFSET('HARGA SATUAN'!$I$6,MATCH(RAB!C54,'HARGA SATUAN'!$C$7:$C$1504,0),0)),0,OFFSET('HARGA SATUAN'!$I$6,MATCH(RAB!C54,'HARGA SATUAN'!$C$7:$C$1504,0),0))</f>
        <v>16000</v>
      </c>
      <c r="H54" s="308">
        <f t="shared" ca="1" si="16"/>
        <v>0</v>
      </c>
      <c r="I54" s="308">
        <f t="shared" ca="1" si="17"/>
        <v>16000</v>
      </c>
      <c r="J54" s="308">
        <f t="shared" ca="1" si="18"/>
        <v>0</v>
      </c>
      <c r="K54" s="309">
        <f t="shared" ca="1" si="19"/>
        <v>16000</v>
      </c>
      <c r="L54" s="289"/>
      <c r="M54" s="289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 ht="14.4">
      <c r="A55" s="283"/>
      <c r="B55" s="498">
        <v>9</v>
      </c>
      <c r="C55" s="316" t="s">
        <v>265</v>
      </c>
      <c r="D55" s="305" t="str">
        <f ca="1">IF(ISERROR(OFFSET('HARGA SATUAN'!$D$6,MATCH(RAB!C55,'HARGA SATUAN'!$C$7:$C$1504,0),0)),"",OFFSET('HARGA SATUAN'!$D$6,MATCH(RAB!C55,'HARGA SATUAN'!$C$7:$C$1504,0),0))</f>
        <v>HDW</v>
      </c>
      <c r="E55" s="306" t="str">
        <f ca="1">IF(B55="+","Unit",IF(ISERROR(OFFSET('HARGA SATUAN'!$E$6,MATCH(RAB!C55,'HARGA SATUAN'!$C$7:$C$1504,0),0)),"",OFFSET('HARGA SATUAN'!$E$6,MATCH(RAB!C55,'HARGA SATUAN'!$C$7:$C$1504,0),0)))</f>
        <v>Bh</v>
      </c>
      <c r="F55" s="487">
        <f>F46*1</f>
        <v>1</v>
      </c>
      <c r="G55" s="307">
        <f ca="1">IF(ISERROR(OFFSET('HARGA SATUAN'!$I$6,MATCH(RAB!C55,'HARGA SATUAN'!$C$7:$C$1504,0),0)),0,OFFSET('HARGA SATUAN'!$I$6,MATCH(RAB!C55,'HARGA SATUAN'!$C$7:$C$1504,0),0))</f>
        <v>33501.866666666669</v>
      </c>
      <c r="H55" s="308">
        <f t="shared" ca="1" si="16"/>
        <v>0</v>
      </c>
      <c r="I55" s="308">
        <f t="shared" ca="1" si="17"/>
        <v>33501.866666666669</v>
      </c>
      <c r="J55" s="308">
        <f t="shared" ca="1" si="18"/>
        <v>0</v>
      </c>
      <c r="K55" s="309">
        <f t="shared" ca="1" si="19"/>
        <v>33501.866666666669</v>
      </c>
      <c r="L55" s="289"/>
      <c r="M55" s="289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 ht="14.4">
      <c r="A56" s="283"/>
      <c r="B56" s="498">
        <v>10</v>
      </c>
      <c r="C56" s="316" t="s">
        <v>659</v>
      </c>
      <c r="D56" s="305" t="str">
        <f ca="1">IF(ISERROR(OFFSET('HARGA SATUAN'!$D$6,MATCH(RAB!C56,'HARGA SATUAN'!$C$7:$C$1504,0),0)),"",OFFSET('HARGA SATUAN'!$D$6,MATCH(RAB!C56,'HARGA SATUAN'!$C$7:$C$1504,0),0))</f>
        <v>JASA</v>
      </c>
      <c r="E56" s="306" t="str">
        <f ca="1">IF(B56="+","Unit",IF(ISERROR(OFFSET('HARGA SATUAN'!$E$6,MATCH(RAB!C56,'HARGA SATUAN'!$C$7:$C$1504,0),0)),"",OFFSET('HARGA SATUAN'!$E$6,MATCH(RAB!C56,'HARGA SATUAN'!$C$7:$C$1504,0),0)))</f>
        <v>Unit</v>
      </c>
      <c r="F56" s="487">
        <f>F46*1</f>
        <v>1</v>
      </c>
      <c r="G56" s="307">
        <f ca="1">IF(ISERROR(OFFSET('HARGA SATUAN'!$I$6,MATCH(RAB!C56,'HARGA SATUAN'!$C$7:$C$1504,0),0)),0,OFFSET('HARGA SATUAN'!$I$6,MATCH(RAB!C56,'HARGA SATUAN'!$C$7:$C$1504,0),0))</f>
        <v>53800</v>
      </c>
      <c r="H56" s="308">
        <f t="shared" ca="1" si="16"/>
        <v>0</v>
      </c>
      <c r="I56" s="308">
        <f t="shared" ca="1" si="17"/>
        <v>0</v>
      </c>
      <c r="J56" s="308">
        <f t="shared" ca="1" si="18"/>
        <v>53800</v>
      </c>
      <c r="K56" s="309">
        <f t="shared" ca="1" si="19"/>
        <v>53800</v>
      </c>
      <c r="L56" s="289"/>
      <c r="M56" s="289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 ht="14.4">
      <c r="A57" s="283"/>
      <c r="B57" s="498"/>
      <c r="C57" s="316"/>
      <c r="D57" s="305"/>
      <c r="E57" s="306"/>
      <c r="F57" s="487"/>
      <c r="G57" s="307"/>
      <c r="H57" s="308"/>
      <c r="I57" s="308"/>
      <c r="J57" s="308"/>
      <c r="K57" s="309"/>
      <c r="L57" s="289"/>
      <c r="M57" s="289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 ht="14.4">
      <c r="A58" s="283"/>
      <c r="B58" s="415" t="s">
        <v>1650</v>
      </c>
      <c r="C58" s="416" t="s">
        <v>1651</v>
      </c>
      <c r="D58" s="305" t="str">
        <f ca="1">IF(ISERROR(OFFSET('HARGA SATUAN'!$D$6,MATCH(RAB!C58,'HARGA SATUAN'!$C$7:$C$1504,0),0)),"",OFFSET('HARGA SATUAN'!$D$6,MATCH(RAB!C58,'HARGA SATUAN'!$C$7:$C$1504,0),0))</f>
        <v/>
      </c>
      <c r="E58" s="306" t="str">
        <f ca="1">IF(B58="+","Unit",IF(ISERROR(OFFSET('HARGA SATUAN'!$E$6,MATCH(RAB!C58,'HARGA SATUAN'!$C$7:$C$1504,0),0)),"",OFFSET('HARGA SATUAN'!$E$6,MATCH(RAB!C58,'HARGA SATUAN'!$C$7:$C$1504,0),0)))</f>
        <v/>
      </c>
      <c r="F58" s="487"/>
      <c r="G58" s="307">
        <f ca="1">IF(ISERROR(OFFSET('HARGA SATUAN'!$I$6,MATCH(RAB!C58,'HARGA SATUAN'!$C$7:$C$1504,0),0)),0,OFFSET('HARGA SATUAN'!$I$6,MATCH(RAB!C58,'HARGA SATUAN'!$C$7:$C$1504,0),0))</f>
        <v>0</v>
      </c>
      <c r="H58" s="308">
        <f t="shared" ref="H58:H78" ca="1" si="20">IF(OR(D58="MDU",D58="MDU-KD"),(IF($O$3="RAB NON MDU","PLN KD",G58*F58)),0)</f>
        <v>0</v>
      </c>
      <c r="I58" s="308">
        <f t="shared" ref="I58:I78" ca="1" si="21">IF(D58="HDW",G58*F58,0)</f>
        <v>0</v>
      </c>
      <c r="J58" s="308">
        <f t="shared" ref="J58:J78" ca="1" si="22">IF(D58="JASA",G58*F58,0)</f>
        <v>0</v>
      </c>
      <c r="K58" s="309">
        <f t="shared" ref="K58:K78" ca="1" si="23">SUM(H58:J58)</f>
        <v>0</v>
      </c>
      <c r="L58" s="289"/>
      <c r="M58" s="289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 ht="14.4">
      <c r="A59" s="283"/>
      <c r="B59" s="498" t="s">
        <v>1035</v>
      </c>
      <c r="C59" s="316" t="s">
        <v>1632</v>
      </c>
      <c r="D59" s="305" t="str">
        <f ca="1">IF(ISERROR(OFFSET('HARGA SATUAN'!$D$6,MATCH(RAB!C59,'HARGA SATUAN'!$C$7:$C$1504,0),0)),"",OFFSET('HARGA SATUAN'!$D$6,MATCH(RAB!C59,'HARGA SATUAN'!$C$7:$C$1504,0),0))</f>
        <v/>
      </c>
      <c r="E59" s="306" t="str">
        <f ca="1">IF(B59="+","Unit",IF(ISERROR(OFFSET('HARGA SATUAN'!$E$6,MATCH(RAB!C59,'HARGA SATUAN'!$C$7:$C$1504,0),0)),"",OFFSET('HARGA SATUAN'!$E$6,MATCH(RAB!C59,'HARGA SATUAN'!$C$7:$C$1504,0),0)))</f>
        <v>Unit</v>
      </c>
      <c r="F59" s="487">
        <v>2</v>
      </c>
      <c r="G59" s="307">
        <f ca="1">IF(ISERROR(OFFSET('HARGA SATUAN'!$I$6,MATCH(RAB!C59,'HARGA SATUAN'!$C$7:$C$1504,0),0)),0,OFFSET('HARGA SATUAN'!$I$6,MATCH(RAB!C59,'HARGA SATUAN'!$C$7:$C$1504,0),0))</f>
        <v>0</v>
      </c>
      <c r="H59" s="308">
        <f t="shared" ca="1" si="20"/>
        <v>0</v>
      </c>
      <c r="I59" s="308">
        <f t="shared" ca="1" si="21"/>
        <v>0</v>
      </c>
      <c r="J59" s="308">
        <f t="shared" ca="1" si="22"/>
        <v>0</v>
      </c>
      <c r="K59" s="309">
        <f t="shared" ca="1" si="23"/>
        <v>0</v>
      </c>
      <c r="L59" s="289"/>
      <c r="M59" s="289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 ht="14.4">
      <c r="A60" s="283"/>
      <c r="B60" s="498">
        <v>1</v>
      </c>
      <c r="C60" s="316" t="s">
        <v>229</v>
      </c>
      <c r="D60" s="305" t="str">
        <f ca="1">IF(ISERROR(OFFSET('HARGA SATUAN'!$D$6,MATCH(RAB!C60,'HARGA SATUAN'!$C$7:$C$1504,0),0)),"",OFFSET('HARGA SATUAN'!$D$6,MATCH(RAB!C60,'HARGA SATUAN'!$C$7:$C$1504,0),0))</f>
        <v>HDW</v>
      </c>
      <c r="E60" s="306" t="str">
        <f ca="1">IF(B60="+","Unit",IF(ISERROR(OFFSET('HARGA SATUAN'!$E$6,MATCH(RAB!C60,'HARGA SATUAN'!$C$7:$C$1504,0),0)),"",OFFSET('HARGA SATUAN'!$E$6,MATCH(RAB!C60,'HARGA SATUAN'!$C$7:$C$1504,0),0)))</f>
        <v>Bh</v>
      </c>
      <c r="F60" s="487">
        <f>F59*1</f>
        <v>2</v>
      </c>
      <c r="G60" s="307">
        <f ca="1">IF(ISERROR(OFFSET('HARGA SATUAN'!$I$6,MATCH(RAB!C60,'HARGA SATUAN'!$C$7:$C$1504,0),0)),0,OFFSET('HARGA SATUAN'!$I$6,MATCH(RAB!C60,'HARGA SATUAN'!$C$7:$C$1504,0),0))</f>
        <v>4212</v>
      </c>
      <c r="H60" s="308">
        <f t="shared" ca="1" si="20"/>
        <v>0</v>
      </c>
      <c r="I60" s="308">
        <f t="shared" ca="1" si="21"/>
        <v>8424</v>
      </c>
      <c r="J60" s="308">
        <f t="shared" ca="1" si="22"/>
        <v>0</v>
      </c>
      <c r="K60" s="309">
        <f t="shared" ca="1" si="23"/>
        <v>8424</v>
      </c>
      <c r="L60" s="289"/>
      <c r="M60" s="289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 ht="14.4">
      <c r="A61" s="283"/>
      <c r="B61" s="498">
        <v>2</v>
      </c>
      <c r="C61" s="316" t="s">
        <v>266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Mtr</v>
      </c>
      <c r="F61" s="487">
        <f>F59*1</f>
        <v>2</v>
      </c>
      <c r="G61" s="307">
        <f ca="1">IF(ISERROR(OFFSET('HARGA SATUAN'!$I$6,MATCH(RAB!C61,'HARGA SATUAN'!$C$7:$C$1504,0),0)),0,OFFSET('HARGA SATUAN'!$I$6,MATCH(RAB!C61,'HARGA SATUAN'!$C$7:$C$1504,0),0))</f>
        <v>23310</v>
      </c>
      <c r="H61" s="308">
        <f t="shared" ca="1" si="20"/>
        <v>0</v>
      </c>
      <c r="I61" s="308">
        <f t="shared" ca="1" si="21"/>
        <v>46620</v>
      </c>
      <c r="J61" s="308">
        <f t="shared" ca="1" si="22"/>
        <v>0</v>
      </c>
      <c r="K61" s="309">
        <f t="shared" ca="1" si="23"/>
        <v>46620</v>
      </c>
      <c r="L61" s="289"/>
      <c r="M61" s="289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 ht="14.4">
      <c r="A62" s="283"/>
      <c r="B62" s="498">
        <v>3</v>
      </c>
      <c r="C62" s="316" t="s">
        <v>35</v>
      </c>
      <c r="D62" s="305" t="str">
        <f ca="1">IF(ISERROR(OFFSET('HARGA SATUAN'!$D$6,MATCH(RAB!C62,'HARGA SATUAN'!$C$7:$C$1504,0),0)),"",OFFSET('HARGA SATUAN'!$D$6,MATCH(RAB!C62,'HARGA SATUAN'!$C$7:$C$1504,0),0))</f>
        <v>HDW</v>
      </c>
      <c r="E62" s="306" t="str">
        <f ca="1">IF(B62="+","Unit",IF(ISERROR(OFFSET('HARGA SATUAN'!$E$6,MATCH(RAB!C62,'HARGA SATUAN'!$C$7:$C$1504,0),0)),"",OFFSET('HARGA SATUAN'!$E$6,MATCH(RAB!C62,'HARGA SATUAN'!$C$7:$C$1504,0),0)))</f>
        <v>Bh</v>
      </c>
      <c r="F62" s="487">
        <f>F59*1</f>
        <v>2</v>
      </c>
      <c r="G62" s="307">
        <f ca="1">IF(ISERROR(OFFSET('HARGA SATUAN'!$I$6,MATCH(RAB!C62,'HARGA SATUAN'!$C$7:$C$1504,0),0)),0,OFFSET('HARGA SATUAN'!$I$6,MATCH(RAB!C62,'HARGA SATUAN'!$C$7:$C$1504,0),0))</f>
        <v>2300</v>
      </c>
      <c r="H62" s="308">
        <f t="shared" ca="1" si="20"/>
        <v>0</v>
      </c>
      <c r="I62" s="308">
        <f t="shared" ca="1" si="21"/>
        <v>4600</v>
      </c>
      <c r="J62" s="308">
        <f t="shared" ca="1" si="22"/>
        <v>0</v>
      </c>
      <c r="K62" s="309">
        <f t="shared" ca="1" si="23"/>
        <v>4600</v>
      </c>
      <c r="L62" s="289"/>
      <c r="M62" s="289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 ht="14.4">
      <c r="A63" s="283"/>
      <c r="B63" s="498">
        <v>4</v>
      </c>
      <c r="C63" s="316" t="s">
        <v>609</v>
      </c>
      <c r="D63" s="305" t="str">
        <f ca="1">IF(ISERROR(OFFSET('HARGA SATUAN'!$D$6,MATCH(RAB!C63,'HARGA SATUAN'!$C$7:$C$1504,0),0)),"",OFFSET('HARGA SATUAN'!$D$6,MATCH(RAB!C63,'HARGA SATUAN'!$C$7:$C$1504,0),0))</f>
        <v>HDW</v>
      </c>
      <c r="E63" s="306" t="str">
        <f ca="1">IF(B63="+","Unit",IF(ISERROR(OFFSET('HARGA SATUAN'!$E$6,MATCH(RAB!C63,'HARGA SATUAN'!$C$7:$C$1504,0),0)),"",OFFSET('HARGA SATUAN'!$E$6,MATCH(RAB!C63,'HARGA SATUAN'!$C$7:$C$1504,0),0)))</f>
        <v>Bh</v>
      </c>
      <c r="F63" s="487">
        <f>F59*1</f>
        <v>2</v>
      </c>
      <c r="G63" s="307">
        <f ca="1">IF(ISERROR(OFFSET('HARGA SATUAN'!$I$6,MATCH(RAB!C63,'HARGA SATUAN'!$C$7:$C$1504,0),0)),0,OFFSET('HARGA SATUAN'!$I$6,MATCH(RAB!C63,'HARGA SATUAN'!$C$7:$C$1504,0),0))</f>
        <v>71000</v>
      </c>
      <c r="H63" s="308">
        <f t="shared" ca="1" si="20"/>
        <v>0</v>
      </c>
      <c r="I63" s="308">
        <f t="shared" ca="1" si="21"/>
        <v>142000</v>
      </c>
      <c r="J63" s="308">
        <f t="shared" ca="1" si="22"/>
        <v>0</v>
      </c>
      <c r="K63" s="309">
        <f t="shared" ca="1" si="23"/>
        <v>142000</v>
      </c>
      <c r="L63" s="289"/>
      <c r="M63" s="289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 ht="14.4">
      <c r="A64" s="283"/>
      <c r="B64" s="498">
        <v>5</v>
      </c>
      <c r="C64" s="316" t="s">
        <v>629</v>
      </c>
      <c r="D64" s="305" t="str">
        <f ca="1">IF(ISERROR(OFFSET('HARGA SATUAN'!$D$6,MATCH(RAB!C64,'HARGA SATUAN'!$C$7:$C$1504,0),0)),"",OFFSET('HARGA SATUAN'!$D$6,MATCH(RAB!C64,'HARGA SATUAN'!$C$7:$C$1504,0),0))</f>
        <v>JASA</v>
      </c>
      <c r="E64" s="306" t="str">
        <f ca="1">IF(B64="+","Unit",IF(ISERROR(OFFSET('HARGA SATUAN'!$E$6,MATCH(RAB!C64,'HARGA SATUAN'!$C$7:$C$1504,0),0)),"",OFFSET('HARGA SATUAN'!$E$6,MATCH(RAB!C64,'HARGA SATUAN'!$C$7:$C$1504,0),0)))</f>
        <v>Unit</v>
      </c>
      <c r="F64" s="487">
        <f>F59*1</f>
        <v>2</v>
      </c>
      <c r="G64" s="307">
        <f ca="1">IF(ISERROR(OFFSET('HARGA SATUAN'!$I$6,MATCH(RAB!C64,'HARGA SATUAN'!$C$7:$C$1504,0),0)),0,OFFSET('HARGA SATUAN'!$I$6,MATCH(RAB!C64,'HARGA SATUAN'!$C$7:$C$1504,0),0))</f>
        <v>29400</v>
      </c>
      <c r="H64" s="308">
        <f t="shared" ca="1" si="20"/>
        <v>0</v>
      </c>
      <c r="I64" s="308">
        <f t="shared" ca="1" si="21"/>
        <v>0</v>
      </c>
      <c r="J64" s="308">
        <f t="shared" ca="1" si="22"/>
        <v>58800</v>
      </c>
      <c r="K64" s="309">
        <f t="shared" ca="1" si="23"/>
        <v>58800</v>
      </c>
      <c r="L64" s="289"/>
      <c r="M64" s="289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 ht="14.4">
      <c r="A65" s="283"/>
      <c r="B65" s="498"/>
      <c r="C65" s="316"/>
      <c r="D65" s="305" t="str">
        <f ca="1">IF(ISERROR(OFFSET('HARGA SATUAN'!$D$6,MATCH(RAB!C65,'HARGA SATUAN'!$C$7:$C$1504,0),0)),"",OFFSET('HARGA SATUAN'!$D$6,MATCH(RAB!C65,'HARGA SATUAN'!$C$7:$C$1504,0),0))</f>
        <v/>
      </c>
      <c r="E65" s="306" t="str">
        <f ca="1">IF(B65="+","Unit",IF(ISERROR(OFFSET('HARGA SATUAN'!$E$6,MATCH(RAB!C65,'HARGA SATUAN'!$C$7:$C$1504,0),0)),"",OFFSET('HARGA SATUAN'!$E$6,MATCH(RAB!C65,'HARGA SATUAN'!$C$7:$C$1504,0),0)))</f>
        <v/>
      </c>
      <c r="F65" s="487"/>
      <c r="G65" s="307">
        <f ca="1">IF(ISERROR(OFFSET('HARGA SATUAN'!$I$6,MATCH(RAB!C65,'HARGA SATUAN'!$C$7:$C$1504,0),0)),0,OFFSET('HARGA SATUAN'!$I$6,MATCH(RAB!C65,'HARGA SATUAN'!$C$7:$C$1504,0),0))</f>
        <v>0</v>
      </c>
      <c r="H65" s="308">
        <f t="shared" ca="1" si="20"/>
        <v>0</v>
      </c>
      <c r="I65" s="308">
        <f t="shared" ca="1" si="21"/>
        <v>0</v>
      </c>
      <c r="J65" s="308">
        <f t="shared" ca="1" si="22"/>
        <v>0</v>
      </c>
      <c r="K65" s="309">
        <f t="shared" ca="1" si="23"/>
        <v>0</v>
      </c>
      <c r="L65" s="289"/>
      <c r="M65" s="289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 ht="14.4">
      <c r="A66" s="283"/>
      <c r="B66" s="498" t="s">
        <v>1035</v>
      </c>
      <c r="C66" s="316" t="s">
        <v>1633</v>
      </c>
      <c r="D66" s="305" t="str">
        <f ca="1">IF(ISERROR(OFFSET('HARGA SATUAN'!$D$6,MATCH(RAB!C66,'HARGA SATUAN'!$C$7:$C$1504,0),0)),"",OFFSET('HARGA SATUAN'!$D$6,MATCH(RAB!C66,'HARGA SATUAN'!$C$7:$C$1504,0),0))</f>
        <v/>
      </c>
      <c r="E66" s="306" t="str">
        <f ca="1">IF(B66="+","Unit",IF(ISERROR(OFFSET('HARGA SATUAN'!$E$6,MATCH(RAB!C66,'HARGA SATUAN'!$C$7:$C$1504,0),0)),"",OFFSET('HARGA SATUAN'!$E$6,MATCH(RAB!C66,'HARGA SATUAN'!$C$7:$C$1504,0),0)))</f>
        <v>Unit</v>
      </c>
      <c r="F66" s="487">
        <v>4</v>
      </c>
      <c r="G66" s="307">
        <f ca="1">IF(ISERROR(OFFSET('HARGA SATUAN'!$I$6,MATCH(RAB!C66,'HARGA SATUAN'!$C$7:$C$1504,0),0)),0,OFFSET('HARGA SATUAN'!$I$6,MATCH(RAB!C66,'HARGA SATUAN'!$C$7:$C$1504,0),0))</f>
        <v>0</v>
      </c>
      <c r="H66" s="308">
        <f t="shared" ca="1" si="20"/>
        <v>0</v>
      </c>
      <c r="I66" s="308">
        <f t="shared" ca="1" si="21"/>
        <v>0</v>
      </c>
      <c r="J66" s="308">
        <f t="shared" ca="1" si="22"/>
        <v>0</v>
      </c>
      <c r="K66" s="309">
        <f t="shared" ca="1" si="23"/>
        <v>0</v>
      </c>
      <c r="L66" s="289"/>
      <c r="M66" s="289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 ht="14.4">
      <c r="A67" s="283"/>
      <c r="B67" s="498">
        <v>1</v>
      </c>
      <c r="C67" s="316" t="s">
        <v>595</v>
      </c>
      <c r="D67" s="305" t="str">
        <f ca="1">IF(ISERROR(OFFSET('HARGA SATUAN'!$D$6,MATCH(RAB!C67,'HARGA SATUAN'!$C$7:$C$1504,0),0)),"",OFFSET('HARGA SATUAN'!$D$6,MATCH(RAB!C67,'HARGA SATUAN'!$C$7:$C$1504,0),0))</f>
        <v>HDW</v>
      </c>
      <c r="E67" s="306" t="str">
        <f ca="1">IF(B67="+","Unit",IF(ISERROR(OFFSET('HARGA SATUAN'!$E$6,MATCH(RAB!C67,'HARGA SATUAN'!$C$7:$C$1504,0),0)),"",OFFSET('HARGA SATUAN'!$E$6,MATCH(RAB!C67,'HARGA SATUAN'!$C$7:$C$1504,0),0)))</f>
        <v>Bh</v>
      </c>
      <c r="F67" s="487">
        <f>F66*1</f>
        <v>4</v>
      </c>
      <c r="G67" s="307">
        <f ca="1">IF(ISERROR(OFFSET('HARGA SATUAN'!$I$6,MATCH(RAB!C67,'HARGA SATUAN'!$C$7:$C$1504,0),0)),0,OFFSET('HARGA SATUAN'!$I$6,MATCH(RAB!C67,'HARGA SATUAN'!$C$7:$C$1504,0),0))</f>
        <v>78500</v>
      </c>
      <c r="H67" s="308">
        <f t="shared" ca="1" si="20"/>
        <v>0</v>
      </c>
      <c r="I67" s="308">
        <f t="shared" ca="1" si="21"/>
        <v>314000</v>
      </c>
      <c r="J67" s="308">
        <f t="shared" ca="1" si="22"/>
        <v>0</v>
      </c>
      <c r="K67" s="309">
        <f t="shared" ca="1" si="23"/>
        <v>314000</v>
      </c>
      <c r="L67" s="289"/>
      <c r="M67" s="289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 ht="14.4">
      <c r="A68" s="283"/>
      <c r="B68" s="498">
        <v>2</v>
      </c>
      <c r="C68" s="316" t="s">
        <v>229</v>
      </c>
      <c r="D68" s="305" t="str">
        <f ca="1">IF(ISERROR(OFFSET('HARGA SATUAN'!$D$6,MATCH(RAB!C68,'HARGA SATUAN'!$C$7:$C$1504,0),0)),"",OFFSET('HARGA SATUAN'!$D$6,MATCH(RAB!C68,'HARGA SATUAN'!$C$7:$C$1504,0),0))</f>
        <v>HDW</v>
      </c>
      <c r="E68" s="306" t="str">
        <f ca="1">IF(B68="+","Unit",IF(ISERROR(OFFSET('HARGA SATUAN'!$E$6,MATCH(RAB!C68,'HARGA SATUAN'!$C$7:$C$1504,0),0)),"",OFFSET('HARGA SATUAN'!$E$6,MATCH(RAB!C68,'HARGA SATUAN'!$C$7:$C$1504,0),0)))</f>
        <v>Bh</v>
      </c>
      <c r="F68" s="487">
        <f>F66*1</f>
        <v>4</v>
      </c>
      <c r="G68" s="307">
        <f ca="1">IF(ISERROR(OFFSET('HARGA SATUAN'!$I$6,MATCH(RAB!C68,'HARGA SATUAN'!$C$7:$C$1504,0),0)),0,OFFSET('HARGA SATUAN'!$I$6,MATCH(RAB!C68,'HARGA SATUAN'!$C$7:$C$1504,0),0))</f>
        <v>4212</v>
      </c>
      <c r="H68" s="308">
        <f t="shared" ca="1" si="20"/>
        <v>0</v>
      </c>
      <c r="I68" s="308">
        <f t="shared" ca="1" si="21"/>
        <v>16848</v>
      </c>
      <c r="J68" s="308">
        <f t="shared" ca="1" si="22"/>
        <v>0</v>
      </c>
      <c r="K68" s="309">
        <f t="shared" ca="1" si="23"/>
        <v>16848</v>
      </c>
      <c r="L68" s="289"/>
      <c r="M68" s="289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 ht="14.4">
      <c r="A69" s="283"/>
      <c r="B69" s="498">
        <v>3</v>
      </c>
      <c r="C69" s="316" t="s">
        <v>266</v>
      </c>
      <c r="D69" s="305" t="str">
        <f ca="1">IF(ISERROR(OFFSET('HARGA SATUAN'!$D$6,MATCH(RAB!C69,'HARGA SATUAN'!$C$7:$C$1504,0),0)),"",OFFSET('HARGA SATUAN'!$D$6,MATCH(RAB!C69,'HARGA SATUAN'!$C$7:$C$1504,0),0))</f>
        <v>HDW</v>
      </c>
      <c r="E69" s="306" t="str">
        <f ca="1">IF(B69="+","Unit",IF(ISERROR(OFFSET('HARGA SATUAN'!$E$6,MATCH(RAB!C69,'HARGA SATUAN'!$C$7:$C$1504,0),0)),"",OFFSET('HARGA SATUAN'!$E$6,MATCH(RAB!C69,'HARGA SATUAN'!$C$7:$C$1504,0),0)))</f>
        <v>Mtr</v>
      </c>
      <c r="F69" s="487">
        <f>F66*1</f>
        <v>4</v>
      </c>
      <c r="G69" s="307">
        <f ca="1">IF(ISERROR(OFFSET('HARGA SATUAN'!$I$6,MATCH(RAB!C69,'HARGA SATUAN'!$C$7:$C$1504,0),0)),0,OFFSET('HARGA SATUAN'!$I$6,MATCH(RAB!C69,'HARGA SATUAN'!$C$7:$C$1504,0),0))</f>
        <v>23310</v>
      </c>
      <c r="H69" s="308">
        <f t="shared" ca="1" si="20"/>
        <v>0</v>
      </c>
      <c r="I69" s="308">
        <f t="shared" ca="1" si="21"/>
        <v>93240</v>
      </c>
      <c r="J69" s="308">
        <f t="shared" ca="1" si="22"/>
        <v>0</v>
      </c>
      <c r="K69" s="309">
        <f t="shared" ca="1" si="23"/>
        <v>93240</v>
      </c>
      <c r="L69" s="289"/>
      <c r="M69" s="289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 ht="14.4">
      <c r="A70" s="283"/>
      <c r="B70" s="498">
        <v>4</v>
      </c>
      <c r="C70" s="316" t="s">
        <v>35</v>
      </c>
      <c r="D70" s="305" t="str">
        <f ca="1">IF(ISERROR(OFFSET('HARGA SATUAN'!$D$6,MATCH(RAB!C70,'HARGA SATUAN'!$C$7:$C$1504,0),0)),"",OFFSET('HARGA SATUAN'!$D$6,MATCH(RAB!C70,'HARGA SATUAN'!$C$7:$C$1504,0),0))</f>
        <v>HDW</v>
      </c>
      <c r="E70" s="306" t="str">
        <f ca="1">IF(B70="+","Unit",IF(ISERROR(OFFSET('HARGA SATUAN'!$E$6,MATCH(RAB!C70,'HARGA SATUAN'!$C$7:$C$1504,0),0)),"",OFFSET('HARGA SATUAN'!$E$6,MATCH(RAB!C70,'HARGA SATUAN'!$C$7:$C$1504,0),0)))</f>
        <v>Bh</v>
      </c>
      <c r="F70" s="487">
        <f>F66*1</f>
        <v>4</v>
      </c>
      <c r="G70" s="307">
        <f ca="1">IF(ISERROR(OFFSET('HARGA SATUAN'!$I$6,MATCH(RAB!C70,'HARGA SATUAN'!$C$7:$C$1504,0),0)),0,OFFSET('HARGA SATUAN'!$I$6,MATCH(RAB!C70,'HARGA SATUAN'!$C$7:$C$1504,0),0))</f>
        <v>2300</v>
      </c>
      <c r="H70" s="308">
        <f t="shared" ca="1" si="20"/>
        <v>0</v>
      </c>
      <c r="I70" s="308">
        <f t="shared" ca="1" si="21"/>
        <v>9200</v>
      </c>
      <c r="J70" s="308">
        <f t="shared" ca="1" si="22"/>
        <v>0</v>
      </c>
      <c r="K70" s="309">
        <f t="shared" ca="1" si="23"/>
        <v>9200</v>
      </c>
      <c r="L70" s="289"/>
      <c r="M70" s="289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 ht="14.4">
      <c r="A71" s="283"/>
      <c r="B71" s="498">
        <v>5</v>
      </c>
      <c r="C71" s="316" t="s">
        <v>630</v>
      </c>
      <c r="D71" s="305" t="str">
        <f ca="1">IF(ISERROR(OFFSET('HARGA SATUAN'!$D$6,MATCH(RAB!C71,'HARGA SATUAN'!$C$7:$C$1504,0),0)),"",OFFSET('HARGA SATUAN'!$D$6,MATCH(RAB!C71,'HARGA SATUAN'!$C$7:$C$1504,0),0))</f>
        <v>JASA</v>
      </c>
      <c r="E71" s="306" t="str">
        <f ca="1">IF(B71="+","Unit",IF(ISERROR(OFFSET('HARGA SATUAN'!$E$6,MATCH(RAB!C71,'HARGA SATUAN'!$C$7:$C$1504,0),0)),"",OFFSET('HARGA SATUAN'!$E$6,MATCH(RAB!C71,'HARGA SATUAN'!$C$7:$C$1504,0),0)))</f>
        <v>Unit</v>
      </c>
      <c r="F71" s="487">
        <f>F66*1</f>
        <v>4</v>
      </c>
      <c r="G71" s="307">
        <f ca="1">IF(ISERROR(OFFSET('HARGA SATUAN'!$I$6,MATCH(RAB!C71,'HARGA SATUAN'!$C$7:$C$1504,0),0)),0,OFFSET('HARGA SATUAN'!$I$6,MATCH(RAB!C71,'HARGA SATUAN'!$C$7:$C$1504,0),0))</f>
        <v>35700</v>
      </c>
      <c r="H71" s="308">
        <f t="shared" ca="1" si="20"/>
        <v>0</v>
      </c>
      <c r="I71" s="308">
        <f t="shared" ca="1" si="21"/>
        <v>0</v>
      </c>
      <c r="J71" s="308">
        <f t="shared" ca="1" si="22"/>
        <v>142800</v>
      </c>
      <c r="K71" s="309">
        <f t="shared" ca="1" si="23"/>
        <v>142800</v>
      </c>
      <c r="L71" s="289"/>
      <c r="M71" s="289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 ht="14.4">
      <c r="A72" s="283"/>
      <c r="B72" s="498"/>
      <c r="C72" s="316"/>
      <c r="D72" s="305" t="str">
        <f ca="1">IF(ISERROR(OFFSET('HARGA SATUAN'!$D$6,MATCH(RAB!C72,'HARGA SATUAN'!$C$7:$C$1504,0),0)),"",OFFSET('HARGA SATUAN'!$D$6,MATCH(RAB!C72,'HARGA SATUAN'!$C$7:$C$1504,0),0))</f>
        <v/>
      </c>
      <c r="E72" s="306" t="str">
        <f ca="1">IF(B72="+","Unit",IF(ISERROR(OFFSET('HARGA SATUAN'!$E$6,MATCH(RAB!C72,'HARGA SATUAN'!$C$7:$C$1504,0),0)),"",OFFSET('HARGA SATUAN'!$E$6,MATCH(RAB!C72,'HARGA SATUAN'!$C$7:$C$1504,0),0)))</f>
        <v/>
      </c>
      <c r="F72" s="487"/>
      <c r="G72" s="307">
        <f ca="1">IF(ISERROR(OFFSET('HARGA SATUAN'!$I$6,MATCH(RAB!C72,'HARGA SATUAN'!$C$7:$C$1504,0),0)),0,OFFSET('HARGA SATUAN'!$I$6,MATCH(RAB!C72,'HARGA SATUAN'!$C$7:$C$1504,0),0))</f>
        <v>0</v>
      </c>
      <c r="H72" s="308">
        <f t="shared" ca="1" si="20"/>
        <v>0</v>
      </c>
      <c r="I72" s="308">
        <f t="shared" ca="1" si="21"/>
        <v>0</v>
      </c>
      <c r="J72" s="308">
        <f t="shared" ca="1" si="22"/>
        <v>0</v>
      </c>
      <c r="K72" s="309">
        <f t="shared" ca="1" si="23"/>
        <v>0</v>
      </c>
      <c r="L72" s="289"/>
      <c r="M72" s="289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 ht="14.4">
      <c r="A73" s="283"/>
      <c r="B73" s="498" t="s">
        <v>1035</v>
      </c>
      <c r="C73" s="316" t="s">
        <v>1634</v>
      </c>
      <c r="D73" s="305" t="str">
        <f ca="1">IF(ISERROR(OFFSET('HARGA SATUAN'!$D$6,MATCH(RAB!C73,'HARGA SATUAN'!$C$7:$C$1504,0),0)),"",OFFSET('HARGA SATUAN'!$D$6,MATCH(RAB!C73,'HARGA SATUAN'!$C$7:$C$1504,0),0))</f>
        <v/>
      </c>
      <c r="E73" s="306" t="str">
        <f ca="1">IF(B73="+","Unit",IF(ISERROR(OFFSET('HARGA SATUAN'!$E$6,MATCH(RAB!C73,'HARGA SATUAN'!$C$7:$C$1504,0),0)),"",OFFSET('HARGA SATUAN'!$E$6,MATCH(RAB!C73,'HARGA SATUAN'!$C$7:$C$1504,0),0)))</f>
        <v>Unit</v>
      </c>
      <c r="F73" s="487">
        <v>2</v>
      </c>
      <c r="G73" s="307">
        <f ca="1">IF(ISERROR(OFFSET('HARGA SATUAN'!$I$6,MATCH(RAB!C73,'HARGA SATUAN'!$C$7:$C$1504,0),0)),0,OFFSET('HARGA SATUAN'!$I$6,MATCH(RAB!C73,'HARGA SATUAN'!$C$7:$C$1504,0),0))</f>
        <v>0</v>
      </c>
      <c r="H73" s="308">
        <f t="shared" ca="1" si="20"/>
        <v>0</v>
      </c>
      <c r="I73" s="308">
        <f t="shared" ca="1" si="21"/>
        <v>0</v>
      </c>
      <c r="J73" s="308">
        <f t="shared" ca="1" si="22"/>
        <v>0</v>
      </c>
      <c r="K73" s="309">
        <f t="shared" ca="1" si="23"/>
        <v>0</v>
      </c>
      <c r="L73" s="289"/>
      <c r="M73" s="289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 ht="14.4">
      <c r="A74" s="283"/>
      <c r="B74" s="498">
        <v>1</v>
      </c>
      <c r="C74" s="316" t="s">
        <v>598</v>
      </c>
      <c r="D74" s="305" t="str">
        <f ca="1">IF(ISERROR(OFFSET('HARGA SATUAN'!$D$6,MATCH(RAB!C74,'HARGA SATUAN'!$C$7:$C$1504,0),0)),"",OFFSET('HARGA SATUAN'!$D$6,MATCH(RAB!C74,'HARGA SATUAN'!$C$7:$C$1504,0),0))</f>
        <v>HDW</v>
      </c>
      <c r="E74" s="306" t="str">
        <f ca="1">IF(B74="+","Unit",IF(ISERROR(OFFSET('HARGA SATUAN'!$E$6,MATCH(RAB!C74,'HARGA SATUAN'!$C$7:$C$1504,0),0)),"",OFFSET('HARGA SATUAN'!$E$6,MATCH(RAB!C74,'HARGA SATUAN'!$C$7:$C$1504,0),0)))</f>
        <v>Bh</v>
      </c>
      <c r="F74" s="487">
        <f>F73*1</f>
        <v>2</v>
      </c>
      <c r="G74" s="307">
        <f ca="1">IF(ISERROR(OFFSET('HARGA SATUAN'!$I$6,MATCH(RAB!C74,'HARGA SATUAN'!$C$7:$C$1504,0),0)),0,OFFSET('HARGA SATUAN'!$I$6,MATCH(RAB!C74,'HARGA SATUAN'!$C$7:$C$1504,0),0))</f>
        <v>3965</v>
      </c>
      <c r="H74" s="308">
        <f t="shared" ca="1" si="20"/>
        <v>0</v>
      </c>
      <c r="I74" s="308">
        <f t="shared" ca="1" si="21"/>
        <v>7930</v>
      </c>
      <c r="J74" s="308">
        <f t="shared" ca="1" si="22"/>
        <v>0</v>
      </c>
      <c r="K74" s="309">
        <f t="shared" ca="1" si="23"/>
        <v>7930</v>
      </c>
      <c r="L74" s="289"/>
      <c r="M74" s="289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 ht="14.4">
      <c r="A75" s="283"/>
      <c r="B75" s="498">
        <v>2</v>
      </c>
      <c r="C75" s="316" t="s">
        <v>474</v>
      </c>
      <c r="D75" s="305" t="str">
        <f ca="1">IF(ISERROR(OFFSET('HARGA SATUAN'!$D$6,MATCH(RAB!C75,'HARGA SATUAN'!$C$7:$C$1504,0),0)),"",OFFSET('HARGA SATUAN'!$D$6,MATCH(RAB!C75,'HARGA SATUAN'!$C$7:$C$1504,0),0))</f>
        <v>HDW</v>
      </c>
      <c r="E75" s="306" t="str">
        <f ca="1">IF(B75="+","Unit",IF(ISERROR(OFFSET('HARGA SATUAN'!$E$6,MATCH(RAB!C75,'HARGA SATUAN'!$C$7:$C$1504,0),0)),"",OFFSET('HARGA SATUAN'!$E$6,MATCH(RAB!C75,'HARGA SATUAN'!$C$7:$C$1504,0),0)))</f>
        <v>Bh</v>
      </c>
      <c r="F75" s="487">
        <f>F73*1</f>
        <v>2</v>
      </c>
      <c r="G75" s="307">
        <f ca="1">IF(ISERROR(OFFSET('HARGA SATUAN'!$I$6,MATCH(RAB!C75,'HARGA SATUAN'!$C$7:$C$1504,0),0)),0,OFFSET('HARGA SATUAN'!$I$6,MATCH(RAB!C75,'HARGA SATUAN'!$C$7:$C$1504,0),0))</f>
        <v>3711.24</v>
      </c>
      <c r="H75" s="308">
        <f t="shared" ca="1" si="20"/>
        <v>0</v>
      </c>
      <c r="I75" s="308">
        <f t="shared" ca="1" si="21"/>
        <v>7422.48</v>
      </c>
      <c r="J75" s="308">
        <f t="shared" ca="1" si="22"/>
        <v>0</v>
      </c>
      <c r="K75" s="309">
        <f t="shared" ca="1" si="23"/>
        <v>7422.48</v>
      </c>
      <c r="L75" s="289"/>
      <c r="M75" s="289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 ht="14.4">
      <c r="A76" s="283"/>
      <c r="B76" s="498">
        <v>3</v>
      </c>
      <c r="C76" s="316" t="s">
        <v>266</v>
      </c>
      <c r="D76" s="305" t="str">
        <f ca="1">IF(ISERROR(OFFSET('HARGA SATUAN'!$D$6,MATCH(RAB!C76,'HARGA SATUAN'!$C$7:$C$1504,0),0)),"",OFFSET('HARGA SATUAN'!$D$6,MATCH(RAB!C76,'HARGA SATUAN'!$C$7:$C$1504,0),0))</f>
        <v>HDW</v>
      </c>
      <c r="E76" s="306" t="str">
        <f ca="1">IF(B76="+","Unit",IF(ISERROR(OFFSET('HARGA SATUAN'!$E$6,MATCH(RAB!C76,'HARGA SATUAN'!$C$7:$C$1504,0),0)),"",OFFSET('HARGA SATUAN'!$E$6,MATCH(RAB!C76,'HARGA SATUAN'!$C$7:$C$1504,0),0)))</f>
        <v>Mtr</v>
      </c>
      <c r="F76" s="487">
        <f>F73*1</f>
        <v>2</v>
      </c>
      <c r="G76" s="307">
        <f ca="1">IF(ISERROR(OFFSET('HARGA SATUAN'!$I$6,MATCH(RAB!C76,'HARGA SATUAN'!$C$7:$C$1504,0),0)),0,OFFSET('HARGA SATUAN'!$I$6,MATCH(RAB!C76,'HARGA SATUAN'!$C$7:$C$1504,0),0))</f>
        <v>23310</v>
      </c>
      <c r="H76" s="308">
        <f t="shared" ca="1" si="20"/>
        <v>0</v>
      </c>
      <c r="I76" s="308">
        <f t="shared" ca="1" si="21"/>
        <v>46620</v>
      </c>
      <c r="J76" s="308">
        <f t="shared" ca="1" si="22"/>
        <v>0</v>
      </c>
      <c r="K76" s="309">
        <f t="shared" ca="1" si="23"/>
        <v>46620</v>
      </c>
      <c r="L76" s="289"/>
      <c r="M76" s="289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 ht="14.4">
      <c r="A77" s="283"/>
      <c r="B77" s="498">
        <v>4</v>
      </c>
      <c r="C77" s="316" t="s">
        <v>35</v>
      </c>
      <c r="D77" s="305" t="str">
        <f ca="1">IF(ISERROR(OFFSET('HARGA SATUAN'!$D$6,MATCH(RAB!C77,'HARGA SATUAN'!$C$7:$C$1504,0),0)),"",OFFSET('HARGA SATUAN'!$D$6,MATCH(RAB!C77,'HARGA SATUAN'!$C$7:$C$1504,0),0))</f>
        <v>HDW</v>
      </c>
      <c r="E77" s="306" t="str">
        <f ca="1">IF(B77="+","Unit",IF(ISERROR(OFFSET('HARGA SATUAN'!$E$6,MATCH(RAB!C77,'HARGA SATUAN'!$C$7:$C$1504,0),0)),"",OFFSET('HARGA SATUAN'!$E$6,MATCH(RAB!C77,'HARGA SATUAN'!$C$7:$C$1504,0),0)))</f>
        <v>Bh</v>
      </c>
      <c r="F77" s="487">
        <f>F73*1</f>
        <v>2</v>
      </c>
      <c r="G77" s="307">
        <f ca="1">IF(ISERROR(OFFSET('HARGA SATUAN'!$I$6,MATCH(RAB!C77,'HARGA SATUAN'!$C$7:$C$1504,0),0)),0,OFFSET('HARGA SATUAN'!$I$6,MATCH(RAB!C77,'HARGA SATUAN'!$C$7:$C$1504,0),0))</f>
        <v>2300</v>
      </c>
      <c r="H77" s="308">
        <f t="shared" ca="1" si="20"/>
        <v>0</v>
      </c>
      <c r="I77" s="308">
        <f t="shared" ca="1" si="21"/>
        <v>4600</v>
      </c>
      <c r="J77" s="308">
        <f t="shared" ca="1" si="22"/>
        <v>0</v>
      </c>
      <c r="K77" s="309">
        <f t="shared" ca="1" si="23"/>
        <v>4600</v>
      </c>
      <c r="L77" s="289"/>
      <c r="M77" s="289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 ht="14.4">
      <c r="A78" s="283"/>
      <c r="B78" s="498">
        <v>5</v>
      </c>
      <c r="C78" s="316" t="s">
        <v>632</v>
      </c>
      <c r="D78" s="305" t="str">
        <f ca="1">IF(ISERROR(OFFSET('HARGA SATUAN'!$D$6,MATCH(RAB!C78,'HARGA SATUAN'!$C$7:$C$1504,0),0)),"",OFFSET('HARGA SATUAN'!$D$6,MATCH(RAB!C78,'HARGA SATUAN'!$C$7:$C$1504,0),0))</f>
        <v>JASA</v>
      </c>
      <c r="E78" s="306" t="str">
        <f ca="1">IF(B78="+","Unit",IF(ISERROR(OFFSET('HARGA SATUAN'!$E$6,MATCH(RAB!C78,'HARGA SATUAN'!$C$7:$C$1504,0),0)),"",OFFSET('HARGA SATUAN'!$E$6,MATCH(RAB!C78,'HARGA SATUAN'!$C$7:$C$1504,0),0)))</f>
        <v>Unit</v>
      </c>
      <c r="F78" s="487">
        <f>F73*1</f>
        <v>2</v>
      </c>
      <c r="G78" s="307">
        <f ca="1">IF(ISERROR(OFFSET('HARGA SATUAN'!$I$6,MATCH(RAB!C78,'HARGA SATUAN'!$C$7:$C$1504,0),0)),0,OFFSET('HARGA SATUAN'!$I$6,MATCH(RAB!C78,'HARGA SATUAN'!$C$7:$C$1504,0),0))</f>
        <v>22700</v>
      </c>
      <c r="H78" s="308">
        <f t="shared" ca="1" si="20"/>
        <v>0</v>
      </c>
      <c r="I78" s="308">
        <f t="shared" ca="1" si="21"/>
        <v>0</v>
      </c>
      <c r="J78" s="308">
        <f t="shared" ca="1" si="22"/>
        <v>45400</v>
      </c>
      <c r="K78" s="309">
        <f t="shared" ca="1" si="23"/>
        <v>45400</v>
      </c>
      <c r="L78" s="289"/>
      <c r="M78" s="289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 ht="14.4">
      <c r="A79" s="283"/>
      <c r="B79" s="498"/>
      <c r="C79" s="316"/>
      <c r="D79" s="305"/>
      <c r="E79" s="306"/>
      <c r="F79" s="487"/>
      <c r="G79" s="307"/>
      <c r="H79" s="308"/>
      <c r="I79" s="308"/>
      <c r="J79" s="308"/>
      <c r="K79" s="309"/>
      <c r="L79" s="289"/>
      <c r="M79" s="289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 ht="14.4">
      <c r="A80" s="283"/>
      <c r="B80" s="415" t="s">
        <v>1652</v>
      </c>
      <c r="C80" s="416" t="s">
        <v>1653</v>
      </c>
      <c r="D80" s="305"/>
      <c r="E80" s="306"/>
      <c r="F80" s="487"/>
      <c r="G80" s="307"/>
      <c r="H80" s="308"/>
      <c r="I80" s="308"/>
      <c r="J80" s="308"/>
      <c r="K80" s="309"/>
      <c r="L80" s="289"/>
      <c r="M80" s="289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 ht="14.4">
      <c r="A81" s="283"/>
      <c r="B81" s="498" t="s">
        <v>1035</v>
      </c>
      <c r="C81" s="316" t="s">
        <v>1638</v>
      </c>
      <c r="D81" s="305" t="str">
        <f ca="1">IF(ISERROR(OFFSET('HARGA SATUAN'!$D$6,MATCH(RAB!C81,'HARGA SATUAN'!$C$7:$C$1504,0),0)),"",OFFSET('HARGA SATUAN'!$D$6,MATCH(RAB!C81,'HARGA SATUAN'!$C$7:$C$1504,0),0))</f>
        <v/>
      </c>
      <c r="E81" s="306" t="str">
        <f ca="1">IF(B81="+","Unit",IF(ISERROR(OFFSET('HARGA SATUAN'!$E$6,MATCH(RAB!C81,'HARGA SATUAN'!$C$7:$C$1504,0),0)),"",OFFSET('HARGA SATUAN'!$E$6,MATCH(RAB!C81,'HARGA SATUAN'!$C$7:$C$1504,0),0)))</f>
        <v>Unit</v>
      </c>
      <c r="F81" s="487">
        <v>2</v>
      </c>
      <c r="G81" s="307">
        <f ca="1">IF(ISERROR(OFFSET('HARGA SATUAN'!$I$6,MATCH(RAB!C81,'HARGA SATUAN'!$C$7:$C$1504,0),0)),0,OFFSET('HARGA SATUAN'!$I$6,MATCH(RAB!C81,'HARGA SATUAN'!$C$7:$C$1504,0),0))</f>
        <v>0</v>
      </c>
      <c r="H81" s="308">
        <f t="shared" ref="H81:H95" ca="1" si="24">IF(OR(D81="MDU",D81="MDU-KD"),(IF($O$3="RAB NON MDU","PLN KD",G81*F81)),0)</f>
        <v>0</v>
      </c>
      <c r="I81" s="308">
        <f t="shared" ref="I81:I95" ca="1" si="25">IF(D81="HDW",G81*F81,0)</f>
        <v>0</v>
      </c>
      <c r="J81" s="308">
        <f t="shared" ref="J81:J95" ca="1" si="26">IF(D81="JASA",G81*F81,0)</f>
        <v>0</v>
      </c>
      <c r="K81" s="309">
        <f t="shared" ref="K81:K95" ca="1" si="27">SUM(H81:J81)</f>
        <v>0</v>
      </c>
      <c r="L81" s="289"/>
      <c r="M81" s="289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 ht="14.4">
      <c r="A82" s="283"/>
      <c r="B82" s="498">
        <v>1</v>
      </c>
      <c r="C82" s="316" t="s">
        <v>28</v>
      </c>
      <c r="D82" s="305" t="str">
        <f ca="1">IF(ISERROR(OFFSET('HARGA SATUAN'!$D$6,MATCH(RAB!C82,'HARGA SATUAN'!$C$7:$C$1504,0),0)),"",OFFSET('HARGA SATUAN'!$D$6,MATCH(RAB!C82,'HARGA SATUAN'!$C$7:$C$1504,0),0))</f>
        <v>HDW</v>
      </c>
      <c r="E82" s="306" t="str">
        <f ca="1">IF(B82="+","Unit",IF(ISERROR(OFFSET('HARGA SATUAN'!$E$6,MATCH(RAB!C82,'HARGA SATUAN'!$C$7:$C$1504,0),0)),"",OFFSET('HARGA SATUAN'!$E$6,MATCH(RAB!C82,'HARGA SATUAN'!$C$7:$C$1504,0),0)))</f>
        <v>Bh</v>
      </c>
      <c r="F82" s="487">
        <f>F81*1</f>
        <v>2</v>
      </c>
      <c r="G82" s="307">
        <f ca="1">IF(ISERROR(OFFSET('HARGA SATUAN'!$I$6,MATCH(RAB!C82,'HARGA SATUAN'!$C$7:$C$1504,0),0)),0,OFFSET('HARGA SATUAN'!$I$6,MATCH(RAB!C82,'HARGA SATUAN'!$C$7:$C$1504,0),0))</f>
        <v>26500</v>
      </c>
      <c r="H82" s="308">
        <f t="shared" ca="1" si="24"/>
        <v>0</v>
      </c>
      <c r="I82" s="308">
        <f t="shared" ca="1" si="25"/>
        <v>53000</v>
      </c>
      <c r="J82" s="308">
        <f t="shared" ca="1" si="26"/>
        <v>0</v>
      </c>
      <c r="K82" s="309">
        <f t="shared" ca="1" si="27"/>
        <v>53000</v>
      </c>
      <c r="L82" s="289"/>
      <c r="M82" s="289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 ht="14.4">
      <c r="A83" s="283"/>
      <c r="B83" s="498">
        <v>2</v>
      </c>
      <c r="C83" s="316" t="s">
        <v>203</v>
      </c>
      <c r="D83" s="305" t="str">
        <f ca="1">IF(ISERROR(OFFSET('HARGA SATUAN'!$D$6,MATCH(RAB!C83,'HARGA SATUAN'!$C$7:$C$1504,0),0)),"",OFFSET('HARGA SATUAN'!$D$6,MATCH(RAB!C83,'HARGA SATUAN'!$C$7:$C$1504,0),0))</f>
        <v>HDW</v>
      </c>
      <c r="E83" s="306" t="str">
        <f ca="1">IF(B83="+","Unit",IF(ISERROR(OFFSET('HARGA SATUAN'!$E$6,MATCH(RAB!C83,'HARGA SATUAN'!$C$7:$C$1504,0),0)),"",OFFSET('HARGA SATUAN'!$E$6,MATCH(RAB!C83,'HARGA SATUAN'!$C$7:$C$1504,0),0)))</f>
        <v>Bh</v>
      </c>
      <c r="F83" s="487">
        <f>F81*1</f>
        <v>2</v>
      </c>
      <c r="G83" s="307">
        <f ca="1">IF(ISERROR(OFFSET('HARGA SATUAN'!$I$6,MATCH(RAB!C83,'HARGA SATUAN'!$C$7:$C$1504,0),0)),0,OFFSET('HARGA SATUAN'!$I$6,MATCH(RAB!C83,'HARGA SATUAN'!$C$7:$C$1504,0),0))</f>
        <v>12500</v>
      </c>
      <c r="H83" s="308">
        <f t="shared" ca="1" si="24"/>
        <v>0</v>
      </c>
      <c r="I83" s="308">
        <f t="shared" ca="1" si="25"/>
        <v>25000</v>
      </c>
      <c r="J83" s="308">
        <f t="shared" ca="1" si="26"/>
        <v>0</v>
      </c>
      <c r="K83" s="309">
        <f t="shared" ca="1" si="27"/>
        <v>25000</v>
      </c>
      <c r="L83" s="289"/>
      <c r="M83" s="289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 ht="14.4">
      <c r="A84" s="283"/>
      <c r="B84" s="498">
        <v>3</v>
      </c>
      <c r="C84" s="316" t="s">
        <v>205</v>
      </c>
      <c r="D84" s="305" t="str">
        <f ca="1">IF(ISERROR(OFFSET('HARGA SATUAN'!$D$6,MATCH(RAB!C84,'HARGA SATUAN'!$C$7:$C$1504,0),0)),"",OFFSET('HARGA SATUAN'!$D$6,MATCH(RAB!C84,'HARGA SATUAN'!$C$7:$C$1504,0),0))</f>
        <v>HDW</v>
      </c>
      <c r="E84" s="306" t="str">
        <f ca="1">IF(B84="+","Unit",IF(ISERROR(OFFSET('HARGA SATUAN'!$E$6,MATCH(RAB!C84,'HARGA SATUAN'!$C$7:$C$1504,0),0)),"",OFFSET('HARGA SATUAN'!$E$6,MATCH(RAB!C84,'HARGA SATUAN'!$C$7:$C$1504,0),0)))</f>
        <v>Mtr</v>
      </c>
      <c r="F84" s="487">
        <f>F81*12</f>
        <v>24</v>
      </c>
      <c r="G84" s="307">
        <f ca="1">IF(ISERROR(OFFSET('HARGA SATUAN'!$I$6,MATCH(RAB!C84,'HARGA SATUAN'!$C$7:$C$1504,0),0)),0,OFFSET('HARGA SATUAN'!$I$6,MATCH(RAB!C84,'HARGA SATUAN'!$C$7:$C$1504,0),0))</f>
        <v>24300</v>
      </c>
      <c r="H84" s="308">
        <f t="shared" ca="1" si="24"/>
        <v>0</v>
      </c>
      <c r="I84" s="308">
        <f t="shared" ca="1" si="25"/>
        <v>583200</v>
      </c>
      <c r="J84" s="308">
        <f t="shared" ca="1" si="26"/>
        <v>0</v>
      </c>
      <c r="K84" s="309">
        <f t="shared" ca="1" si="27"/>
        <v>583200</v>
      </c>
      <c r="L84" s="289"/>
      <c r="M84" s="289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 ht="14.4">
      <c r="A85" s="283"/>
      <c r="B85" s="498">
        <v>4</v>
      </c>
      <c r="C85" s="316" t="s">
        <v>287</v>
      </c>
      <c r="D85" s="305" t="str">
        <f ca="1">IF(ISERROR(OFFSET('HARGA SATUAN'!$D$6,MATCH(RAB!C85,'HARGA SATUAN'!$C$7:$C$1504,0),0)),"",OFFSET('HARGA SATUAN'!$D$6,MATCH(RAB!C85,'HARGA SATUAN'!$C$7:$C$1504,0),0))</f>
        <v>HDW</v>
      </c>
      <c r="E85" s="306" t="str">
        <f ca="1">IF(B85="+","Unit",IF(ISERROR(OFFSET('HARGA SATUAN'!$E$6,MATCH(RAB!C85,'HARGA SATUAN'!$C$7:$C$1504,0),0)),"",OFFSET('HARGA SATUAN'!$E$6,MATCH(RAB!C85,'HARGA SATUAN'!$C$7:$C$1504,0),0)))</f>
        <v>Bh</v>
      </c>
      <c r="F85" s="487">
        <f>F81*2</f>
        <v>4</v>
      </c>
      <c r="G85" s="307">
        <f ca="1">IF(ISERROR(OFFSET('HARGA SATUAN'!$I$6,MATCH(RAB!C85,'HARGA SATUAN'!$C$7:$C$1504,0),0)),0,OFFSET('HARGA SATUAN'!$I$6,MATCH(RAB!C85,'HARGA SATUAN'!$C$7:$C$1504,0),0))</f>
        <v>40000</v>
      </c>
      <c r="H85" s="308">
        <f t="shared" ca="1" si="24"/>
        <v>0</v>
      </c>
      <c r="I85" s="308">
        <f t="shared" ca="1" si="25"/>
        <v>160000</v>
      </c>
      <c r="J85" s="308">
        <f t="shared" ca="1" si="26"/>
        <v>0</v>
      </c>
      <c r="K85" s="309">
        <f t="shared" ca="1" si="27"/>
        <v>160000</v>
      </c>
      <c r="L85" s="289"/>
      <c r="M85" s="289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 ht="14.4">
      <c r="A86" s="283"/>
      <c r="B86" s="498">
        <v>5</v>
      </c>
      <c r="C86" s="316" t="s">
        <v>26</v>
      </c>
      <c r="D86" s="305" t="str">
        <f ca="1">IF(ISERROR(OFFSET('HARGA SATUAN'!$D$6,MATCH(RAB!C86,'HARGA SATUAN'!$C$7:$C$1504,0),0)),"",OFFSET('HARGA SATUAN'!$D$6,MATCH(RAB!C86,'HARGA SATUAN'!$C$7:$C$1504,0),0))</f>
        <v>HDW</v>
      </c>
      <c r="E86" s="306" t="str">
        <f ca="1">IF(B86="+","Unit",IF(ISERROR(OFFSET('HARGA SATUAN'!$E$6,MATCH(RAB!C86,'HARGA SATUAN'!$C$7:$C$1504,0),0)),"",OFFSET('HARGA SATUAN'!$E$6,MATCH(RAB!C86,'HARGA SATUAN'!$C$7:$C$1504,0),0)))</f>
        <v>Bh</v>
      </c>
      <c r="F86" s="487">
        <f>F81*1</f>
        <v>2</v>
      </c>
      <c r="G86" s="307">
        <f ca="1">IF(ISERROR(OFFSET('HARGA SATUAN'!$I$6,MATCH(RAB!C86,'HARGA SATUAN'!$C$7:$C$1504,0),0)),0,OFFSET('HARGA SATUAN'!$I$6,MATCH(RAB!C86,'HARGA SATUAN'!$C$7:$C$1504,0),0))</f>
        <v>2500</v>
      </c>
      <c r="H86" s="308">
        <f t="shared" ca="1" si="24"/>
        <v>0</v>
      </c>
      <c r="I86" s="308">
        <f t="shared" ca="1" si="25"/>
        <v>5000</v>
      </c>
      <c r="J86" s="308">
        <f t="shared" ca="1" si="26"/>
        <v>0</v>
      </c>
      <c r="K86" s="309">
        <f t="shared" ca="1" si="27"/>
        <v>5000</v>
      </c>
      <c r="L86" s="289"/>
      <c r="M86" s="289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 ht="14.4">
      <c r="A87" s="283"/>
      <c r="B87" s="498">
        <v>6</v>
      </c>
      <c r="C87" s="316" t="s">
        <v>759</v>
      </c>
      <c r="D87" s="305" t="str">
        <f ca="1">IF(ISERROR(OFFSET('HARGA SATUAN'!$D$6,MATCH(RAB!C87,'HARGA SATUAN'!$C$7:$C$1504,0),0)),"",OFFSET('HARGA SATUAN'!$D$6,MATCH(RAB!C87,'HARGA SATUAN'!$C$7:$C$1504,0),0))</f>
        <v>JASA</v>
      </c>
      <c r="E87" s="306" t="str">
        <f ca="1">IF(B87="+","Unit",IF(ISERROR(OFFSET('HARGA SATUAN'!$E$6,MATCH(RAB!C87,'HARGA SATUAN'!$C$7:$C$1504,0),0)),"",OFFSET('HARGA SATUAN'!$E$6,MATCH(RAB!C87,'HARGA SATUAN'!$C$7:$C$1504,0),0)))</f>
        <v>Unit</v>
      </c>
      <c r="F87" s="487">
        <f>F81*1</f>
        <v>2</v>
      </c>
      <c r="G87" s="307">
        <f ca="1">IF(ISERROR(OFFSET('HARGA SATUAN'!$I$6,MATCH(RAB!C87,'HARGA SATUAN'!$C$7:$C$1504,0),0)),0,OFFSET('HARGA SATUAN'!$I$6,MATCH(RAB!C87,'HARGA SATUAN'!$C$7:$C$1504,0),0))</f>
        <v>43500</v>
      </c>
      <c r="H87" s="308">
        <f t="shared" ca="1" si="24"/>
        <v>0</v>
      </c>
      <c r="I87" s="308">
        <f t="shared" ca="1" si="25"/>
        <v>0</v>
      </c>
      <c r="J87" s="308">
        <f t="shared" ca="1" si="26"/>
        <v>87000</v>
      </c>
      <c r="K87" s="309">
        <f t="shared" ca="1" si="27"/>
        <v>87000</v>
      </c>
      <c r="L87" s="289"/>
      <c r="M87" s="289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14.4">
      <c r="A88" s="283"/>
      <c r="B88" s="498"/>
      <c r="C88" s="316"/>
      <c r="D88" s="305" t="str">
        <f ca="1">IF(ISERROR(OFFSET('HARGA SATUAN'!$D$6,MATCH(RAB!C88,'HARGA SATUAN'!$C$7:$C$1504,0),0)),"",OFFSET('HARGA SATUAN'!$D$6,MATCH(RAB!C88,'HARGA SATUAN'!$C$7:$C$1504,0),0))</f>
        <v/>
      </c>
      <c r="E88" s="306" t="str">
        <f ca="1">IF(B88="+","Unit",IF(ISERROR(OFFSET('HARGA SATUAN'!$E$6,MATCH(RAB!C88,'HARGA SATUAN'!$C$7:$C$1504,0),0)),"",OFFSET('HARGA SATUAN'!$E$6,MATCH(RAB!C88,'HARGA SATUAN'!$C$7:$C$1504,0),0)))</f>
        <v/>
      </c>
      <c r="F88" s="487"/>
      <c r="G88" s="307">
        <f ca="1">IF(ISERROR(OFFSET('HARGA SATUAN'!$I$6,MATCH(RAB!C88,'HARGA SATUAN'!$C$7:$C$1504,0),0)),0,OFFSET('HARGA SATUAN'!$I$6,MATCH(RAB!C88,'HARGA SATUAN'!$C$7:$C$1504,0),0))</f>
        <v>0</v>
      </c>
      <c r="H88" s="308">
        <f t="shared" ca="1" si="24"/>
        <v>0</v>
      </c>
      <c r="I88" s="308">
        <f t="shared" ca="1" si="25"/>
        <v>0</v>
      </c>
      <c r="J88" s="308">
        <f t="shared" ca="1" si="26"/>
        <v>0</v>
      </c>
      <c r="K88" s="309">
        <f t="shared" ca="1" si="27"/>
        <v>0</v>
      </c>
      <c r="L88" s="289"/>
      <c r="M88" s="289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 ht="14.4">
      <c r="A89" s="283"/>
      <c r="B89" s="498" t="s">
        <v>1035</v>
      </c>
      <c r="C89" s="316" t="s">
        <v>1640</v>
      </c>
      <c r="D89" s="305" t="str">
        <f ca="1">IF(ISERROR(OFFSET('HARGA SATUAN'!$D$6,MATCH(RAB!C89,'HARGA SATUAN'!$C$7:$C$1504,0),0)),"",OFFSET('HARGA SATUAN'!$D$6,MATCH(RAB!C89,'HARGA SATUAN'!$C$7:$C$1504,0),0))</f>
        <v/>
      </c>
      <c r="E89" s="306" t="str">
        <f ca="1">IF(B89="+","Unit",IF(ISERROR(OFFSET('HARGA SATUAN'!$E$6,MATCH(RAB!C89,'HARGA SATUAN'!$C$7:$C$1504,0),0)),"",OFFSET('HARGA SATUAN'!$E$6,MATCH(RAB!C89,'HARGA SATUAN'!$C$7:$C$1504,0),0)))</f>
        <v>Unit</v>
      </c>
      <c r="F89" s="487">
        <v>2</v>
      </c>
      <c r="G89" s="307">
        <f ca="1">IF(ISERROR(OFFSET('HARGA SATUAN'!$I$6,MATCH(RAB!C89,'HARGA SATUAN'!$C$7:$C$1504,0),0)),0,OFFSET('HARGA SATUAN'!$I$6,MATCH(RAB!C89,'HARGA SATUAN'!$C$7:$C$1504,0),0))</f>
        <v>0</v>
      </c>
      <c r="H89" s="308">
        <f t="shared" ca="1" si="24"/>
        <v>0</v>
      </c>
      <c r="I89" s="308">
        <f t="shared" ca="1" si="25"/>
        <v>0</v>
      </c>
      <c r="J89" s="308">
        <f t="shared" ca="1" si="26"/>
        <v>0</v>
      </c>
      <c r="K89" s="309">
        <f t="shared" ca="1" si="27"/>
        <v>0</v>
      </c>
      <c r="L89" s="289"/>
      <c r="M89" s="289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14.4">
      <c r="A90" s="283"/>
      <c r="B90" s="498">
        <v>1</v>
      </c>
      <c r="C90" s="316" t="s">
        <v>28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Bh</v>
      </c>
      <c r="F90" s="487">
        <f>F89*1</f>
        <v>2</v>
      </c>
      <c r="G90" s="307">
        <f ca="1">IF(ISERROR(OFFSET('HARGA SATUAN'!$I$6,MATCH(RAB!C90,'HARGA SATUAN'!$C$7:$C$1504,0),0)),0,OFFSET('HARGA SATUAN'!$I$6,MATCH(RAB!C90,'HARGA SATUAN'!$C$7:$C$1504,0),0))</f>
        <v>26500</v>
      </c>
      <c r="H90" s="308">
        <f t="shared" ca="1" si="24"/>
        <v>0</v>
      </c>
      <c r="I90" s="308">
        <f t="shared" ca="1" si="25"/>
        <v>53000</v>
      </c>
      <c r="J90" s="308">
        <f t="shared" ca="1" si="26"/>
        <v>0</v>
      </c>
      <c r="K90" s="309">
        <f t="shared" ca="1" si="27"/>
        <v>53000</v>
      </c>
      <c r="L90" s="289"/>
      <c r="M90" s="289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 ht="14.4">
      <c r="A91" s="283"/>
      <c r="B91" s="498">
        <v>2</v>
      </c>
      <c r="C91" s="316" t="s">
        <v>203</v>
      </c>
      <c r="D91" s="305" t="str">
        <f ca="1">IF(ISERROR(OFFSET('HARGA SATUAN'!$D$6,MATCH(RAB!C91,'HARGA SATUAN'!$C$7:$C$1504,0),0)),"",OFFSET('HARGA SATUAN'!$D$6,MATCH(RAB!C91,'HARGA SATUAN'!$C$7:$C$1504,0),0))</f>
        <v>HDW</v>
      </c>
      <c r="E91" s="306" t="str">
        <f ca="1">IF(B91="+","Unit",IF(ISERROR(OFFSET('HARGA SATUAN'!$E$6,MATCH(RAB!C91,'HARGA SATUAN'!$C$7:$C$1504,0),0)),"",OFFSET('HARGA SATUAN'!$E$6,MATCH(RAB!C91,'HARGA SATUAN'!$C$7:$C$1504,0),0)))</f>
        <v>Bh</v>
      </c>
      <c r="F91" s="487">
        <f>F89*1</f>
        <v>2</v>
      </c>
      <c r="G91" s="307">
        <f ca="1">IF(ISERROR(OFFSET('HARGA SATUAN'!$I$6,MATCH(RAB!C91,'HARGA SATUAN'!$C$7:$C$1504,0),0)),0,OFFSET('HARGA SATUAN'!$I$6,MATCH(RAB!C91,'HARGA SATUAN'!$C$7:$C$1504,0),0))</f>
        <v>12500</v>
      </c>
      <c r="H91" s="308">
        <f t="shared" ca="1" si="24"/>
        <v>0</v>
      </c>
      <c r="I91" s="308">
        <f t="shared" ca="1" si="25"/>
        <v>25000</v>
      </c>
      <c r="J91" s="308">
        <f t="shared" ca="1" si="26"/>
        <v>0</v>
      </c>
      <c r="K91" s="309">
        <f t="shared" ca="1" si="27"/>
        <v>25000</v>
      </c>
      <c r="L91" s="289"/>
      <c r="M91" s="289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14.4">
      <c r="A92" s="283"/>
      <c r="B92" s="498">
        <v>3</v>
      </c>
      <c r="C92" s="316" t="s">
        <v>206</v>
      </c>
      <c r="D92" s="305" t="str">
        <f ca="1">IF(ISERROR(OFFSET('HARGA SATUAN'!$D$6,MATCH(RAB!C92,'HARGA SATUAN'!$C$7:$C$1504,0),0)),"",OFFSET('HARGA SATUAN'!$D$6,MATCH(RAB!C92,'HARGA SATUAN'!$C$7:$C$1504,0),0))</f>
        <v>HDW</v>
      </c>
      <c r="E92" s="306" t="str">
        <f ca="1">IF(B92="+","Unit",IF(ISERROR(OFFSET('HARGA SATUAN'!$E$6,MATCH(RAB!C92,'HARGA SATUAN'!$C$7:$C$1504,0),0)),"",OFFSET('HARGA SATUAN'!$E$6,MATCH(RAB!C92,'HARGA SATUAN'!$C$7:$C$1504,0),0)))</f>
        <v>Mtr</v>
      </c>
      <c r="F92" s="487">
        <f>F89*12</f>
        <v>24</v>
      </c>
      <c r="G92" s="307">
        <f ca="1">IF(ISERROR(OFFSET('HARGA SATUAN'!$I$6,MATCH(RAB!C92,'HARGA SATUAN'!$C$7:$C$1504,0),0)),0,OFFSET('HARGA SATUAN'!$I$6,MATCH(RAB!C92,'HARGA SATUAN'!$C$7:$C$1504,0),0))</f>
        <v>39204</v>
      </c>
      <c r="H92" s="308">
        <f t="shared" ca="1" si="24"/>
        <v>0</v>
      </c>
      <c r="I92" s="308">
        <f t="shared" ca="1" si="25"/>
        <v>940896</v>
      </c>
      <c r="J92" s="308">
        <f t="shared" ca="1" si="26"/>
        <v>0</v>
      </c>
      <c r="K92" s="309">
        <f t="shared" ca="1" si="27"/>
        <v>940896</v>
      </c>
      <c r="L92" s="289"/>
      <c r="M92" s="289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 ht="14.4">
      <c r="A93" s="283"/>
      <c r="B93" s="499">
        <v>4</v>
      </c>
      <c r="C93" s="500" t="s">
        <v>287</v>
      </c>
      <c r="D93" s="305" t="str">
        <f ca="1">IF(ISERROR(OFFSET('HARGA SATUAN'!$D$6,MATCH(RAB!C93,'HARGA SATUAN'!$C$7:$C$1504,0),0)),"",OFFSET('HARGA SATUAN'!$D$6,MATCH(RAB!C93,'HARGA SATUAN'!$C$7:$C$1504,0),0))</f>
        <v>HDW</v>
      </c>
      <c r="E93" s="306" t="str">
        <f ca="1">IF(B93="+","Unit",IF(ISERROR(OFFSET('HARGA SATUAN'!$E$6,MATCH(RAB!C93,'HARGA SATUAN'!$C$7:$C$1504,0),0)),"",OFFSET('HARGA SATUAN'!$E$6,MATCH(RAB!C93,'HARGA SATUAN'!$C$7:$C$1504,0),0)))</f>
        <v>Bh</v>
      </c>
      <c r="F93" s="487">
        <f>F89*2</f>
        <v>4</v>
      </c>
      <c r="G93" s="307">
        <f ca="1">IF(ISERROR(OFFSET('HARGA SATUAN'!$I$6,MATCH(RAB!C93,'HARGA SATUAN'!$C$7:$C$1504,0),0)),0,OFFSET('HARGA SATUAN'!$I$6,MATCH(RAB!C93,'HARGA SATUAN'!$C$7:$C$1504,0),0))</f>
        <v>40000</v>
      </c>
      <c r="H93" s="308">
        <f t="shared" ca="1" si="24"/>
        <v>0</v>
      </c>
      <c r="I93" s="308">
        <f t="shared" ca="1" si="25"/>
        <v>160000</v>
      </c>
      <c r="J93" s="308">
        <f t="shared" ca="1" si="26"/>
        <v>0</v>
      </c>
      <c r="K93" s="309">
        <f t="shared" ca="1" si="27"/>
        <v>160000</v>
      </c>
      <c r="L93" s="289"/>
      <c r="M93" s="289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 ht="14.4">
      <c r="A94" s="283"/>
      <c r="B94" s="498">
        <v>5</v>
      </c>
      <c r="C94" s="316" t="s">
        <v>26</v>
      </c>
      <c r="D94" s="305" t="str">
        <f ca="1">IF(ISERROR(OFFSET('HARGA SATUAN'!$D$6,MATCH(RAB!C94,'HARGA SATUAN'!$C$7:$C$1504,0),0)),"",OFFSET('HARGA SATUAN'!$D$6,MATCH(RAB!C94,'HARGA SATUAN'!$C$7:$C$1504,0),0))</f>
        <v>HDW</v>
      </c>
      <c r="E94" s="306" t="str">
        <f ca="1">IF(B94="+","Unit",IF(ISERROR(OFFSET('HARGA SATUAN'!$E$6,MATCH(RAB!C94,'HARGA SATUAN'!$C$7:$C$1504,0),0)),"",OFFSET('HARGA SATUAN'!$E$6,MATCH(RAB!C94,'HARGA SATUAN'!$C$7:$C$1504,0),0)))</f>
        <v>Bh</v>
      </c>
      <c r="F94" s="487">
        <f>F89*1</f>
        <v>2</v>
      </c>
      <c r="G94" s="307">
        <f ca="1">IF(ISERROR(OFFSET('HARGA SATUAN'!$I$6,MATCH(RAB!C94,'HARGA SATUAN'!$C$7:$C$1504,0),0)),0,OFFSET('HARGA SATUAN'!$I$6,MATCH(RAB!C94,'HARGA SATUAN'!$C$7:$C$1504,0),0))</f>
        <v>2500</v>
      </c>
      <c r="H94" s="308">
        <f t="shared" ca="1" si="24"/>
        <v>0</v>
      </c>
      <c r="I94" s="308">
        <f t="shared" ca="1" si="25"/>
        <v>5000</v>
      </c>
      <c r="J94" s="308">
        <f t="shared" ca="1" si="26"/>
        <v>0</v>
      </c>
      <c r="K94" s="309">
        <f t="shared" ca="1" si="27"/>
        <v>5000</v>
      </c>
      <c r="L94" s="289"/>
      <c r="M94" s="289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 ht="14.4">
      <c r="A95" s="283"/>
      <c r="B95" s="499">
        <v>6</v>
      </c>
      <c r="C95" s="500" t="s">
        <v>760</v>
      </c>
      <c r="D95" s="305" t="str">
        <f ca="1">IF(ISERROR(OFFSET('HARGA SATUAN'!$D$6,MATCH(RAB!C95,'HARGA SATUAN'!$C$7:$C$1504,0),0)),"",OFFSET('HARGA SATUAN'!$D$6,MATCH(RAB!C95,'HARGA SATUAN'!$C$7:$C$1504,0),0))</f>
        <v>JASA</v>
      </c>
      <c r="E95" s="306" t="str">
        <f ca="1">IF(B95="+","Unit",IF(ISERROR(OFFSET('HARGA SATUAN'!$E$6,MATCH(RAB!C95,'HARGA SATUAN'!$C$7:$C$1504,0),0)),"",OFFSET('HARGA SATUAN'!$E$6,MATCH(RAB!C95,'HARGA SATUAN'!$C$7:$C$1504,0),0)))</f>
        <v>Unit</v>
      </c>
      <c r="F95" s="487">
        <f>F89*1</f>
        <v>2</v>
      </c>
      <c r="G95" s="307">
        <f ca="1">IF(ISERROR(OFFSET('HARGA SATUAN'!$I$6,MATCH(RAB!C95,'HARGA SATUAN'!$C$7:$C$1504,0),0)),0,OFFSET('HARGA SATUAN'!$I$6,MATCH(RAB!C95,'HARGA SATUAN'!$C$7:$C$1504,0),0))</f>
        <v>36600</v>
      </c>
      <c r="H95" s="308">
        <f t="shared" ca="1" si="24"/>
        <v>0</v>
      </c>
      <c r="I95" s="308">
        <f t="shared" ca="1" si="25"/>
        <v>0</v>
      </c>
      <c r="J95" s="308">
        <f t="shared" ca="1" si="26"/>
        <v>73200</v>
      </c>
      <c r="K95" s="309">
        <f t="shared" ca="1" si="27"/>
        <v>73200</v>
      </c>
      <c r="L95" s="289"/>
      <c r="M95" s="289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 ht="14.4">
      <c r="A96" s="283"/>
      <c r="B96" s="499"/>
      <c r="C96" s="500"/>
      <c r="D96" s="305"/>
      <c r="E96" s="306"/>
      <c r="F96" s="487"/>
      <c r="G96" s="307"/>
      <c r="H96" s="308"/>
      <c r="I96" s="308"/>
      <c r="J96" s="308"/>
      <c r="K96" s="309"/>
      <c r="L96" s="289"/>
      <c r="M96" s="289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 ht="14.4">
      <c r="A97" s="283"/>
      <c r="B97" s="485" t="s">
        <v>1035</v>
      </c>
      <c r="C97" s="486" t="s">
        <v>1639</v>
      </c>
      <c r="D97" s="305" t="str">
        <f ca="1">IF(ISERROR(OFFSET('HARGA SATUAN'!$D$6,MATCH(RAB!C97,'HARGA SATUAN'!$C$7:$C$1504,0),0)),"",OFFSET('HARGA SATUAN'!$D$6,MATCH(RAB!C97,'HARGA SATUAN'!$C$7:$C$1504,0),0))</f>
        <v/>
      </c>
      <c r="E97" s="306" t="str">
        <f ca="1">IF(B97="+","Unit",IF(ISERROR(OFFSET('HARGA SATUAN'!$E$6,MATCH(RAB!C97,'HARGA SATUAN'!$C$7:$C$1504,0),0)),"",OFFSET('HARGA SATUAN'!$E$6,MATCH(RAB!C97,'HARGA SATUAN'!$C$7:$C$1504,0),0)))</f>
        <v>Unit</v>
      </c>
      <c r="F97" s="487">
        <v>2</v>
      </c>
      <c r="G97" s="307">
        <f ca="1">IF(ISERROR(OFFSET('HARGA SATUAN'!$I$6,MATCH(RAB!C97,'HARGA SATUAN'!$C$7:$C$1504,0),0)),0,OFFSET('HARGA SATUAN'!$I$6,MATCH(RAB!C97,'HARGA SATUAN'!$C$7:$C$1504,0),0))</f>
        <v>0</v>
      </c>
      <c r="H97" s="308">
        <f t="shared" ref="H97:H107" ca="1" si="28">IF(OR(D97="MDU",D97="MDU-KD"),(IF($O$3="RAB NON MDU","PLN KD",G97*F97)),0)</f>
        <v>0</v>
      </c>
      <c r="I97" s="308">
        <f t="shared" ref="I97:I107" ca="1" si="29">IF(D97="HDW",G97*F97,0)</f>
        <v>0</v>
      </c>
      <c r="J97" s="308">
        <f t="shared" ref="J97:J107" ca="1" si="30">IF(D97="JASA",G97*F97,0)</f>
        <v>0</v>
      </c>
      <c r="K97" s="309">
        <f t="shared" ref="K97:K107" ca="1" si="31">SUM(H97:J97)</f>
        <v>0</v>
      </c>
      <c r="L97" s="289"/>
      <c r="M97" s="289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 ht="14.4">
      <c r="A98" s="283"/>
      <c r="B98" s="485">
        <v>1</v>
      </c>
      <c r="C98" s="486" t="s">
        <v>262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87">
        <f>F97*1</f>
        <v>2</v>
      </c>
      <c r="G98" s="307">
        <f ca="1">IF(ISERROR(OFFSET('HARGA SATUAN'!$I$6,MATCH(RAB!C98,'HARGA SATUAN'!$C$7:$C$1504,0),0)),0,OFFSET('HARGA SATUAN'!$I$6,MATCH(RAB!C98,'HARGA SATUAN'!$C$7:$C$1504,0),0))</f>
        <v>104200</v>
      </c>
      <c r="H98" s="308">
        <f t="shared" ca="1" si="28"/>
        <v>0</v>
      </c>
      <c r="I98" s="308">
        <f t="shared" ca="1" si="29"/>
        <v>208400</v>
      </c>
      <c r="J98" s="308">
        <f t="shared" ca="1" si="30"/>
        <v>0</v>
      </c>
      <c r="K98" s="309">
        <f t="shared" ca="1" si="31"/>
        <v>208400</v>
      </c>
      <c r="L98" s="289"/>
      <c r="M98" s="289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 ht="14.4">
      <c r="A99" s="283"/>
      <c r="B99" s="485">
        <v>2</v>
      </c>
      <c r="C99" s="486" t="s">
        <v>596</v>
      </c>
      <c r="D99" s="305" t="str">
        <f ca="1">IF(ISERROR(OFFSET('HARGA SATUAN'!$D$6,MATCH(RAB!C99,'HARGA SATUAN'!$C$7:$C$1504,0),0)),"",OFFSET('HARGA SATUAN'!$D$6,MATCH(RAB!C99,'HARGA SATUAN'!$C$7:$C$1504,0),0))</f>
        <v>HDW</v>
      </c>
      <c r="E99" s="306" t="str">
        <f ca="1">IF(B99="+","Unit",IF(ISERROR(OFFSET('HARGA SATUAN'!$E$6,MATCH(RAB!C99,'HARGA SATUAN'!$C$7:$C$1504,0),0)),"",OFFSET('HARGA SATUAN'!$E$6,MATCH(RAB!C99,'HARGA SATUAN'!$C$7:$C$1504,0),0)))</f>
        <v>Bh</v>
      </c>
      <c r="F99" s="487">
        <f>F97*1</f>
        <v>2</v>
      </c>
      <c r="G99" s="307">
        <f ca="1">IF(ISERROR(OFFSET('HARGA SATUAN'!$I$6,MATCH(RAB!C99,'HARGA SATUAN'!$C$7:$C$1504,0),0)),0,OFFSET('HARGA SATUAN'!$I$6,MATCH(RAB!C99,'HARGA SATUAN'!$C$7:$C$1504,0),0))</f>
        <v>120000</v>
      </c>
      <c r="H99" s="308">
        <f t="shared" ca="1" si="28"/>
        <v>0</v>
      </c>
      <c r="I99" s="308">
        <f t="shared" ca="1" si="29"/>
        <v>240000</v>
      </c>
      <c r="J99" s="308">
        <f t="shared" ca="1" si="30"/>
        <v>0</v>
      </c>
      <c r="K99" s="309">
        <f t="shared" ca="1" si="31"/>
        <v>240000</v>
      </c>
      <c r="L99" s="289"/>
      <c r="M99" s="289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 ht="14.4">
      <c r="A100" s="283"/>
      <c r="B100" s="485">
        <v>4</v>
      </c>
      <c r="C100" s="486" t="s">
        <v>214</v>
      </c>
      <c r="D100" s="305" t="str">
        <f ca="1">IF(ISERROR(OFFSET('HARGA SATUAN'!$D$6,MATCH(RAB!C100,'HARGA SATUAN'!$C$7:$C$1504,0),0)),"",OFFSET('HARGA SATUAN'!$D$6,MATCH(RAB!C100,'HARGA SATUAN'!$C$7:$C$1504,0),0))</f>
        <v>HDW</v>
      </c>
      <c r="E100" s="306" t="str">
        <f ca="1">IF(B100="+","Unit",IF(ISERROR(OFFSET('HARGA SATUAN'!$E$6,MATCH(RAB!C100,'HARGA SATUAN'!$C$7:$C$1504,0),0)),"",OFFSET('HARGA SATUAN'!$E$6,MATCH(RAB!C100,'HARGA SATUAN'!$C$7:$C$1504,0),0)))</f>
        <v>Bh</v>
      </c>
      <c r="F100" s="487">
        <f>F97*1</f>
        <v>2</v>
      </c>
      <c r="G100" s="307">
        <f ca="1">IF(ISERROR(OFFSET('HARGA SATUAN'!$I$6,MATCH(RAB!C100,'HARGA SATUAN'!$C$7:$C$1504,0),0)),0,OFFSET('HARGA SATUAN'!$I$6,MATCH(RAB!C100,'HARGA SATUAN'!$C$7:$C$1504,0),0))</f>
        <v>4500</v>
      </c>
      <c r="H100" s="308">
        <f t="shared" ca="1" si="28"/>
        <v>0</v>
      </c>
      <c r="I100" s="308">
        <f t="shared" ca="1" si="29"/>
        <v>9000</v>
      </c>
      <c r="J100" s="308">
        <f t="shared" ca="1" si="30"/>
        <v>0</v>
      </c>
      <c r="K100" s="309">
        <f t="shared" ca="1" si="31"/>
        <v>9000</v>
      </c>
      <c r="L100" s="289"/>
      <c r="M100" s="289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 ht="14.4">
      <c r="A101" s="283"/>
      <c r="B101" s="485">
        <v>3</v>
      </c>
      <c r="C101" s="486" t="s">
        <v>767</v>
      </c>
      <c r="D101" s="305" t="str">
        <f ca="1">IF(ISERROR(OFFSET('HARGA SATUAN'!$D$6,MATCH(RAB!C101,'HARGA SATUAN'!$C$7:$C$1504,0),0)),"",OFFSET('HARGA SATUAN'!$D$6,MATCH(RAB!C101,'HARGA SATUAN'!$C$7:$C$1504,0),0))</f>
        <v>JASA</v>
      </c>
      <c r="E101" s="306" t="str">
        <f ca="1">IF(B101="+","Unit",IF(ISERROR(OFFSET('HARGA SATUAN'!$E$6,MATCH(RAB!C101,'HARGA SATUAN'!$C$7:$C$1504,0),0)),"",OFFSET('HARGA SATUAN'!$E$6,MATCH(RAB!C101,'HARGA SATUAN'!$C$7:$C$1504,0),0)))</f>
        <v>Unit</v>
      </c>
      <c r="F101" s="487">
        <f>F97*1</f>
        <v>2</v>
      </c>
      <c r="G101" s="307">
        <f ca="1">IF(ISERROR(OFFSET('HARGA SATUAN'!$I$6,MATCH(RAB!C101,'HARGA SATUAN'!$C$7:$C$1504,0),0)),0,OFFSET('HARGA SATUAN'!$I$6,MATCH(RAB!C101,'HARGA SATUAN'!$C$7:$C$1504,0),0))</f>
        <v>55500</v>
      </c>
      <c r="H101" s="308">
        <f t="shared" ca="1" si="28"/>
        <v>0</v>
      </c>
      <c r="I101" s="308">
        <f t="shared" ca="1" si="29"/>
        <v>0</v>
      </c>
      <c r="J101" s="308">
        <f t="shared" ca="1" si="30"/>
        <v>111000</v>
      </c>
      <c r="K101" s="309">
        <f t="shared" ca="1" si="31"/>
        <v>111000</v>
      </c>
      <c r="L101" s="289"/>
      <c r="M101" s="289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 ht="14.4">
      <c r="A102" s="283"/>
      <c r="B102" s="485"/>
      <c r="C102" s="486"/>
      <c r="D102" s="305" t="str">
        <f ca="1">IF(ISERROR(OFFSET('HARGA SATUAN'!$D$6,MATCH(RAB!C102,'HARGA SATUAN'!$C$7:$C$1504,0),0)),"",OFFSET('HARGA SATUAN'!$D$6,MATCH(RAB!C102,'HARGA SATUAN'!$C$7:$C$1504,0),0))</f>
        <v/>
      </c>
      <c r="E102" s="306" t="str">
        <f ca="1">IF(B102="+","Unit",IF(ISERROR(OFFSET('HARGA SATUAN'!$E$6,MATCH(RAB!C102,'HARGA SATUAN'!$C$7:$C$1504,0),0)),"",OFFSET('HARGA SATUAN'!$E$6,MATCH(RAB!C102,'HARGA SATUAN'!$C$7:$C$1504,0),0)))</f>
        <v/>
      </c>
      <c r="F102" s="487"/>
      <c r="G102" s="307">
        <f ca="1">IF(ISERROR(OFFSET('HARGA SATUAN'!$I$6,MATCH(RAB!C102,'HARGA SATUAN'!$C$7:$C$1504,0),0)),0,OFFSET('HARGA SATUAN'!$I$6,MATCH(RAB!C102,'HARGA SATUAN'!$C$7:$C$1504,0),0))</f>
        <v>0</v>
      </c>
      <c r="H102" s="308">
        <f t="shared" ca="1" si="28"/>
        <v>0</v>
      </c>
      <c r="I102" s="308">
        <f t="shared" ca="1" si="29"/>
        <v>0</v>
      </c>
      <c r="J102" s="308">
        <f t="shared" ca="1" si="30"/>
        <v>0</v>
      </c>
      <c r="K102" s="309">
        <f t="shared" ca="1" si="31"/>
        <v>0</v>
      </c>
      <c r="L102" s="289"/>
      <c r="M102" s="289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 ht="14.4">
      <c r="A103" s="283"/>
      <c r="B103" s="485" t="s">
        <v>1035</v>
      </c>
      <c r="C103" s="486" t="s">
        <v>1641</v>
      </c>
      <c r="D103" s="305" t="str">
        <f ca="1">IF(ISERROR(OFFSET('HARGA SATUAN'!$D$6,MATCH(RAB!C103,'HARGA SATUAN'!$C$7:$C$1504,0),0)),"",OFFSET('HARGA SATUAN'!$D$6,MATCH(RAB!C103,'HARGA SATUAN'!$C$7:$C$1504,0),0))</f>
        <v/>
      </c>
      <c r="E103" s="306" t="str">
        <f ca="1">IF(B103="+","Unit",IF(ISERROR(OFFSET('HARGA SATUAN'!$E$6,MATCH(RAB!C103,'HARGA SATUAN'!$C$7:$C$1504,0),0)),"",OFFSET('HARGA SATUAN'!$E$6,MATCH(RAB!C103,'HARGA SATUAN'!$C$7:$C$1504,0),0)))</f>
        <v>Unit</v>
      </c>
      <c r="F103" s="487">
        <v>2</v>
      </c>
      <c r="G103" s="307">
        <f ca="1">IF(ISERROR(OFFSET('HARGA SATUAN'!$I$6,MATCH(RAB!C103,'HARGA SATUAN'!$C$7:$C$1504,0),0)),0,OFFSET('HARGA SATUAN'!$I$6,MATCH(RAB!C103,'HARGA SATUAN'!$C$7:$C$1504,0),0))</f>
        <v>0</v>
      </c>
      <c r="H103" s="308">
        <f t="shared" ca="1" si="28"/>
        <v>0</v>
      </c>
      <c r="I103" s="308">
        <f t="shared" ca="1" si="29"/>
        <v>0</v>
      </c>
      <c r="J103" s="308">
        <f t="shared" ca="1" si="30"/>
        <v>0</v>
      </c>
      <c r="K103" s="309">
        <f t="shared" ca="1" si="31"/>
        <v>0</v>
      </c>
      <c r="L103" s="289"/>
      <c r="M103" s="289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 ht="14.4">
      <c r="A104" s="283"/>
      <c r="B104" s="485">
        <v>1</v>
      </c>
      <c r="C104" s="486" t="s">
        <v>597</v>
      </c>
      <c r="D104" s="305" t="str">
        <f ca="1">IF(ISERROR(OFFSET('HARGA SATUAN'!$D$6,MATCH(RAB!C104,'HARGA SATUAN'!$C$7:$C$1504,0),0)),"",OFFSET('HARGA SATUAN'!$D$6,MATCH(RAB!C104,'HARGA SATUAN'!$C$7:$C$1504,0),0))</f>
        <v>HDW</v>
      </c>
      <c r="E104" s="306" t="str">
        <f ca="1">IF(B104="+","Unit",IF(ISERROR(OFFSET('HARGA SATUAN'!$E$6,MATCH(RAB!C104,'HARGA SATUAN'!$C$7:$C$1504,0),0)),"",OFFSET('HARGA SATUAN'!$E$6,MATCH(RAB!C104,'HARGA SATUAN'!$C$7:$C$1504,0),0)))</f>
        <v>Bh</v>
      </c>
      <c r="F104" s="487">
        <f>F103*1</f>
        <v>2</v>
      </c>
      <c r="G104" s="307">
        <f ca="1">IF(ISERROR(OFFSET('HARGA SATUAN'!$I$6,MATCH(RAB!C104,'HARGA SATUAN'!$C$7:$C$1504,0),0)),0,OFFSET('HARGA SATUAN'!$I$6,MATCH(RAB!C104,'HARGA SATUAN'!$C$7:$C$1504,0),0))</f>
        <v>120900</v>
      </c>
      <c r="H104" s="308">
        <f t="shared" ca="1" si="28"/>
        <v>0</v>
      </c>
      <c r="I104" s="308">
        <f t="shared" ca="1" si="29"/>
        <v>241800</v>
      </c>
      <c r="J104" s="308">
        <f t="shared" ca="1" si="30"/>
        <v>0</v>
      </c>
      <c r="K104" s="309">
        <f t="shared" ca="1" si="31"/>
        <v>241800</v>
      </c>
      <c r="L104" s="289"/>
      <c r="M104" s="289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 ht="14.4">
      <c r="A105" s="283"/>
      <c r="B105" s="485">
        <v>2</v>
      </c>
      <c r="C105" s="486" t="s">
        <v>261</v>
      </c>
      <c r="D105" s="305" t="str">
        <f ca="1">IF(ISERROR(OFFSET('HARGA SATUAN'!$D$6,MATCH(RAB!C105,'HARGA SATUAN'!$C$7:$C$1504,0),0)),"",OFFSET('HARGA SATUAN'!$D$6,MATCH(RAB!C105,'HARGA SATUAN'!$C$7:$C$1504,0),0))</f>
        <v>HDW</v>
      </c>
      <c r="E105" s="306" t="str">
        <f ca="1">IF(B105="+","Unit",IF(ISERROR(OFFSET('HARGA SATUAN'!$E$6,MATCH(RAB!C105,'HARGA SATUAN'!$C$7:$C$1504,0),0)),"",OFFSET('HARGA SATUAN'!$E$6,MATCH(RAB!C105,'HARGA SATUAN'!$C$7:$C$1504,0),0)))</f>
        <v>Bh</v>
      </c>
      <c r="F105" s="487">
        <f>F103*1</f>
        <v>2</v>
      </c>
      <c r="G105" s="307">
        <f ca="1">IF(ISERROR(OFFSET('HARGA SATUAN'!$I$6,MATCH(RAB!C105,'HARGA SATUAN'!$C$7:$C$1504,0),0)),0,OFFSET('HARGA SATUAN'!$I$6,MATCH(RAB!C105,'HARGA SATUAN'!$C$7:$C$1504,0),0))</f>
        <v>135800</v>
      </c>
      <c r="H105" s="308">
        <f t="shared" ca="1" si="28"/>
        <v>0</v>
      </c>
      <c r="I105" s="308">
        <f t="shared" ca="1" si="29"/>
        <v>271600</v>
      </c>
      <c r="J105" s="308">
        <f t="shared" ca="1" si="30"/>
        <v>0</v>
      </c>
      <c r="K105" s="309">
        <f t="shared" ca="1" si="31"/>
        <v>271600</v>
      </c>
      <c r="L105" s="289"/>
      <c r="M105" s="289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 ht="14.4">
      <c r="A106" s="283"/>
      <c r="B106" s="485">
        <v>3</v>
      </c>
      <c r="C106" s="486" t="s">
        <v>214</v>
      </c>
      <c r="D106" s="305" t="str">
        <f ca="1">IF(ISERROR(OFFSET('HARGA SATUAN'!$D$6,MATCH(RAB!C106,'HARGA SATUAN'!$C$7:$C$1504,0),0)),"",OFFSET('HARGA SATUAN'!$D$6,MATCH(RAB!C106,'HARGA SATUAN'!$C$7:$C$1504,0),0))</f>
        <v>HDW</v>
      </c>
      <c r="E106" s="306" t="str">
        <f ca="1">IF(B106="+","Unit",IF(ISERROR(OFFSET('HARGA SATUAN'!$E$6,MATCH(RAB!C106,'HARGA SATUAN'!$C$7:$C$1504,0),0)),"",OFFSET('HARGA SATUAN'!$E$6,MATCH(RAB!C106,'HARGA SATUAN'!$C$7:$C$1504,0),0)))</f>
        <v>Bh</v>
      </c>
      <c r="F106" s="487">
        <f>F103*1</f>
        <v>2</v>
      </c>
      <c r="G106" s="307">
        <f ca="1">IF(ISERROR(OFFSET('HARGA SATUAN'!$I$6,MATCH(RAB!C106,'HARGA SATUAN'!$C$7:$C$1504,0),0)),0,OFFSET('HARGA SATUAN'!$I$6,MATCH(RAB!C106,'HARGA SATUAN'!$C$7:$C$1504,0),0))</f>
        <v>4500</v>
      </c>
      <c r="H106" s="308">
        <f t="shared" ca="1" si="28"/>
        <v>0</v>
      </c>
      <c r="I106" s="308">
        <f t="shared" ca="1" si="29"/>
        <v>9000</v>
      </c>
      <c r="J106" s="308">
        <f t="shared" ca="1" si="30"/>
        <v>0</v>
      </c>
      <c r="K106" s="309">
        <f t="shared" ca="1" si="31"/>
        <v>9000</v>
      </c>
      <c r="L106" s="289"/>
      <c r="M106" s="289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 ht="14.4">
      <c r="A107" s="283"/>
      <c r="B107" s="485">
        <v>4</v>
      </c>
      <c r="C107" s="486" t="s">
        <v>768</v>
      </c>
      <c r="D107" s="305" t="str">
        <f ca="1">IF(ISERROR(OFFSET('HARGA SATUAN'!$D$6,MATCH(RAB!C107,'HARGA SATUAN'!$C$7:$C$1504,0),0)),"",OFFSET('HARGA SATUAN'!$D$6,MATCH(RAB!C107,'HARGA SATUAN'!$C$7:$C$1504,0),0))</f>
        <v>JASA</v>
      </c>
      <c r="E107" s="306" t="str">
        <f ca="1">IF(B107="+","Unit",IF(ISERROR(OFFSET('HARGA SATUAN'!$E$6,MATCH(RAB!C107,'HARGA SATUAN'!$C$7:$C$1504,0),0)),"",OFFSET('HARGA SATUAN'!$E$6,MATCH(RAB!C107,'HARGA SATUAN'!$C$7:$C$1504,0),0)))</f>
        <v>Unit</v>
      </c>
      <c r="F107" s="487">
        <f>F103*1</f>
        <v>2</v>
      </c>
      <c r="G107" s="307">
        <f ca="1">IF(ISERROR(OFFSET('HARGA SATUAN'!$I$6,MATCH(RAB!C107,'HARGA SATUAN'!$C$7:$C$1504,0),0)),0,OFFSET('HARGA SATUAN'!$I$6,MATCH(RAB!C107,'HARGA SATUAN'!$C$7:$C$1504,0),0))</f>
        <v>55500</v>
      </c>
      <c r="H107" s="308">
        <f t="shared" ca="1" si="28"/>
        <v>0</v>
      </c>
      <c r="I107" s="308">
        <f t="shared" ca="1" si="29"/>
        <v>0</v>
      </c>
      <c r="J107" s="308">
        <f t="shared" ca="1" si="30"/>
        <v>111000</v>
      </c>
      <c r="K107" s="309">
        <f t="shared" ca="1" si="31"/>
        <v>111000</v>
      </c>
      <c r="L107" s="289"/>
      <c r="M107" s="289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 ht="14.4">
      <c r="A108" s="283"/>
      <c r="B108" s="485"/>
      <c r="C108" s="486"/>
      <c r="D108" s="305"/>
      <c r="E108" s="306"/>
      <c r="F108" s="487"/>
      <c r="G108" s="307"/>
      <c r="H108" s="308"/>
      <c r="I108" s="308"/>
      <c r="J108" s="308"/>
      <c r="K108" s="309"/>
      <c r="L108" s="289"/>
      <c r="M108" s="289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 ht="14.4">
      <c r="A109" s="283"/>
      <c r="B109" s="485" t="s">
        <v>1035</v>
      </c>
      <c r="C109" s="486" t="s">
        <v>1637</v>
      </c>
      <c r="D109" s="305" t="str">
        <f ca="1">IF(ISERROR(OFFSET('HARGA SATUAN'!$D$6,MATCH(RAB!C109,'HARGA SATUAN'!$C$7:$C$1504,0),0)),"",OFFSET('HARGA SATUAN'!$D$6,MATCH(RAB!C109,'HARGA SATUAN'!$C$7:$C$1504,0),0))</f>
        <v/>
      </c>
      <c r="E109" s="306" t="str">
        <f ca="1">IF(B109="+","Unit",IF(ISERROR(OFFSET('HARGA SATUAN'!$E$6,MATCH(RAB!C109,'HARGA SATUAN'!$C$7:$C$1504,0),0)),"",OFFSET('HARGA SATUAN'!$E$6,MATCH(RAB!C109,'HARGA SATUAN'!$C$7:$C$1504,0),0)))</f>
        <v>Unit</v>
      </c>
      <c r="F109" s="487">
        <v>4</v>
      </c>
      <c r="G109" s="307">
        <f ca="1">IF(ISERROR(OFFSET('HARGA SATUAN'!$I$6,MATCH(RAB!C109,'HARGA SATUAN'!$C$7:$C$1504,0),0)),0,OFFSET('HARGA SATUAN'!$I$6,MATCH(RAB!C109,'HARGA SATUAN'!$C$7:$C$1504,0),0))</f>
        <v>0</v>
      </c>
      <c r="H109" s="308">
        <f t="shared" ref="H109:H131" ca="1" si="32">IF(OR(D109="MDU",D109="MDU-KD"),(IF($O$3="RAB NON MDU","PLN KD",G109*F109)),0)</f>
        <v>0</v>
      </c>
      <c r="I109" s="308">
        <f t="shared" ref="I109:I131" ca="1" si="33">IF(D109="HDW",G109*F109,0)</f>
        <v>0</v>
      </c>
      <c r="J109" s="308">
        <f t="shared" ref="J109:J131" ca="1" si="34">IF(D109="JASA",G109*F109,0)</f>
        <v>0</v>
      </c>
      <c r="K109" s="309">
        <f t="shared" ref="K109:K131" ca="1" si="35">SUM(H109:J109)</f>
        <v>0</v>
      </c>
      <c r="L109" s="289"/>
      <c r="M109" s="289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 ht="14.4">
      <c r="A110" s="283"/>
      <c r="B110" s="485">
        <v>1</v>
      </c>
      <c r="C110" s="486" t="s">
        <v>29</v>
      </c>
      <c r="D110" s="305" t="str">
        <f ca="1">IF(ISERROR(OFFSET('HARGA SATUAN'!$D$6,MATCH(RAB!C110,'HARGA SATUAN'!$C$7:$C$1504,0),0)),"",OFFSET('HARGA SATUAN'!$D$6,MATCH(RAB!C110,'HARGA SATUAN'!$C$7:$C$1504,0),0))</f>
        <v>HDW</v>
      </c>
      <c r="E110" s="306" t="str">
        <f ca="1">IF(B110="+","Unit",IF(ISERROR(OFFSET('HARGA SATUAN'!$E$6,MATCH(RAB!C110,'HARGA SATUAN'!$C$7:$C$1504,0),0)),"",OFFSET('HARGA SATUAN'!$E$6,MATCH(RAB!C110,'HARGA SATUAN'!$C$7:$C$1504,0),0)))</f>
        <v>Bh</v>
      </c>
      <c r="F110" s="487">
        <f>F109*1</f>
        <v>4</v>
      </c>
      <c r="G110" s="307">
        <f ca="1">IF(ISERROR(OFFSET('HARGA SATUAN'!$I$6,MATCH(RAB!C110,'HARGA SATUAN'!$C$7:$C$1504,0),0)),0,OFFSET('HARGA SATUAN'!$I$6,MATCH(RAB!C110,'HARGA SATUAN'!$C$7:$C$1504,0),0))</f>
        <v>185200</v>
      </c>
      <c r="H110" s="308">
        <f t="shared" ca="1" si="32"/>
        <v>0</v>
      </c>
      <c r="I110" s="308">
        <f t="shared" ca="1" si="33"/>
        <v>740800</v>
      </c>
      <c r="J110" s="308">
        <f t="shared" ca="1" si="34"/>
        <v>0</v>
      </c>
      <c r="K110" s="309">
        <f t="shared" ca="1" si="35"/>
        <v>740800</v>
      </c>
      <c r="L110" s="289"/>
      <c r="M110" s="289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 ht="14.4">
      <c r="A111" s="283"/>
      <c r="B111" s="485">
        <v>2</v>
      </c>
      <c r="C111" s="486" t="s">
        <v>30</v>
      </c>
      <c r="D111" s="305" t="str">
        <f ca="1">IF(ISERROR(OFFSET('HARGA SATUAN'!$D$6,MATCH(RAB!C111,'HARGA SATUAN'!$C$7:$C$1504,0),0)),"",OFFSET('HARGA SATUAN'!$D$6,MATCH(RAB!C111,'HARGA SATUAN'!$C$7:$C$1504,0),0))</f>
        <v>HDW</v>
      </c>
      <c r="E111" s="306" t="str">
        <f ca="1">IF(B111="+","Unit",IF(ISERROR(OFFSET('HARGA SATUAN'!$E$6,MATCH(RAB!C111,'HARGA SATUAN'!$C$7:$C$1504,0),0)),"",OFFSET('HARGA SATUAN'!$E$6,MATCH(RAB!C111,'HARGA SATUAN'!$C$7:$C$1504,0),0)))</f>
        <v>Bh</v>
      </c>
      <c r="F111" s="487">
        <f>F109*1</f>
        <v>4</v>
      </c>
      <c r="G111" s="307">
        <f ca="1">IF(ISERROR(OFFSET('HARGA SATUAN'!$I$6,MATCH(RAB!C111,'HARGA SATUAN'!$C$7:$C$1504,0),0)),0,OFFSET('HARGA SATUAN'!$I$6,MATCH(RAB!C111,'HARGA SATUAN'!$C$7:$C$1504,0),0))</f>
        <v>47459</v>
      </c>
      <c r="H111" s="308">
        <f t="shared" ca="1" si="32"/>
        <v>0</v>
      </c>
      <c r="I111" s="308">
        <f t="shared" ca="1" si="33"/>
        <v>189836</v>
      </c>
      <c r="J111" s="308">
        <f t="shared" ca="1" si="34"/>
        <v>0</v>
      </c>
      <c r="K111" s="309">
        <f t="shared" ca="1" si="35"/>
        <v>189836</v>
      </c>
      <c r="L111" s="289"/>
      <c r="M111" s="289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 ht="14.4">
      <c r="A112" s="283"/>
      <c r="B112" s="485">
        <v>3</v>
      </c>
      <c r="C112" s="486" t="s">
        <v>31</v>
      </c>
      <c r="D112" s="305" t="str">
        <f ca="1">IF(ISERROR(OFFSET('HARGA SATUAN'!$D$6,MATCH(RAB!C112,'HARGA SATUAN'!$C$7:$C$1504,0),0)),"",OFFSET('HARGA SATUAN'!$D$6,MATCH(RAB!C112,'HARGA SATUAN'!$C$7:$C$1504,0),0))</f>
        <v>HDW</v>
      </c>
      <c r="E112" s="306" t="str">
        <f ca="1">IF(B112="+","Unit",IF(ISERROR(OFFSET('HARGA SATUAN'!$E$6,MATCH(RAB!C112,'HARGA SATUAN'!$C$7:$C$1504,0),0)),"",OFFSET('HARGA SATUAN'!$E$6,MATCH(RAB!C112,'HARGA SATUAN'!$C$7:$C$1504,0),0)))</f>
        <v>Bh</v>
      </c>
      <c r="F112" s="487">
        <f>F109*1</f>
        <v>4</v>
      </c>
      <c r="G112" s="307">
        <f ca="1">IF(ISERROR(OFFSET('HARGA SATUAN'!$I$6,MATCH(RAB!C112,'HARGA SATUAN'!$C$7:$C$1504,0),0)),0,OFFSET('HARGA SATUAN'!$I$6,MATCH(RAB!C112,'HARGA SATUAN'!$C$7:$C$1504,0),0))</f>
        <v>4880</v>
      </c>
      <c r="H112" s="308">
        <f t="shared" ca="1" si="32"/>
        <v>0</v>
      </c>
      <c r="I112" s="308">
        <f t="shared" ca="1" si="33"/>
        <v>19520</v>
      </c>
      <c r="J112" s="308">
        <f t="shared" ca="1" si="34"/>
        <v>0</v>
      </c>
      <c r="K112" s="309">
        <f t="shared" ca="1" si="35"/>
        <v>19520</v>
      </c>
      <c r="L112" s="289"/>
      <c r="M112" s="289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 ht="14.4">
      <c r="A113" s="283"/>
      <c r="B113" s="485">
        <v>4</v>
      </c>
      <c r="C113" s="486" t="s">
        <v>32</v>
      </c>
      <c r="D113" s="305" t="str">
        <f ca="1">IF(ISERROR(OFFSET('HARGA SATUAN'!$D$6,MATCH(RAB!C113,'HARGA SATUAN'!$C$7:$C$1504,0),0)),"",OFFSET('HARGA SATUAN'!$D$6,MATCH(RAB!C113,'HARGA SATUAN'!$C$7:$C$1504,0),0))</f>
        <v>HDW</v>
      </c>
      <c r="E113" s="306" t="str">
        <f ca="1">IF(B113="+","Unit",IF(ISERROR(OFFSET('HARGA SATUAN'!$E$6,MATCH(RAB!C113,'HARGA SATUAN'!$C$7:$C$1504,0),0)),"",OFFSET('HARGA SATUAN'!$E$6,MATCH(RAB!C113,'HARGA SATUAN'!$C$7:$C$1504,0),0)))</f>
        <v>Mtr</v>
      </c>
      <c r="F113" s="487">
        <f>F109*10</f>
        <v>40</v>
      </c>
      <c r="G113" s="307">
        <f ca="1">IF(ISERROR(OFFSET('HARGA SATUAN'!$I$6,MATCH(RAB!C113,'HARGA SATUAN'!$C$7:$C$1504,0),0)),0,OFFSET('HARGA SATUAN'!$I$6,MATCH(RAB!C113,'HARGA SATUAN'!$C$7:$C$1504,0),0))</f>
        <v>30000</v>
      </c>
      <c r="H113" s="308">
        <f t="shared" ca="1" si="32"/>
        <v>0</v>
      </c>
      <c r="I113" s="308">
        <f t="shared" ca="1" si="33"/>
        <v>1200000</v>
      </c>
      <c r="J113" s="308">
        <f t="shared" ca="1" si="34"/>
        <v>0</v>
      </c>
      <c r="K113" s="309">
        <f t="shared" ca="1" si="35"/>
        <v>1200000</v>
      </c>
      <c r="L113" s="289"/>
      <c r="M113" s="289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 ht="14.4">
      <c r="A114" s="283"/>
      <c r="B114" s="485">
        <v>5</v>
      </c>
      <c r="C114" s="486" t="s">
        <v>33</v>
      </c>
      <c r="D114" s="305" t="str">
        <f ca="1">IF(ISERROR(OFFSET('HARGA SATUAN'!$D$6,MATCH(RAB!C114,'HARGA SATUAN'!$C$7:$C$1504,0),0)),"",OFFSET('HARGA SATUAN'!$D$6,MATCH(RAB!C114,'HARGA SATUAN'!$C$7:$C$1504,0),0))</f>
        <v>HDW</v>
      </c>
      <c r="E114" s="306" t="str">
        <f ca="1">IF(B114="+","Unit",IF(ISERROR(OFFSET('HARGA SATUAN'!$E$6,MATCH(RAB!C114,'HARGA SATUAN'!$C$7:$C$1504,0),0)),"",OFFSET('HARGA SATUAN'!$E$6,MATCH(RAB!C114,'HARGA SATUAN'!$C$7:$C$1504,0),0)))</f>
        <v>Bh</v>
      </c>
      <c r="F114" s="487">
        <f>F109*2</f>
        <v>8</v>
      </c>
      <c r="G114" s="307">
        <f ca="1">IF(ISERROR(OFFSET('HARGA SATUAN'!$I$6,MATCH(RAB!C114,'HARGA SATUAN'!$C$7:$C$1504,0),0)),0,OFFSET('HARGA SATUAN'!$I$6,MATCH(RAB!C114,'HARGA SATUAN'!$C$7:$C$1504,0),0))</f>
        <v>9500</v>
      </c>
      <c r="H114" s="308">
        <f t="shared" ca="1" si="32"/>
        <v>0</v>
      </c>
      <c r="I114" s="308">
        <f t="shared" ca="1" si="33"/>
        <v>76000</v>
      </c>
      <c r="J114" s="308">
        <f t="shared" ca="1" si="34"/>
        <v>0</v>
      </c>
      <c r="K114" s="309">
        <f t="shared" ca="1" si="35"/>
        <v>76000</v>
      </c>
      <c r="L114" s="289"/>
      <c r="M114" s="289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 ht="14.4">
      <c r="A115" s="283"/>
      <c r="B115" s="485">
        <v>6</v>
      </c>
      <c r="C115" s="486" t="s">
        <v>34</v>
      </c>
      <c r="D115" s="305" t="str">
        <f ca="1">IF(ISERROR(OFFSET('HARGA SATUAN'!$D$6,MATCH(RAB!C115,'HARGA SATUAN'!$C$7:$C$1504,0),0)),"",OFFSET('HARGA SATUAN'!$D$6,MATCH(RAB!C115,'HARGA SATUAN'!$C$7:$C$1504,0),0))</f>
        <v>HDW</v>
      </c>
      <c r="E115" s="306" t="str">
        <f ca="1">IF(B115="+","Unit",IF(ISERROR(OFFSET('HARGA SATUAN'!$E$6,MATCH(RAB!C115,'HARGA SATUAN'!$C$7:$C$1504,0),0)),"",OFFSET('HARGA SATUAN'!$E$6,MATCH(RAB!C115,'HARGA SATUAN'!$C$7:$C$1504,0),0)))</f>
        <v>Bh</v>
      </c>
      <c r="F115" s="487">
        <f>F109*5.5</f>
        <v>22</v>
      </c>
      <c r="G115" s="307">
        <f ca="1">IF(ISERROR(OFFSET('HARGA SATUAN'!$I$6,MATCH(RAB!C115,'HARGA SATUAN'!$C$7:$C$1504,0),0)),0,OFFSET('HARGA SATUAN'!$I$6,MATCH(RAB!C115,'HARGA SATUAN'!$C$7:$C$1504,0),0))</f>
        <v>6100</v>
      </c>
      <c r="H115" s="308">
        <f t="shared" ca="1" si="32"/>
        <v>0</v>
      </c>
      <c r="I115" s="308">
        <f t="shared" ca="1" si="33"/>
        <v>134200</v>
      </c>
      <c r="J115" s="308">
        <f t="shared" ca="1" si="34"/>
        <v>0</v>
      </c>
      <c r="K115" s="309">
        <f t="shared" ca="1" si="35"/>
        <v>134200</v>
      </c>
      <c r="L115" s="289"/>
      <c r="M115" s="289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 ht="14.4">
      <c r="A116" s="283"/>
      <c r="B116" s="485">
        <v>7</v>
      </c>
      <c r="C116" s="486" t="s">
        <v>35</v>
      </c>
      <c r="D116" s="305" t="str">
        <f ca="1">IF(ISERROR(OFFSET('HARGA SATUAN'!$D$6,MATCH(RAB!C116,'HARGA SATUAN'!$C$7:$C$1504,0),0)),"",OFFSET('HARGA SATUAN'!$D$6,MATCH(RAB!C116,'HARGA SATUAN'!$C$7:$C$1504,0),0))</f>
        <v>HDW</v>
      </c>
      <c r="E116" s="306" t="str">
        <f ca="1">IF(B116="+","Unit",IF(ISERROR(OFFSET('HARGA SATUAN'!$E$6,MATCH(RAB!C116,'HARGA SATUAN'!$C$7:$C$1504,0),0)),"",OFFSET('HARGA SATUAN'!$E$6,MATCH(RAB!C116,'HARGA SATUAN'!$C$7:$C$1504,0),0)))</f>
        <v>Bh</v>
      </c>
      <c r="F116" s="487">
        <f>F109*6</f>
        <v>24</v>
      </c>
      <c r="G116" s="307">
        <f ca="1">IF(ISERROR(OFFSET('HARGA SATUAN'!$I$6,MATCH(RAB!C116,'HARGA SATUAN'!$C$7:$C$1504,0),0)),0,OFFSET('HARGA SATUAN'!$I$6,MATCH(RAB!C116,'HARGA SATUAN'!$C$7:$C$1504,0),0))</f>
        <v>2300</v>
      </c>
      <c r="H116" s="308">
        <f t="shared" ca="1" si="32"/>
        <v>0</v>
      </c>
      <c r="I116" s="308">
        <f t="shared" ca="1" si="33"/>
        <v>55200</v>
      </c>
      <c r="J116" s="308">
        <f t="shared" ca="1" si="34"/>
        <v>0</v>
      </c>
      <c r="K116" s="309">
        <f t="shared" ca="1" si="35"/>
        <v>55200</v>
      </c>
      <c r="L116" s="289"/>
      <c r="M116" s="289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 ht="14.4">
      <c r="A117" s="283"/>
      <c r="B117" s="485">
        <v>8</v>
      </c>
      <c r="C117" s="486" t="s">
        <v>1654</v>
      </c>
      <c r="D117" s="305" t="str">
        <f ca="1">IF(ISERROR(OFFSET('HARGA SATUAN'!$D$6,MATCH(RAB!C117,'HARGA SATUAN'!$C$7:$C$1504,0),0)),"",OFFSET('HARGA SATUAN'!$D$6,MATCH(RAB!C117,'HARGA SATUAN'!$C$7:$C$1504,0),0))</f>
        <v>HDW</v>
      </c>
      <c r="E117" s="306" t="str">
        <f ca="1">IF(B117="+","Unit",IF(ISERROR(OFFSET('HARGA SATUAN'!$E$6,MATCH(RAB!C117,'HARGA SATUAN'!$C$7:$C$1504,0),0)),"",OFFSET('HARGA SATUAN'!$E$6,MATCH(RAB!C117,'HARGA SATUAN'!$C$7:$C$1504,0),0)))</f>
        <v>Mtr</v>
      </c>
      <c r="F117" s="487">
        <f>F109*4.8</f>
        <v>19.2</v>
      </c>
      <c r="G117" s="307">
        <f ca="1">IF(ISERROR(OFFSET('HARGA SATUAN'!$I$6,MATCH(RAB!C117,'HARGA SATUAN'!$C$7:$C$1504,0),0)),0,OFFSET('HARGA SATUAN'!$I$6,MATCH(RAB!C117,'HARGA SATUAN'!$C$7:$C$1504,0),0))</f>
        <v>23310</v>
      </c>
      <c r="H117" s="308">
        <f t="shared" ca="1" si="32"/>
        <v>0</v>
      </c>
      <c r="I117" s="308">
        <f t="shared" ca="1" si="33"/>
        <v>447552</v>
      </c>
      <c r="J117" s="308">
        <f t="shared" ca="1" si="34"/>
        <v>0</v>
      </c>
      <c r="K117" s="309">
        <f t="shared" ca="1" si="35"/>
        <v>447552</v>
      </c>
      <c r="L117" s="289"/>
      <c r="M117" s="289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 s="315" customFormat="1" ht="14.4">
      <c r="A118" s="283"/>
      <c r="B118" s="485">
        <v>9</v>
      </c>
      <c r="C118" s="486" t="s">
        <v>736</v>
      </c>
      <c r="D118" s="305" t="str">
        <f ca="1">IF(ISERROR(OFFSET('HARGA SATUAN'!$D$6,MATCH(RAB!C118,'HARGA SATUAN'!$C$7:$C$1504,0),0)),"",OFFSET('HARGA SATUAN'!$D$6,MATCH(RAB!C118,'HARGA SATUAN'!$C$7:$C$1504,0),0))</f>
        <v>JASA</v>
      </c>
      <c r="E118" s="306" t="str">
        <f ca="1">IF(B118="+","Unit",IF(ISERROR(OFFSET('HARGA SATUAN'!$E$6,MATCH(RAB!C118,'HARGA SATUAN'!$C$7:$C$1504,0),0)),"",OFFSET('HARGA SATUAN'!$E$6,MATCH(RAB!C118,'HARGA SATUAN'!$C$7:$C$1504,0),0)))</f>
        <v>Unit</v>
      </c>
      <c r="F118" s="487">
        <f>F109*1</f>
        <v>4</v>
      </c>
      <c r="G118" s="307">
        <f ca="1">IF(ISERROR(OFFSET('HARGA SATUAN'!$I$6,MATCH(RAB!C118,'HARGA SATUAN'!$C$7:$C$1504,0),0)),0,OFFSET('HARGA SATUAN'!$I$6,MATCH(RAB!C118,'HARGA SATUAN'!$C$7:$C$1504,0),0))</f>
        <v>65400</v>
      </c>
      <c r="H118" s="308">
        <f t="shared" ca="1" si="32"/>
        <v>0</v>
      </c>
      <c r="I118" s="308">
        <f t="shared" ca="1" si="33"/>
        <v>0</v>
      </c>
      <c r="J118" s="308">
        <f t="shared" ca="1" si="34"/>
        <v>261600</v>
      </c>
      <c r="K118" s="309">
        <f t="shared" ca="1" si="35"/>
        <v>261600</v>
      </c>
      <c r="L118" s="289"/>
      <c r="M118" s="289"/>
      <c r="N118" s="314"/>
      <c r="O118" s="310"/>
      <c r="P118" s="310"/>
      <c r="Q118" s="291"/>
      <c r="R118" s="283"/>
      <c r="S118" s="311"/>
      <c r="T118" s="288"/>
      <c r="U118" s="288"/>
      <c r="V118" s="288"/>
    </row>
    <row r="119" spans="1:22" s="315" customFormat="1" ht="14.4">
      <c r="A119" s="283"/>
      <c r="B119" s="485">
        <v>10</v>
      </c>
      <c r="C119" s="486" t="s">
        <v>1613</v>
      </c>
      <c r="D119" s="305" t="str">
        <f ca="1">IF(ISERROR(OFFSET('HARGA SATUAN'!$D$6,MATCH(RAB!C119,'HARGA SATUAN'!$C$7:$C$1504,0),0)),"",OFFSET('HARGA SATUAN'!$D$6,MATCH(RAB!C119,'HARGA SATUAN'!$C$7:$C$1504,0),0))</f>
        <v>HDW</v>
      </c>
      <c r="E119" s="306" t="str">
        <f ca="1">IF(B119="+","Unit",IF(ISERROR(OFFSET('HARGA SATUAN'!$E$6,MATCH(RAB!C119,'HARGA SATUAN'!$C$7:$C$1504,0),0)),"",OFFSET('HARGA SATUAN'!$E$6,MATCH(RAB!C119,'HARGA SATUAN'!$C$7:$C$1504,0),0)))</f>
        <v>Bh</v>
      </c>
      <c r="F119" s="487"/>
      <c r="G119" s="307">
        <f ca="1">IF(ISERROR(OFFSET('HARGA SATUAN'!$I$6,MATCH(RAB!C119,'HARGA SATUAN'!$C$7:$C$1504,0),0)),0,OFFSET('HARGA SATUAN'!$I$6,MATCH(RAB!C119,'HARGA SATUAN'!$C$7:$C$1504,0),0))</f>
        <v>49000</v>
      </c>
      <c r="H119" s="308">
        <f t="shared" ca="1" si="32"/>
        <v>0</v>
      </c>
      <c r="I119" s="308">
        <f t="shared" ca="1" si="33"/>
        <v>0</v>
      </c>
      <c r="J119" s="308">
        <f t="shared" ca="1" si="34"/>
        <v>0</v>
      </c>
      <c r="K119" s="309">
        <f t="shared" ca="1" si="35"/>
        <v>0</v>
      </c>
      <c r="L119" s="289"/>
      <c r="M119" s="289"/>
      <c r="N119" s="314"/>
      <c r="O119" s="310"/>
      <c r="P119" s="310"/>
      <c r="Q119" s="291"/>
      <c r="R119" s="283"/>
      <c r="S119" s="311"/>
      <c r="T119" s="288"/>
      <c r="U119" s="288"/>
      <c r="V119" s="288"/>
    </row>
    <row r="120" spans="1:22" s="315" customFormat="1" ht="14.4">
      <c r="A120" s="283"/>
      <c r="B120" s="485"/>
      <c r="C120" s="486"/>
      <c r="D120" s="305" t="str">
        <f ca="1">IF(ISERROR(OFFSET('HARGA SATUAN'!$D$6,MATCH(RAB!C120,'HARGA SATUAN'!$C$7:$C$1504,0),0)),"",OFFSET('HARGA SATUAN'!$D$6,MATCH(RAB!C120,'HARGA SATUAN'!$C$7:$C$1504,0),0))</f>
        <v/>
      </c>
      <c r="E120" s="306" t="str">
        <f ca="1">IF(B120="+","Unit",IF(ISERROR(OFFSET('HARGA SATUAN'!$E$6,MATCH(RAB!C120,'HARGA SATUAN'!$C$7:$C$1504,0),0)),"",OFFSET('HARGA SATUAN'!$E$6,MATCH(RAB!C120,'HARGA SATUAN'!$C$7:$C$1504,0),0)))</f>
        <v/>
      </c>
      <c r="F120" s="487"/>
      <c r="G120" s="307">
        <f ca="1">IF(ISERROR(OFFSET('HARGA SATUAN'!$I$6,MATCH(RAB!C120,'HARGA SATUAN'!$C$7:$C$1504,0),0)),0,OFFSET('HARGA SATUAN'!$I$6,MATCH(RAB!C120,'HARGA SATUAN'!$C$7:$C$1504,0),0))</f>
        <v>0</v>
      </c>
      <c r="H120" s="308">
        <f t="shared" ca="1" si="32"/>
        <v>0</v>
      </c>
      <c r="I120" s="308">
        <f t="shared" ca="1" si="33"/>
        <v>0</v>
      </c>
      <c r="J120" s="308">
        <f t="shared" ca="1" si="34"/>
        <v>0</v>
      </c>
      <c r="K120" s="309">
        <f t="shared" ca="1" si="35"/>
        <v>0</v>
      </c>
      <c r="L120" s="289"/>
      <c r="M120" s="289"/>
      <c r="N120" s="314"/>
      <c r="O120" s="310"/>
      <c r="P120" s="310"/>
      <c r="Q120" s="291"/>
      <c r="R120" s="283"/>
      <c r="S120" s="311"/>
      <c r="T120" s="288"/>
      <c r="U120" s="288"/>
      <c r="V120" s="288"/>
    </row>
    <row r="121" spans="1:22" s="315" customFormat="1" ht="14.4">
      <c r="A121" s="283"/>
      <c r="B121" s="485" t="s">
        <v>1035</v>
      </c>
      <c r="C121" s="486" t="s">
        <v>1635</v>
      </c>
      <c r="D121" s="305" t="str">
        <f ca="1">IF(ISERROR(OFFSET('HARGA SATUAN'!$D$6,MATCH(RAB!C121,'HARGA SATUAN'!$C$7:$C$1504,0),0)),"",OFFSET('HARGA SATUAN'!$D$6,MATCH(RAB!C121,'HARGA SATUAN'!$C$7:$C$1504,0),0))</f>
        <v/>
      </c>
      <c r="E121" s="306" t="str">
        <f ca="1">IF(B121="+","Unit",IF(ISERROR(OFFSET('HARGA SATUAN'!$E$6,MATCH(RAB!C121,'HARGA SATUAN'!$C$7:$C$1504,0),0)),"",OFFSET('HARGA SATUAN'!$E$6,MATCH(RAB!C121,'HARGA SATUAN'!$C$7:$C$1504,0),0)))</f>
        <v>Unit</v>
      </c>
      <c r="F121" s="487">
        <v>14</v>
      </c>
      <c r="G121" s="307">
        <f ca="1">IF(ISERROR(OFFSET('HARGA SATUAN'!$I$6,MATCH(RAB!C121,'HARGA SATUAN'!$C$7:$C$1504,0),0)),0,OFFSET('HARGA SATUAN'!$I$6,MATCH(RAB!C121,'HARGA SATUAN'!$C$7:$C$1504,0),0))</f>
        <v>0</v>
      </c>
      <c r="H121" s="308">
        <f t="shared" ca="1" si="32"/>
        <v>0</v>
      </c>
      <c r="I121" s="308">
        <f t="shared" ca="1" si="33"/>
        <v>0</v>
      </c>
      <c r="J121" s="308">
        <f t="shared" ca="1" si="34"/>
        <v>0</v>
      </c>
      <c r="K121" s="309">
        <f t="shared" ca="1" si="35"/>
        <v>0</v>
      </c>
      <c r="L121" s="289"/>
      <c r="M121" s="289"/>
      <c r="N121" s="314"/>
      <c r="O121" s="310"/>
      <c r="P121" s="310"/>
      <c r="Q121" s="291"/>
      <c r="R121" s="283"/>
      <c r="S121" s="311"/>
      <c r="T121" s="288"/>
      <c r="U121" s="288"/>
      <c r="V121" s="288"/>
    </row>
    <row r="122" spans="1:22" s="315" customFormat="1" ht="14.4">
      <c r="A122" s="283"/>
      <c r="B122" s="485">
        <v>1</v>
      </c>
      <c r="C122" s="486" t="s">
        <v>30</v>
      </c>
      <c r="D122" s="305" t="str">
        <f ca="1">IF(ISERROR(OFFSET('HARGA SATUAN'!$D$6,MATCH(RAB!C122,'HARGA SATUAN'!$C$7:$C$1504,0),0)),"",OFFSET('HARGA SATUAN'!$D$6,MATCH(RAB!C122,'HARGA SATUAN'!$C$7:$C$1504,0),0))</f>
        <v>HDW</v>
      </c>
      <c r="E122" s="306" t="str">
        <f ca="1">IF(B122="+","Unit",IF(ISERROR(OFFSET('HARGA SATUAN'!$E$6,MATCH(RAB!C122,'HARGA SATUAN'!$C$7:$C$1504,0),0)),"",OFFSET('HARGA SATUAN'!$E$6,MATCH(RAB!C122,'HARGA SATUAN'!$C$7:$C$1504,0),0)))</f>
        <v>Bh</v>
      </c>
      <c r="F122" s="487">
        <f>F121*1</f>
        <v>14</v>
      </c>
      <c r="G122" s="307">
        <f ca="1">IF(ISERROR(OFFSET('HARGA SATUAN'!$I$6,MATCH(RAB!C122,'HARGA SATUAN'!$C$7:$C$1504,0),0)),0,OFFSET('HARGA SATUAN'!$I$6,MATCH(RAB!C122,'HARGA SATUAN'!$C$7:$C$1504,0),0))</f>
        <v>47459</v>
      </c>
      <c r="H122" s="308">
        <f t="shared" ca="1" si="32"/>
        <v>0</v>
      </c>
      <c r="I122" s="308">
        <f t="shared" ca="1" si="33"/>
        <v>664426</v>
      </c>
      <c r="J122" s="308">
        <f t="shared" ca="1" si="34"/>
        <v>0</v>
      </c>
      <c r="K122" s="309">
        <f t="shared" ca="1" si="35"/>
        <v>664426</v>
      </c>
      <c r="L122" s="289"/>
      <c r="M122" s="289"/>
      <c r="N122" s="314"/>
      <c r="O122" s="310"/>
      <c r="P122" s="310"/>
      <c r="Q122" s="291"/>
      <c r="R122" s="283"/>
      <c r="S122" s="311"/>
      <c r="T122" s="288"/>
      <c r="U122" s="288"/>
      <c r="V122" s="288"/>
    </row>
    <row r="123" spans="1:22" s="315" customFormat="1" ht="14.4">
      <c r="A123" s="283"/>
      <c r="B123" s="485">
        <v>2</v>
      </c>
      <c r="C123" s="486" t="s">
        <v>32</v>
      </c>
      <c r="D123" s="305" t="str">
        <f ca="1">IF(ISERROR(OFFSET('HARGA SATUAN'!$D$6,MATCH(RAB!C123,'HARGA SATUAN'!$C$7:$C$1504,0),0)),"",OFFSET('HARGA SATUAN'!$D$6,MATCH(RAB!C123,'HARGA SATUAN'!$C$7:$C$1504,0),0))</f>
        <v>HDW</v>
      </c>
      <c r="E123" s="306" t="str">
        <f ca="1">IF(B123="+","Unit",IF(ISERROR(OFFSET('HARGA SATUAN'!$E$6,MATCH(RAB!C123,'HARGA SATUAN'!$C$7:$C$1504,0),0)),"",OFFSET('HARGA SATUAN'!$E$6,MATCH(RAB!C123,'HARGA SATUAN'!$C$7:$C$1504,0),0)))</f>
        <v>Mtr</v>
      </c>
      <c r="F123" s="487">
        <f>F121*0.8</f>
        <v>11.200000000000001</v>
      </c>
      <c r="G123" s="307">
        <f ca="1">IF(ISERROR(OFFSET('HARGA SATUAN'!$I$6,MATCH(RAB!C123,'HARGA SATUAN'!$C$7:$C$1504,0),0)),0,OFFSET('HARGA SATUAN'!$I$6,MATCH(RAB!C123,'HARGA SATUAN'!$C$7:$C$1504,0),0))</f>
        <v>30000</v>
      </c>
      <c r="H123" s="308">
        <f t="shared" ca="1" si="32"/>
        <v>0</v>
      </c>
      <c r="I123" s="308">
        <f t="shared" ca="1" si="33"/>
        <v>336000.00000000006</v>
      </c>
      <c r="J123" s="308">
        <f t="shared" ca="1" si="34"/>
        <v>0</v>
      </c>
      <c r="K123" s="309">
        <f t="shared" ca="1" si="35"/>
        <v>336000.00000000006</v>
      </c>
      <c r="L123" s="289"/>
      <c r="M123" s="289"/>
      <c r="N123" s="314"/>
      <c r="O123" s="310"/>
      <c r="P123" s="310"/>
      <c r="Q123" s="291"/>
      <c r="R123" s="283"/>
      <c r="S123" s="311"/>
      <c r="T123" s="288"/>
      <c r="U123" s="288"/>
      <c r="V123" s="288"/>
    </row>
    <row r="124" spans="1:22" s="315" customFormat="1" ht="14.4">
      <c r="A124" s="283"/>
      <c r="B124" s="485">
        <v>3</v>
      </c>
      <c r="C124" s="486" t="s">
        <v>33</v>
      </c>
      <c r="D124" s="305" t="str">
        <f ca="1">IF(ISERROR(OFFSET('HARGA SATUAN'!$D$6,MATCH(RAB!C124,'HARGA SATUAN'!$C$7:$C$1504,0),0)),"",OFFSET('HARGA SATUAN'!$D$6,MATCH(RAB!C124,'HARGA SATUAN'!$C$7:$C$1504,0),0))</f>
        <v>HDW</v>
      </c>
      <c r="E124" s="306" t="str">
        <f ca="1">IF(B124="+","Unit",IF(ISERROR(OFFSET('HARGA SATUAN'!$E$6,MATCH(RAB!C124,'HARGA SATUAN'!$C$7:$C$1504,0),0)),"",OFFSET('HARGA SATUAN'!$E$6,MATCH(RAB!C124,'HARGA SATUAN'!$C$7:$C$1504,0),0)))</f>
        <v>Bh</v>
      </c>
      <c r="F124" s="487">
        <f>F121*1</f>
        <v>14</v>
      </c>
      <c r="G124" s="307">
        <f ca="1">IF(ISERROR(OFFSET('HARGA SATUAN'!$I$6,MATCH(RAB!C124,'HARGA SATUAN'!$C$7:$C$1504,0),0)),0,OFFSET('HARGA SATUAN'!$I$6,MATCH(RAB!C124,'HARGA SATUAN'!$C$7:$C$1504,0),0))</f>
        <v>9500</v>
      </c>
      <c r="H124" s="308">
        <f t="shared" ca="1" si="32"/>
        <v>0</v>
      </c>
      <c r="I124" s="308">
        <f t="shared" ca="1" si="33"/>
        <v>133000</v>
      </c>
      <c r="J124" s="308">
        <f t="shared" ca="1" si="34"/>
        <v>0</v>
      </c>
      <c r="K124" s="309">
        <f t="shared" ca="1" si="35"/>
        <v>133000</v>
      </c>
      <c r="L124" s="289"/>
      <c r="M124" s="289"/>
      <c r="N124" s="314"/>
      <c r="O124" s="310"/>
      <c r="P124" s="310"/>
      <c r="Q124" s="291"/>
      <c r="R124" s="283"/>
      <c r="S124" s="311"/>
      <c r="T124" s="288"/>
      <c r="U124" s="288"/>
      <c r="V124" s="288"/>
    </row>
    <row r="125" spans="1:22" s="315" customFormat="1" ht="14.4">
      <c r="A125" s="283"/>
      <c r="B125" s="485">
        <v>4</v>
      </c>
      <c r="C125" s="486" t="s">
        <v>737</v>
      </c>
      <c r="D125" s="305" t="str">
        <f ca="1">IF(ISERROR(OFFSET('HARGA SATUAN'!$D$6,MATCH(RAB!C125,'HARGA SATUAN'!$C$7:$C$1504,0),0)),"",OFFSET('HARGA SATUAN'!$D$6,MATCH(RAB!C125,'HARGA SATUAN'!$C$7:$C$1504,0),0))</f>
        <v>JASA</v>
      </c>
      <c r="E125" s="306" t="str">
        <f ca="1">IF(B125="+","Unit",IF(ISERROR(OFFSET('HARGA SATUAN'!$E$6,MATCH(RAB!C125,'HARGA SATUAN'!$C$7:$C$1504,0),0)),"",OFFSET('HARGA SATUAN'!$E$6,MATCH(RAB!C125,'HARGA SATUAN'!$C$7:$C$1504,0),0)))</f>
        <v>Unit</v>
      </c>
      <c r="F125" s="487">
        <f>F121*1</f>
        <v>14</v>
      </c>
      <c r="G125" s="307">
        <f ca="1">IF(ISERROR(OFFSET('HARGA SATUAN'!$I$6,MATCH(RAB!C125,'HARGA SATUAN'!$C$7:$C$1504,0),0)),0,OFFSET('HARGA SATUAN'!$I$6,MATCH(RAB!C125,'HARGA SATUAN'!$C$7:$C$1504,0),0))</f>
        <v>16200</v>
      </c>
      <c r="H125" s="308">
        <f t="shared" ca="1" si="32"/>
        <v>0</v>
      </c>
      <c r="I125" s="308">
        <f t="shared" ca="1" si="33"/>
        <v>0</v>
      </c>
      <c r="J125" s="308">
        <f t="shared" ca="1" si="34"/>
        <v>226800</v>
      </c>
      <c r="K125" s="309">
        <f t="shared" ca="1" si="35"/>
        <v>226800</v>
      </c>
      <c r="L125" s="289"/>
      <c r="M125" s="289"/>
      <c r="N125" s="314"/>
      <c r="O125" s="310"/>
      <c r="P125" s="310"/>
      <c r="Q125" s="291"/>
      <c r="R125" s="283"/>
      <c r="S125" s="311"/>
      <c r="T125" s="288"/>
      <c r="U125" s="288"/>
      <c r="V125" s="288"/>
    </row>
    <row r="126" spans="1:22" s="315" customFormat="1" ht="14.4">
      <c r="A126" s="283"/>
      <c r="B126" s="485"/>
      <c r="C126" s="486"/>
      <c r="D126" s="305" t="str">
        <f ca="1">IF(ISERROR(OFFSET('HARGA SATUAN'!$D$6,MATCH(RAB!C126,'HARGA SATUAN'!$C$7:$C$1504,0),0)),"",OFFSET('HARGA SATUAN'!$D$6,MATCH(RAB!C126,'HARGA SATUAN'!$C$7:$C$1504,0),0))</f>
        <v/>
      </c>
      <c r="E126" s="306" t="str">
        <f ca="1">IF(B126="+","Unit",IF(ISERROR(OFFSET('HARGA SATUAN'!$E$6,MATCH(RAB!C126,'HARGA SATUAN'!$C$7:$C$1504,0),0)),"",OFFSET('HARGA SATUAN'!$E$6,MATCH(RAB!C126,'HARGA SATUAN'!$C$7:$C$1504,0),0)))</f>
        <v/>
      </c>
      <c r="F126" s="487"/>
      <c r="G126" s="307">
        <f ca="1">IF(ISERROR(OFFSET('HARGA SATUAN'!$I$6,MATCH(RAB!C126,'HARGA SATUAN'!$C$7:$C$1504,0),0)),0,OFFSET('HARGA SATUAN'!$I$6,MATCH(RAB!C126,'HARGA SATUAN'!$C$7:$C$1504,0),0))</f>
        <v>0</v>
      </c>
      <c r="H126" s="308">
        <f t="shared" ca="1" si="32"/>
        <v>0</v>
      </c>
      <c r="I126" s="308">
        <f t="shared" ca="1" si="33"/>
        <v>0</v>
      </c>
      <c r="J126" s="308">
        <f t="shared" ca="1" si="34"/>
        <v>0</v>
      </c>
      <c r="K126" s="309">
        <f t="shared" ca="1" si="35"/>
        <v>0</v>
      </c>
      <c r="L126" s="289"/>
      <c r="M126" s="289"/>
      <c r="N126" s="314"/>
      <c r="O126" s="310"/>
      <c r="P126" s="310"/>
      <c r="Q126" s="291"/>
      <c r="R126" s="283"/>
      <c r="S126" s="311"/>
      <c r="T126" s="288"/>
      <c r="U126" s="288"/>
      <c r="V126" s="288"/>
    </row>
    <row r="127" spans="1:22" s="315" customFormat="1" ht="14.4">
      <c r="A127" s="283"/>
      <c r="B127" s="485" t="s">
        <v>1035</v>
      </c>
      <c r="C127" s="486" t="s">
        <v>1636</v>
      </c>
      <c r="D127" s="305" t="str">
        <f ca="1">IF(ISERROR(OFFSET('HARGA SATUAN'!$D$6,MATCH(RAB!C127,'HARGA SATUAN'!$C$7:$C$1504,0),0)),"",OFFSET('HARGA SATUAN'!$D$6,MATCH(RAB!C127,'HARGA SATUAN'!$C$7:$C$1504,0),0))</f>
        <v/>
      </c>
      <c r="E127" s="306" t="str">
        <f ca="1">IF(B127="+","Unit",IF(ISERROR(OFFSET('HARGA SATUAN'!$E$6,MATCH(RAB!C127,'HARGA SATUAN'!$C$7:$C$1504,0),0)),"",OFFSET('HARGA SATUAN'!$E$6,MATCH(RAB!C127,'HARGA SATUAN'!$C$7:$C$1504,0),0)))</f>
        <v>Unit</v>
      </c>
      <c r="F127" s="487">
        <v>4</v>
      </c>
      <c r="G127" s="307">
        <f ca="1">IF(ISERROR(OFFSET('HARGA SATUAN'!$I$6,MATCH(RAB!C127,'HARGA SATUAN'!$C$7:$C$1504,0),0)),0,OFFSET('HARGA SATUAN'!$I$6,MATCH(RAB!C127,'HARGA SATUAN'!$C$7:$C$1504,0),0))</f>
        <v>0</v>
      </c>
      <c r="H127" s="308">
        <f t="shared" ca="1" si="32"/>
        <v>0</v>
      </c>
      <c r="I127" s="308">
        <f t="shared" ca="1" si="33"/>
        <v>0</v>
      </c>
      <c r="J127" s="308">
        <f t="shared" ca="1" si="34"/>
        <v>0</v>
      </c>
      <c r="K127" s="309">
        <f t="shared" ca="1" si="35"/>
        <v>0</v>
      </c>
      <c r="L127" s="289"/>
      <c r="M127" s="289"/>
      <c r="N127" s="314"/>
      <c r="O127" s="310"/>
      <c r="P127" s="310"/>
      <c r="Q127" s="291"/>
      <c r="R127" s="283"/>
      <c r="S127" s="311"/>
      <c r="T127" s="288"/>
      <c r="U127" s="288"/>
      <c r="V127" s="288"/>
    </row>
    <row r="128" spans="1:22" s="315" customFormat="1" ht="14.4">
      <c r="A128" s="283"/>
      <c r="B128" s="485">
        <v>1</v>
      </c>
      <c r="C128" s="486" t="s">
        <v>30</v>
      </c>
      <c r="D128" s="305" t="str">
        <f ca="1">IF(ISERROR(OFFSET('HARGA SATUAN'!$D$6,MATCH(RAB!C128,'HARGA SATUAN'!$C$7:$C$1504,0),0)),"",OFFSET('HARGA SATUAN'!$D$6,MATCH(RAB!C128,'HARGA SATUAN'!$C$7:$C$1504,0),0))</f>
        <v>HDW</v>
      </c>
      <c r="E128" s="306" t="str">
        <f ca="1">IF(B128="+","Unit",IF(ISERROR(OFFSET('HARGA SATUAN'!$E$6,MATCH(RAB!C128,'HARGA SATUAN'!$C$7:$C$1504,0),0)),"",OFFSET('HARGA SATUAN'!$E$6,MATCH(RAB!C128,'HARGA SATUAN'!$C$7:$C$1504,0),0)))</f>
        <v>Bh</v>
      </c>
      <c r="F128" s="487">
        <f>F127*1</f>
        <v>4</v>
      </c>
      <c r="G128" s="307">
        <f ca="1">IF(ISERROR(OFFSET('HARGA SATUAN'!$I$6,MATCH(RAB!C128,'HARGA SATUAN'!$C$7:$C$1504,0),0)),0,OFFSET('HARGA SATUAN'!$I$6,MATCH(RAB!C128,'HARGA SATUAN'!$C$7:$C$1504,0),0))</f>
        <v>47459</v>
      </c>
      <c r="H128" s="308">
        <f t="shared" ca="1" si="32"/>
        <v>0</v>
      </c>
      <c r="I128" s="308">
        <f t="shared" ca="1" si="33"/>
        <v>189836</v>
      </c>
      <c r="J128" s="308">
        <f t="shared" ca="1" si="34"/>
        <v>0</v>
      </c>
      <c r="K128" s="309">
        <f t="shared" ca="1" si="35"/>
        <v>189836</v>
      </c>
      <c r="L128" s="289"/>
      <c r="M128" s="289"/>
      <c r="N128" s="314"/>
      <c r="O128" s="310"/>
      <c r="P128" s="310"/>
      <c r="Q128" s="291"/>
      <c r="R128" s="283"/>
      <c r="S128" s="311"/>
      <c r="T128" s="288"/>
      <c r="U128" s="288"/>
      <c r="V128" s="288"/>
    </row>
    <row r="129" spans="1:22" s="315" customFormat="1" ht="14.4">
      <c r="A129" s="283"/>
      <c r="B129" s="485">
        <v>2</v>
      </c>
      <c r="C129" s="486" t="s">
        <v>32</v>
      </c>
      <c r="D129" s="305" t="str">
        <f ca="1">IF(ISERROR(OFFSET('HARGA SATUAN'!$D$6,MATCH(RAB!C129,'HARGA SATUAN'!$C$7:$C$1504,0),0)),"",OFFSET('HARGA SATUAN'!$D$6,MATCH(RAB!C129,'HARGA SATUAN'!$C$7:$C$1504,0),0))</f>
        <v>HDW</v>
      </c>
      <c r="E129" s="306" t="str">
        <f ca="1">IF(B129="+","Unit",IF(ISERROR(OFFSET('HARGA SATUAN'!$E$6,MATCH(RAB!C129,'HARGA SATUAN'!$C$7:$C$1504,0),0)),"",OFFSET('HARGA SATUAN'!$E$6,MATCH(RAB!C129,'HARGA SATUAN'!$C$7:$C$1504,0),0)))</f>
        <v>Mtr</v>
      </c>
      <c r="F129" s="487">
        <f>F127*1</f>
        <v>4</v>
      </c>
      <c r="G129" s="307">
        <f ca="1">IF(ISERROR(OFFSET('HARGA SATUAN'!$I$6,MATCH(RAB!C129,'HARGA SATUAN'!$C$7:$C$1504,0),0)),0,OFFSET('HARGA SATUAN'!$I$6,MATCH(RAB!C129,'HARGA SATUAN'!$C$7:$C$1504,0),0))</f>
        <v>30000</v>
      </c>
      <c r="H129" s="308">
        <f t="shared" ca="1" si="32"/>
        <v>0</v>
      </c>
      <c r="I129" s="308">
        <f t="shared" ca="1" si="33"/>
        <v>120000</v>
      </c>
      <c r="J129" s="308">
        <f t="shared" ca="1" si="34"/>
        <v>0</v>
      </c>
      <c r="K129" s="309">
        <f t="shared" ca="1" si="35"/>
        <v>120000</v>
      </c>
      <c r="L129" s="289"/>
      <c r="M129" s="289"/>
      <c r="N129" s="314"/>
      <c r="O129" s="310"/>
      <c r="P129" s="310"/>
      <c r="Q129" s="291"/>
      <c r="R129" s="283"/>
      <c r="S129" s="311"/>
      <c r="T129" s="288"/>
      <c r="U129" s="288"/>
      <c r="V129" s="288"/>
    </row>
    <row r="130" spans="1:22" s="315" customFormat="1" ht="14.4">
      <c r="A130" s="283"/>
      <c r="B130" s="485">
        <v>3</v>
      </c>
      <c r="C130" s="486" t="s">
        <v>33</v>
      </c>
      <c r="D130" s="305" t="str">
        <f ca="1">IF(ISERROR(OFFSET('HARGA SATUAN'!$D$6,MATCH(RAB!C130,'HARGA SATUAN'!$C$7:$C$1504,0),0)),"",OFFSET('HARGA SATUAN'!$D$6,MATCH(RAB!C130,'HARGA SATUAN'!$C$7:$C$1504,0),0))</f>
        <v>HDW</v>
      </c>
      <c r="E130" s="306" t="str">
        <f ca="1">IF(B130="+","Unit",IF(ISERROR(OFFSET('HARGA SATUAN'!$E$6,MATCH(RAB!C130,'HARGA SATUAN'!$C$7:$C$1504,0),0)),"",OFFSET('HARGA SATUAN'!$E$6,MATCH(RAB!C130,'HARGA SATUAN'!$C$7:$C$1504,0),0)))</f>
        <v>Bh</v>
      </c>
      <c r="F130" s="487">
        <f>F127*1</f>
        <v>4</v>
      </c>
      <c r="G130" s="307">
        <f ca="1">IF(ISERROR(OFFSET('HARGA SATUAN'!$I$6,MATCH(RAB!C130,'HARGA SATUAN'!$C$7:$C$1504,0),0)),0,OFFSET('HARGA SATUAN'!$I$6,MATCH(RAB!C130,'HARGA SATUAN'!$C$7:$C$1504,0),0))</f>
        <v>9500</v>
      </c>
      <c r="H130" s="308">
        <f t="shared" ca="1" si="32"/>
        <v>0</v>
      </c>
      <c r="I130" s="308">
        <f t="shared" ca="1" si="33"/>
        <v>38000</v>
      </c>
      <c r="J130" s="308">
        <f t="shared" ca="1" si="34"/>
        <v>0</v>
      </c>
      <c r="K130" s="309">
        <f t="shared" ca="1" si="35"/>
        <v>38000</v>
      </c>
      <c r="L130" s="289"/>
      <c r="M130" s="289"/>
      <c r="N130" s="314"/>
      <c r="O130" s="310"/>
      <c r="P130" s="310"/>
      <c r="Q130" s="291"/>
      <c r="R130" s="283"/>
      <c r="S130" s="311"/>
      <c r="T130" s="288"/>
      <c r="U130" s="288"/>
      <c r="V130" s="288"/>
    </row>
    <row r="131" spans="1:22" s="315" customFormat="1" ht="14.4">
      <c r="A131" s="283"/>
      <c r="B131" s="485">
        <v>4</v>
      </c>
      <c r="C131" s="486" t="s">
        <v>738</v>
      </c>
      <c r="D131" s="305" t="str">
        <f ca="1">IF(ISERROR(OFFSET('HARGA SATUAN'!$D$6,MATCH(RAB!C131,'HARGA SATUAN'!$C$7:$C$1504,0),0)),"",OFFSET('HARGA SATUAN'!$D$6,MATCH(RAB!C131,'HARGA SATUAN'!$C$7:$C$1504,0),0))</f>
        <v>JASA</v>
      </c>
      <c r="E131" s="306" t="str">
        <f ca="1">IF(B131="+","Unit",IF(ISERROR(OFFSET('HARGA SATUAN'!$E$6,MATCH(RAB!C131,'HARGA SATUAN'!$C$7:$C$1504,0),0)),"",OFFSET('HARGA SATUAN'!$E$6,MATCH(RAB!C131,'HARGA SATUAN'!$C$7:$C$1504,0),0)))</f>
        <v>Unit</v>
      </c>
      <c r="F131" s="487">
        <f>F127*1</f>
        <v>4</v>
      </c>
      <c r="G131" s="307">
        <f ca="1">IF(ISERROR(OFFSET('HARGA SATUAN'!$I$6,MATCH(RAB!C131,'HARGA SATUAN'!$C$7:$C$1504,0),0)),0,OFFSET('HARGA SATUAN'!$I$6,MATCH(RAB!C131,'HARGA SATUAN'!$C$7:$C$1504,0),0))</f>
        <v>21200</v>
      </c>
      <c r="H131" s="308">
        <f t="shared" ca="1" si="32"/>
        <v>0</v>
      </c>
      <c r="I131" s="308">
        <f t="shared" ca="1" si="33"/>
        <v>0</v>
      </c>
      <c r="J131" s="308">
        <f t="shared" ca="1" si="34"/>
        <v>84800</v>
      </c>
      <c r="K131" s="309">
        <f t="shared" ca="1" si="35"/>
        <v>84800</v>
      </c>
      <c r="L131" s="289"/>
      <c r="M131" s="289"/>
      <c r="N131" s="314"/>
      <c r="O131" s="310"/>
      <c r="P131" s="310"/>
      <c r="Q131" s="291"/>
      <c r="R131" s="283"/>
      <c r="S131" s="311"/>
      <c r="T131" s="288"/>
      <c r="U131" s="288"/>
      <c r="V131" s="288"/>
    </row>
    <row r="132" spans="1:22" s="315" customFormat="1" ht="14.4">
      <c r="A132" s="283"/>
      <c r="B132" s="485"/>
      <c r="C132" s="486"/>
      <c r="D132" s="305"/>
      <c r="E132" s="306"/>
      <c r="F132" s="487"/>
      <c r="G132" s="307"/>
      <c r="H132" s="308"/>
      <c r="I132" s="308"/>
      <c r="J132" s="308"/>
      <c r="K132" s="309"/>
      <c r="L132" s="289"/>
      <c r="M132" s="289"/>
      <c r="N132" s="314"/>
      <c r="O132" s="310"/>
      <c r="P132" s="310"/>
      <c r="Q132" s="291"/>
      <c r="R132" s="283"/>
      <c r="S132" s="311"/>
      <c r="T132" s="288"/>
      <c r="U132" s="288"/>
      <c r="V132" s="288"/>
    </row>
    <row r="133" spans="1:22" s="315" customFormat="1" ht="14.4">
      <c r="A133" s="283"/>
      <c r="B133" s="415" t="s">
        <v>22</v>
      </c>
      <c r="C133" s="416" t="s">
        <v>1655</v>
      </c>
      <c r="D133" s="305"/>
      <c r="E133" s="306"/>
      <c r="F133" s="487"/>
      <c r="G133" s="307"/>
      <c r="H133" s="308"/>
      <c r="I133" s="308"/>
      <c r="J133" s="308"/>
      <c r="K133" s="309"/>
      <c r="L133" s="289"/>
      <c r="M133" s="289"/>
      <c r="N133" s="314"/>
      <c r="O133" s="310"/>
      <c r="P133" s="310"/>
      <c r="Q133" s="291"/>
      <c r="R133" s="283"/>
      <c r="S133" s="311"/>
      <c r="T133" s="288"/>
      <c r="U133" s="288"/>
      <c r="V133" s="288"/>
    </row>
    <row r="134" spans="1:22" s="315" customFormat="1" ht="14.4">
      <c r="A134" s="283"/>
      <c r="B134" s="485" t="s">
        <v>1035</v>
      </c>
      <c r="C134" s="486" t="s">
        <v>1656</v>
      </c>
      <c r="D134" s="305" t="str">
        <f ca="1">IF(ISERROR(OFFSET('HARGA SATUAN'!$D$6,MATCH(RAB!C134,'HARGA SATUAN'!$C$7:$C$1504,0),0)),"",OFFSET('HARGA SATUAN'!$D$6,MATCH(RAB!C134,'HARGA SATUAN'!$C$7:$C$1504,0),0))</f>
        <v/>
      </c>
      <c r="E134" s="306" t="str">
        <f ca="1">IF(B134="+","Unit",IF(ISERROR(OFFSET('HARGA SATUAN'!$E$6,MATCH(RAB!C134,'HARGA SATUAN'!$C$7:$C$1504,0),0)),"",OFFSET('HARGA SATUAN'!$E$6,MATCH(RAB!C134,'HARGA SATUAN'!$C$7:$C$1504,0),0)))</f>
        <v>Unit</v>
      </c>
      <c r="F134" s="487">
        <v>2</v>
      </c>
      <c r="G134" s="307">
        <f ca="1">IF(ISERROR(OFFSET('HARGA SATUAN'!$I$6,MATCH(RAB!C134,'HARGA SATUAN'!$C$7:$C$1504,0),0)),0,OFFSET('HARGA SATUAN'!$I$6,MATCH(RAB!C134,'HARGA SATUAN'!$C$7:$C$1504,0),0))</f>
        <v>0</v>
      </c>
      <c r="H134" s="308">
        <f t="shared" ref="H134:H146" ca="1" si="36">IF(OR(D134="MDU",D134="MDU-KD"),(IF($O$3="RAB NON MDU","PLN KD",G134*F134)),0)</f>
        <v>0</v>
      </c>
      <c r="I134" s="308">
        <f t="shared" ref="I134:I146" ca="1" si="37">IF(D134="HDW",G134*F134,0)</f>
        <v>0</v>
      </c>
      <c r="J134" s="308">
        <f t="shared" ref="J134:J146" ca="1" si="38">IF(D134="JASA",G134*F134,0)</f>
        <v>0</v>
      </c>
      <c r="K134" s="309">
        <f t="shared" ref="K134:K146" ca="1" si="39">SUM(H134:J134)</f>
        <v>0</v>
      </c>
      <c r="L134" s="289"/>
      <c r="M134" s="289"/>
      <c r="N134" s="314"/>
      <c r="O134" s="310"/>
      <c r="P134" s="310"/>
      <c r="Q134" s="291"/>
      <c r="R134" s="283"/>
      <c r="S134" s="311"/>
      <c r="T134" s="288"/>
      <c r="U134" s="288"/>
      <c r="V134" s="288"/>
    </row>
    <row r="135" spans="1:22" s="315" customFormat="1" ht="14.4">
      <c r="A135" s="283"/>
      <c r="B135" s="485">
        <v>1</v>
      </c>
      <c r="C135" s="486" t="s">
        <v>532</v>
      </c>
      <c r="D135" s="305" t="str">
        <f ca="1">IF(ISERROR(OFFSET('HARGA SATUAN'!$D$6,MATCH(RAB!C135,'HARGA SATUAN'!$C$7:$C$1504,0),0)),"",OFFSET('HARGA SATUAN'!$D$6,MATCH(RAB!C135,'HARGA SATUAN'!$C$7:$C$1504,0),0))</f>
        <v>MDU-KD</v>
      </c>
      <c r="E135" s="306" t="str">
        <f ca="1">IF(B135="+","Unit",IF(ISERROR(OFFSET('HARGA SATUAN'!$E$6,MATCH(RAB!C135,'HARGA SATUAN'!$C$7:$C$1504,0),0)),"",OFFSET('HARGA SATUAN'!$E$6,MATCH(RAB!C135,'HARGA SATUAN'!$C$7:$C$1504,0),0)))</f>
        <v>Bh</v>
      </c>
      <c r="F135" s="487">
        <f>F134*1</f>
        <v>2</v>
      </c>
      <c r="G135" s="307">
        <f ca="1">IF(ISERROR(OFFSET('HARGA SATUAN'!$I$6,MATCH(RAB!C135,'HARGA SATUAN'!$C$7:$C$1504,0),0)),0,OFFSET('HARGA SATUAN'!$I$6,MATCH(RAB!C135,'HARGA SATUAN'!$C$7:$C$1504,0),0))</f>
        <v>27845400</v>
      </c>
      <c r="H135" s="308">
        <f t="shared" ca="1" si="36"/>
        <v>55690800</v>
      </c>
      <c r="I135" s="308">
        <f t="shared" ca="1" si="37"/>
        <v>0</v>
      </c>
      <c r="J135" s="308">
        <f t="shared" ca="1" si="38"/>
        <v>0</v>
      </c>
      <c r="K135" s="309">
        <f t="shared" ca="1" si="39"/>
        <v>55690800</v>
      </c>
      <c r="L135" s="289"/>
      <c r="M135" s="289"/>
      <c r="N135" s="314"/>
      <c r="O135" s="310"/>
      <c r="P135" s="310"/>
      <c r="Q135" s="291"/>
      <c r="R135" s="283"/>
      <c r="S135" s="311"/>
      <c r="T135" s="288"/>
      <c r="U135" s="288"/>
      <c r="V135" s="288"/>
    </row>
    <row r="136" spans="1:22" s="315" customFormat="1" ht="14.4">
      <c r="A136" s="283"/>
      <c r="B136" s="485">
        <v>2</v>
      </c>
      <c r="C136" s="486" t="s">
        <v>1657</v>
      </c>
      <c r="D136" s="305" t="str">
        <f ca="1">IF(ISERROR(OFFSET('HARGA SATUAN'!$D$6,MATCH(RAB!C136,'HARGA SATUAN'!$C$7:$C$1504,0),0)),"",OFFSET('HARGA SATUAN'!$D$6,MATCH(RAB!C136,'HARGA SATUAN'!$C$7:$C$1504,0),0))</f>
        <v/>
      </c>
      <c r="E136" s="306" t="str">
        <f ca="1">IF(B136="+","Unit",IF(ISERROR(OFFSET('HARGA SATUAN'!$E$6,MATCH(RAB!C136,'HARGA SATUAN'!$C$7:$C$1504,0),0)),"",OFFSET('HARGA SATUAN'!$E$6,MATCH(RAB!C136,'HARGA SATUAN'!$C$7:$C$1504,0),0)))</f>
        <v/>
      </c>
      <c r="F136" s="487"/>
      <c r="G136" s="307">
        <f ca="1">IF(ISERROR(OFFSET('HARGA SATUAN'!$I$6,MATCH(RAB!C136,'HARGA SATUAN'!$C$7:$C$1504,0),0)),0,OFFSET('HARGA SATUAN'!$I$6,MATCH(RAB!C136,'HARGA SATUAN'!$C$7:$C$1504,0),0))</f>
        <v>0</v>
      </c>
      <c r="H136" s="308">
        <f t="shared" ca="1" si="36"/>
        <v>0</v>
      </c>
      <c r="I136" s="308">
        <f t="shared" ca="1" si="37"/>
        <v>0</v>
      </c>
      <c r="J136" s="308">
        <f t="shared" ca="1" si="38"/>
        <v>0</v>
      </c>
      <c r="K136" s="309">
        <f t="shared" ca="1" si="39"/>
        <v>0</v>
      </c>
      <c r="L136" s="289"/>
      <c r="M136" s="289"/>
      <c r="N136" s="314"/>
      <c r="O136" s="310"/>
      <c r="P136" s="310"/>
      <c r="Q136" s="291"/>
      <c r="R136" s="283"/>
      <c r="S136" s="311"/>
      <c r="T136" s="288"/>
      <c r="U136" s="288"/>
      <c r="V136" s="288"/>
    </row>
    <row r="137" spans="1:22" s="315" customFormat="1" ht="14.4">
      <c r="A137" s="283"/>
      <c r="B137" s="485"/>
      <c r="C137" s="486" t="s">
        <v>65</v>
      </c>
      <c r="D137" s="305" t="str">
        <f ca="1">IF(ISERROR(OFFSET('HARGA SATUAN'!$D$6,MATCH(RAB!C137,'HARGA SATUAN'!$C$7:$C$1504,0),0)),"",OFFSET('HARGA SATUAN'!$D$6,MATCH(RAB!C137,'HARGA SATUAN'!$C$7:$C$1504,0),0))</f>
        <v>MDU-KD</v>
      </c>
      <c r="E137" s="306" t="str">
        <f ca="1">IF(B137="+","Unit",IF(ISERROR(OFFSET('HARGA SATUAN'!$E$6,MATCH(RAB!C137,'HARGA SATUAN'!$C$7:$C$1504,0),0)),"",OFFSET('HARGA SATUAN'!$E$6,MATCH(RAB!C137,'HARGA SATUAN'!$C$7:$C$1504,0),0)))</f>
        <v>Mtr</v>
      </c>
      <c r="F137" s="487">
        <f>F134*2</f>
        <v>4</v>
      </c>
      <c r="G137" s="307">
        <f ca="1">IF(ISERROR(OFFSET('HARGA SATUAN'!$I$6,MATCH(RAB!C137,'HARGA SATUAN'!$C$7:$C$1504,0),0)),0,OFFSET('HARGA SATUAN'!$I$6,MATCH(RAB!C137,'HARGA SATUAN'!$C$7:$C$1504,0),0))</f>
        <v>14200</v>
      </c>
      <c r="H137" s="308">
        <f t="shared" ca="1" si="36"/>
        <v>56800</v>
      </c>
      <c r="I137" s="308">
        <f t="shared" ca="1" si="37"/>
        <v>0</v>
      </c>
      <c r="J137" s="308">
        <f t="shared" ca="1" si="38"/>
        <v>0</v>
      </c>
      <c r="K137" s="309">
        <f t="shared" ca="1" si="39"/>
        <v>56800</v>
      </c>
      <c r="L137" s="289"/>
      <c r="M137" s="289"/>
      <c r="N137" s="314"/>
      <c r="O137" s="310"/>
      <c r="P137" s="310"/>
      <c r="Q137" s="291"/>
      <c r="R137" s="283"/>
      <c r="S137" s="311"/>
      <c r="T137" s="288"/>
      <c r="U137" s="288"/>
      <c r="V137" s="288"/>
    </row>
    <row r="138" spans="1:22" s="315" customFormat="1" ht="14.4">
      <c r="A138" s="283"/>
      <c r="B138" s="485"/>
      <c r="C138" s="486" t="s">
        <v>1612</v>
      </c>
      <c r="D138" s="305" t="str">
        <f ca="1">IF(ISERROR(OFFSET('HARGA SATUAN'!$D$6,MATCH(RAB!C138,'HARGA SATUAN'!$C$7:$C$1504,0),0)),"",OFFSET('HARGA SATUAN'!$D$6,MATCH(RAB!C138,'HARGA SATUAN'!$C$7:$C$1504,0),0))</f>
        <v>MDU-KD</v>
      </c>
      <c r="E138" s="306" t="str">
        <f ca="1">IF(B138="+","Unit",IF(ISERROR(OFFSET('HARGA SATUAN'!$E$6,MATCH(RAB!C138,'HARGA SATUAN'!$C$7:$C$1504,0),0)),"",OFFSET('HARGA SATUAN'!$E$6,MATCH(RAB!C138,'HARGA SATUAN'!$C$7:$C$1504,0),0)))</f>
        <v>Mtr</v>
      </c>
      <c r="F138" s="487">
        <f>F134*2</f>
        <v>4</v>
      </c>
      <c r="G138" s="307">
        <f ca="1">IF(ISERROR(OFFSET('HARGA SATUAN'!$I$6,MATCH(RAB!C138,'HARGA SATUAN'!$C$7:$C$1504,0),0)),0,OFFSET('HARGA SATUAN'!$I$6,MATCH(RAB!C138,'HARGA SATUAN'!$C$7:$C$1504,0),0))</f>
        <v>53300</v>
      </c>
      <c r="H138" s="308">
        <f t="shared" ca="1" si="36"/>
        <v>213200</v>
      </c>
      <c r="I138" s="308">
        <f t="shared" ca="1" si="37"/>
        <v>0</v>
      </c>
      <c r="J138" s="308">
        <f t="shared" ca="1" si="38"/>
        <v>0</v>
      </c>
      <c r="K138" s="309">
        <f t="shared" ca="1" si="39"/>
        <v>213200</v>
      </c>
      <c r="L138" s="289"/>
      <c r="M138" s="289"/>
      <c r="N138" s="314"/>
      <c r="O138" s="310"/>
      <c r="P138" s="310"/>
      <c r="Q138" s="291"/>
      <c r="R138" s="283"/>
      <c r="S138" s="311"/>
      <c r="T138" s="288"/>
      <c r="U138" s="288"/>
      <c r="V138" s="288"/>
    </row>
    <row r="139" spans="1:22" s="315" customFormat="1" ht="14.4">
      <c r="A139" s="283"/>
      <c r="B139" s="485">
        <v>3</v>
      </c>
      <c r="C139" s="486" t="s">
        <v>207</v>
      </c>
      <c r="D139" s="305" t="str">
        <f ca="1">IF(ISERROR(OFFSET('HARGA SATUAN'!$D$6,MATCH(RAB!C139,'HARGA SATUAN'!$C$7:$C$1504,0),0)),"",OFFSET('HARGA SATUAN'!$D$6,MATCH(RAB!C139,'HARGA SATUAN'!$C$7:$C$1504,0),0))</f>
        <v>HDW</v>
      </c>
      <c r="E139" s="306" t="str">
        <f ca="1">IF(B139="+","Unit",IF(ISERROR(OFFSET('HARGA SATUAN'!$E$6,MATCH(RAB!C139,'HARGA SATUAN'!$C$7:$C$1504,0),0)),"",OFFSET('HARGA SATUAN'!$E$6,MATCH(RAB!C139,'HARGA SATUAN'!$C$7:$C$1504,0),0)))</f>
        <v>Bh</v>
      </c>
      <c r="F139" s="487">
        <f>F134*1</f>
        <v>2</v>
      </c>
      <c r="G139" s="307">
        <f ca="1">IF(ISERROR(OFFSET('HARGA SATUAN'!$I$6,MATCH(RAB!C139,'HARGA SATUAN'!$C$7:$C$1504,0),0)),0,OFFSET('HARGA SATUAN'!$I$6,MATCH(RAB!C139,'HARGA SATUAN'!$C$7:$C$1504,0),0))</f>
        <v>87000</v>
      </c>
      <c r="H139" s="308">
        <f t="shared" ca="1" si="36"/>
        <v>0</v>
      </c>
      <c r="I139" s="308">
        <f t="shared" ca="1" si="37"/>
        <v>174000</v>
      </c>
      <c r="J139" s="308">
        <f t="shared" ca="1" si="38"/>
        <v>0</v>
      </c>
      <c r="K139" s="309">
        <f t="shared" ca="1" si="39"/>
        <v>174000</v>
      </c>
      <c r="L139" s="289"/>
      <c r="M139" s="289"/>
      <c r="N139" s="314"/>
      <c r="O139" s="310"/>
      <c r="P139" s="310"/>
      <c r="Q139" s="291"/>
      <c r="R139" s="283"/>
      <c r="S139" s="311"/>
      <c r="T139" s="288"/>
      <c r="U139" s="288"/>
      <c r="V139" s="288"/>
    </row>
    <row r="140" spans="1:22" s="315" customFormat="1" ht="14.4">
      <c r="A140" s="283"/>
      <c r="B140" s="485">
        <v>4</v>
      </c>
      <c r="C140" s="486" t="s">
        <v>176</v>
      </c>
      <c r="D140" s="305" t="str">
        <f ca="1">IF(ISERROR(OFFSET('HARGA SATUAN'!$D$6,MATCH(RAB!C140,'HARGA SATUAN'!$C$7:$C$1504,0),0)),"",OFFSET('HARGA SATUAN'!$D$6,MATCH(RAB!C140,'HARGA SATUAN'!$C$7:$C$1504,0),0))</f>
        <v>HDW</v>
      </c>
      <c r="E140" s="306" t="str">
        <f ca="1">IF(B140="+","Unit",IF(ISERROR(OFFSET('HARGA SATUAN'!$E$6,MATCH(RAB!C140,'HARGA SATUAN'!$C$7:$C$1504,0),0)),"",OFFSET('HARGA SATUAN'!$E$6,MATCH(RAB!C140,'HARGA SATUAN'!$C$7:$C$1504,0),0)))</f>
        <v>Bh</v>
      </c>
      <c r="F140" s="487">
        <f>F134*2</f>
        <v>4</v>
      </c>
      <c r="G140" s="307">
        <f ca="1">IF(ISERROR(OFFSET('HARGA SATUAN'!$I$6,MATCH(RAB!C140,'HARGA SATUAN'!$C$7:$C$1504,0),0)),0,OFFSET('HARGA SATUAN'!$I$6,MATCH(RAB!C140,'HARGA SATUAN'!$C$7:$C$1504,0),0))</f>
        <v>404600</v>
      </c>
      <c r="H140" s="308">
        <f t="shared" ca="1" si="36"/>
        <v>0</v>
      </c>
      <c r="I140" s="308">
        <f t="shared" ca="1" si="37"/>
        <v>1618400</v>
      </c>
      <c r="J140" s="308">
        <f t="shared" ca="1" si="38"/>
        <v>0</v>
      </c>
      <c r="K140" s="309">
        <f t="shared" ca="1" si="39"/>
        <v>1618400</v>
      </c>
      <c r="L140" s="289"/>
      <c r="M140" s="289"/>
      <c r="N140" s="314"/>
      <c r="O140" s="310"/>
      <c r="P140" s="310"/>
      <c r="Q140" s="291"/>
      <c r="R140" s="283"/>
      <c r="S140" s="311"/>
      <c r="T140" s="288"/>
      <c r="U140" s="288"/>
      <c r="V140" s="288"/>
    </row>
    <row r="141" spans="1:22" s="315" customFormat="1" ht="14.4">
      <c r="A141" s="283"/>
      <c r="B141" s="485">
        <v>5</v>
      </c>
      <c r="C141" s="486" t="s">
        <v>184</v>
      </c>
      <c r="D141" s="305" t="str">
        <f ca="1">IF(ISERROR(OFFSET('HARGA SATUAN'!$D$6,MATCH(RAB!C141,'HARGA SATUAN'!$C$7:$C$1504,0),0)),"",OFFSET('HARGA SATUAN'!$D$6,MATCH(RAB!C141,'HARGA SATUAN'!$C$7:$C$1504,0),0))</f>
        <v>HDW</v>
      </c>
      <c r="E141" s="306" t="str">
        <f ca="1">IF(B141="+","Unit",IF(ISERROR(OFFSET('HARGA SATUAN'!$E$6,MATCH(RAB!C141,'HARGA SATUAN'!$C$7:$C$1504,0),0)),"",OFFSET('HARGA SATUAN'!$E$6,MATCH(RAB!C141,'HARGA SATUAN'!$C$7:$C$1504,0),0)))</f>
        <v>Bh</v>
      </c>
      <c r="F141" s="487">
        <f>F134*3</f>
        <v>6</v>
      </c>
      <c r="G141" s="307">
        <f ca="1">IF(ISERROR(OFFSET('HARGA SATUAN'!$I$6,MATCH(RAB!C141,'HARGA SATUAN'!$C$7:$C$1504,0),0)),0,OFFSET('HARGA SATUAN'!$I$6,MATCH(RAB!C141,'HARGA SATUAN'!$C$7:$C$1504,0),0))</f>
        <v>15900</v>
      </c>
      <c r="H141" s="308">
        <f t="shared" ca="1" si="36"/>
        <v>0</v>
      </c>
      <c r="I141" s="308">
        <f t="shared" ca="1" si="37"/>
        <v>95400</v>
      </c>
      <c r="J141" s="308">
        <f t="shared" ca="1" si="38"/>
        <v>0</v>
      </c>
      <c r="K141" s="309">
        <f t="shared" ca="1" si="39"/>
        <v>95400</v>
      </c>
      <c r="L141" s="289"/>
      <c r="M141" s="289"/>
      <c r="N141" s="314"/>
      <c r="O141" s="310"/>
      <c r="P141" s="310"/>
      <c r="Q141" s="291"/>
      <c r="R141" s="283"/>
      <c r="S141" s="311"/>
      <c r="T141" s="288"/>
      <c r="U141" s="288"/>
      <c r="V141" s="288"/>
    </row>
    <row r="142" spans="1:22" s="315" customFormat="1" ht="14.4">
      <c r="A142" s="283"/>
      <c r="B142" s="485">
        <v>6</v>
      </c>
      <c r="C142" s="486" t="s">
        <v>187</v>
      </c>
      <c r="D142" s="305" t="str">
        <f ca="1">IF(ISERROR(OFFSET('HARGA SATUAN'!$D$6,MATCH(RAB!C142,'HARGA SATUAN'!$C$7:$C$1504,0),0)),"",OFFSET('HARGA SATUAN'!$D$6,MATCH(RAB!C142,'HARGA SATUAN'!$C$7:$C$1504,0),0))</f>
        <v>HDW</v>
      </c>
      <c r="E142" s="306" t="str">
        <f ca="1">IF(B142="+","Unit",IF(ISERROR(OFFSET('HARGA SATUAN'!$E$6,MATCH(RAB!C142,'HARGA SATUAN'!$C$7:$C$1504,0),0)),"",OFFSET('HARGA SATUAN'!$E$6,MATCH(RAB!C142,'HARGA SATUAN'!$C$7:$C$1504,0),0)))</f>
        <v>Bh</v>
      </c>
      <c r="F142" s="487">
        <f>F134*2</f>
        <v>4</v>
      </c>
      <c r="G142" s="307">
        <f ca="1">IF(ISERROR(OFFSET('HARGA SATUAN'!$I$6,MATCH(RAB!C142,'HARGA SATUAN'!$C$7:$C$1504,0),0)),0,OFFSET('HARGA SATUAN'!$I$6,MATCH(RAB!C142,'HARGA SATUAN'!$C$7:$C$1504,0),0))</f>
        <v>17100</v>
      </c>
      <c r="H142" s="308">
        <f t="shared" ca="1" si="36"/>
        <v>0</v>
      </c>
      <c r="I142" s="308">
        <f t="shared" ca="1" si="37"/>
        <v>68400</v>
      </c>
      <c r="J142" s="308">
        <f t="shared" ca="1" si="38"/>
        <v>0</v>
      </c>
      <c r="K142" s="309">
        <f t="shared" ca="1" si="39"/>
        <v>68400</v>
      </c>
      <c r="L142" s="289"/>
      <c r="M142" s="289"/>
      <c r="N142" s="314"/>
      <c r="O142" s="310"/>
      <c r="P142" s="310"/>
      <c r="Q142" s="291"/>
      <c r="R142" s="283"/>
      <c r="S142" s="311"/>
      <c r="T142" s="288"/>
      <c r="U142" s="288"/>
      <c r="V142" s="288"/>
    </row>
    <row r="143" spans="1:22" s="315" customFormat="1" ht="14.4">
      <c r="A143" s="283"/>
      <c r="B143" s="485">
        <v>7</v>
      </c>
      <c r="C143" s="486" t="s">
        <v>1613</v>
      </c>
      <c r="D143" s="305" t="str">
        <f ca="1">IF(ISERROR(OFFSET('HARGA SATUAN'!$D$6,MATCH(RAB!C143,'HARGA SATUAN'!$C$7:$C$1504,0),0)),"",OFFSET('HARGA SATUAN'!$D$6,MATCH(RAB!C143,'HARGA SATUAN'!$C$7:$C$1504,0),0))</f>
        <v>HDW</v>
      </c>
      <c r="E143" s="306" t="str">
        <f ca="1">IF(B143="+","Unit",IF(ISERROR(OFFSET('HARGA SATUAN'!$E$6,MATCH(RAB!C143,'HARGA SATUAN'!$C$7:$C$1504,0),0)),"",OFFSET('HARGA SATUAN'!$E$6,MATCH(RAB!C143,'HARGA SATUAN'!$C$7:$C$1504,0),0)))</f>
        <v>Bh</v>
      </c>
      <c r="F143" s="487">
        <f>F134*4</f>
        <v>8</v>
      </c>
      <c r="G143" s="307">
        <f ca="1">IF(ISERROR(OFFSET('HARGA SATUAN'!$I$6,MATCH(RAB!C143,'HARGA SATUAN'!$C$7:$C$1504,0),0)),0,OFFSET('HARGA SATUAN'!$I$6,MATCH(RAB!C143,'HARGA SATUAN'!$C$7:$C$1504,0),0))</f>
        <v>49000</v>
      </c>
      <c r="H143" s="308">
        <f t="shared" ca="1" si="36"/>
        <v>0</v>
      </c>
      <c r="I143" s="308">
        <f t="shared" ca="1" si="37"/>
        <v>392000</v>
      </c>
      <c r="J143" s="308">
        <f t="shared" ca="1" si="38"/>
        <v>0</v>
      </c>
      <c r="K143" s="309">
        <f t="shared" ca="1" si="39"/>
        <v>392000</v>
      </c>
      <c r="L143" s="289"/>
      <c r="M143" s="289"/>
      <c r="N143" s="314"/>
      <c r="O143" s="310"/>
      <c r="P143" s="310"/>
      <c r="Q143" s="291"/>
      <c r="R143" s="283"/>
      <c r="S143" s="311"/>
      <c r="T143" s="288"/>
      <c r="U143" s="288"/>
      <c r="V143" s="288"/>
    </row>
    <row r="144" spans="1:22" s="315" customFormat="1" ht="14.4">
      <c r="A144" s="283"/>
      <c r="B144" s="485">
        <v>8</v>
      </c>
      <c r="C144" s="486" t="s">
        <v>149</v>
      </c>
      <c r="D144" s="305" t="str">
        <f ca="1">IF(ISERROR(OFFSET('HARGA SATUAN'!$D$6,MATCH(RAB!C144,'HARGA SATUAN'!$C$7:$C$1504,0),0)),"",OFFSET('HARGA SATUAN'!$D$6,MATCH(RAB!C144,'HARGA SATUAN'!$C$7:$C$1504,0),0))</f>
        <v>HDW</v>
      </c>
      <c r="E144" s="306" t="str">
        <f ca="1">IF(B144="+","Unit",IF(ISERROR(OFFSET('HARGA SATUAN'!$E$6,MATCH(RAB!C144,'HARGA SATUAN'!$C$7:$C$1504,0),0)),"",OFFSET('HARGA SATUAN'!$E$6,MATCH(RAB!C144,'HARGA SATUAN'!$C$7:$C$1504,0),0)))</f>
        <v>Set</v>
      </c>
      <c r="F144" s="487">
        <f>F134*1</f>
        <v>2</v>
      </c>
      <c r="G144" s="307">
        <f ca="1">IF(ISERROR(OFFSET('HARGA SATUAN'!$I$6,MATCH(RAB!C144,'HARGA SATUAN'!$C$7:$C$1504,0),0)),0,OFFSET('HARGA SATUAN'!$I$6,MATCH(RAB!C144,'HARGA SATUAN'!$C$7:$C$1504,0),0))</f>
        <v>67800</v>
      </c>
      <c r="H144" s="308">
        <f t="shared" ca="1" si="36"/>
        <v>0</v>
      </c>
      <c r="I144" s="308">
        <f t="shared" ca="1" si="37"/>
        <v>135600</v>
      </c>
      <c r="J144" s="308">
        <f t="shared" ca="1" si="38"/>
        <v>0</v>
      </c>
      <c r="K144" s="309">
        <f t="shared" ca="1" si="39"/>
        <v>135600</v>
      </c>
      <c r="L144" s="289"/>
      <c r="M144" s="289"/>
      <c r="N144" s="314"/>
      <c r="O144" s="310"/>
      <c r="P144" s="310"/>
      <c r="Q144" s="291"/>
      <c r="R144" s="283"/>
      <c r="S144" s="311"/>
      <c r="T144" s="288"/>
      <c r="U144" s="288"/>
      <c r="V144" s="288"/>
    </row>
    <row r="145" spans="1:22" s="315" customFormat="1" ht="14.4">
      <c r="A145" s="283"/>
      <c r="B145" s="485">
        <v>9</v>
      </c>
      <c r="C145" s="486" t="s">
        <v>32</v>
      </c>
      <c r="D145" s="305" t="str">
        <f ca="1">IF(ISERROR(OFFSET('HARGA SATUAN'!$D$6,MATCH(RAB!C145,'HARGA SATUAN'!$C$7:$C$1504,0),0)),"",OFFSET('HARGA SATUAN'!$D$6,MATCH(RAB!C145,'HARGA SATUAN'!$C$7:$C$1504,0),0))</f>
        <v>HDW</v>
      </c>
      <c r="E145" s="306" t="str">
        <f ca="1">IF(B145="+","Unit",IF(ISERROR(OFFSET('HARGA SATUAN'!$E$6,MATCH(RAB!C145,'HARGA SATUAN'!$C$7:$C$1504,0),0)),"",OFFSET('HARGA SATUAN'!$E$6,MATCH(RAB!C145,'HARGA SATUAN'!$C$7:$C$1504,0),0)))</f>
        <v>Mtr</v>
      </c>
      <c r="F145" s="487">
        <f>F134*2</f>
        <v>4</v>
      </c>
      <c r="G145" s="307">
        <f ca="1">IF(ISERROR(OFFSET('HARGA SATUAN'!$I$6,MATCH(RAB!C145,'HARGA SATUAN'!$C$7:$C$1504,0),0)),0,OFFSET('HARGA SATUAN'!$I$6,MATCH(RAB!C145,'HARGA SATUAN'!$C$7:$C$1504,0),0))</f>
        <v>30000</v>
      </c>
      <c r="H145" s="308">
        <f t="shared" ca="1" si="36"/>
        <v>0</v>
      </c>
      <c r="I145" s="308">
        <f t="shared" ca="1" si="37"/>
        <v>120000</v>
      </c>
      <c r="J145" s="308">
        <f t="shared" ca="1" si="38"/>
        <v>0</v>
      </c>
      <c r="K145" s="309">
        <f t="shared" ca="1" si="39"/>
        <v>120000</v>
      </c>
      <c r="L145" s="289"/>
      <c r="M145" s="289"/>
      <c r="N145" s="314"/>
      <c r="O145" s="310"/>
      <c r="P145" s="310"/>
      <c r="Q145" s="291"/>
      <c r="R145" s="283"/>
      <c r="S145" s="311"/>
      <c r="T145" s="288"/>
      <c r="U145" s="288"/>
      <c r="V145" s="288"/>
    </row>
    <row r="146" spans="1:22" s="315" customFormat="1" ht="14.4">
      <c r="A146" s="283"/>
      <c r="B146" s="485">
        <v>10</v>
      </c>
      <c r="C146" s="486" t="s">
        <v>781</v>
      </c>
      <c r="D146" s="305" t="str">
        <f ca="1">IF(ISERROR(OFFSET('HARGA SATUAN'!$D$6,MATCH(RAB!C146,'HARGA SATUAN'!$C$7:$C$1504,0),0)),"",OFFSET('HARGA SATUAN'!$D$6,MATCH(RAB!C146,'HARGA SATUAN'!$C$7:$C$1504,0),0))</f>
        <v>JASA</v>
      </c>
      <c r="E146" s="306" t="str">
        <f ca="1">IF(B146="+","Unit",IF(ISERROR(OFFSET('HARGA SATUAN'!$E$6,MATCH(RAB!C146,'HARGA SATUAN'!$C$7:$C$1504,0),0)),"",OFFSET('HARGA SATUAN'!$E$6,MATCH(RAB!C146,'HARGA SATUAN'!$C$7:$C$1504,0),0)))</f>
        <v>Unit</v>
      </c>
      <c r="F146" s="487">
        <f>F134*1</f>
        <v>2</v>
      </c>
      <c r="G146" s="307">
        <f ca="1">IF(ISERROR(OFFSET('HARGA SATUAN'!$I$6,MATCH(RAB!C146,'HARGA SATUAN'!$C$7:$C$1504,0),0)),0,OFFSET('HARGA SATUAN'!$I$6,MATCH(RAB!C146,'HARGA SATUAN'!$C$7:$C$1504,0),0))</f>
        <v>346400</v>
      </c>
      <c r="H146" s="308">
        <f t="shared" ca="1" si="36"/>
        <v>0</v>
      </c>
      <c r="I146" s="308">
        <f t="shared" ca="1" si="37"/>
        <v>0</v>
      </c>
      <c r="J146" s="308">
        <f t="shared" ca="1" si="38"/>
        <v>692800</v>
      </c>
      <c r="K146" s="309">
        <f t="shared" ca="1" si="39"/>
        <v>692800</v>
      </c>
      <c r="L146" s="289"/>
      <c r="M146" s="289"/>
      <c r="N146" s="314"/>
      <c r="O146" s="310"/>
      <c r="P146" s="310"/>
      <c r="Q146" s="291"/>
      <c r="R146" s="283"/>
      <c r="S146" s="311"/>
      <c r="T146" s="288"/>
      <c r="U146" s="288"/>
      <c r="V146" s="288"/>
    </row>
    <row r="147" spans="1:22" s="315" customFormat="1" ht="14.4">
      <c r="A147" s="283"/>
      <c r="B147" s="485"/>
      <c r="C147" s="486"/>
      <c r="D147" s="305"/>
      <c r="E147" s="306"/>
      <c r="F147" s="487"/>
      <c r="G147" s="307"/>
      <c r="H147" s="308"/>
      <c r="I147" s="308"/>
      <c r="J147" s="308"/>
      <c r="K147" s="309"/>
      <c r="L147" s="289"/>
      <c r="M147" s="289"/>
      <c r="N147" s="314"/>
      <c r="O147" s="310"/>
      <c r="P147" s="310"/>
      <c r="Q147" s="291"/>
      <c r="R147" s="283"/>
      <c r="S147" s="311"/>
      <c r="T147" s="288"/>
      <c r="U147" s="288"/>
      <c r="V147" s="288"/>
    </row>
    <row r="148" spans="1:22" s="315" customFormat="1" ht="14.4">
      <c r="A148" s="283"/>
      <c r="B148" s="415" t="s">
        <v>1658</v>
      </c>
      <c r="C148" s="416" t="s">
        <v>1659</v>
      </c>
      <c r="D148" s="305"/>
      <c r="E148" s="306"/>
      <c r="F148" s="487"/>
      <c r="G148" s="307"/>
      <c r="H148" s="308"/>
      <c r="I148" s="308"/>
      <c r="J148" s="308"/>
      <c r="K148" s="309"/>
      <c r="L148" s="289"/>
      <c r="M148" s="289"/>
      <c r="N148" s="314"/>
      <c r="O148" s="310"/>
      <c r="P148" s="310"/>
      <c r="Q148" s="291"/>
      <c r="R148" s="283"/>
      <c r="S148" s="311"/>
      <c r="T148" s="288"/>
      <c r="U148" s="288"/>
      <c r="V148" s="288"/>
    </row>
    <row r="149" spans="1:22" s="315" customFormat="1" ht="14.4">
      <c r="A149" s="283"/>
      <c r="B149" s="485" t="s">
        <v>1035</v>
      </c>
      <c r="C149" s="501" t="s">
        <v>1660</v>
      </c>
      <c r="D149" s="305" t="str">
        <f ca="1">IF(ISERROR(OFFSET('HARGA SATUAN'!$D$6,MATCH(RAB!C149,'HARGA SATUAN'!$C$7:$C$1504,0),0)),"",OFFSET('HARGA SATUAN'!$D$6,MATCH(RAB!C149,'HARGA SATUAN'!$C$7:$C$1504,0),0))</f>
        <v/>
      </c>
      <c r="E149" s="306"/>
      <c r="F149" s="487"/>
      <c r="G149" s="307">
        <f ca="1">IF(ISERROR(OFFSET('HARGA SATUAN'!$I$6,MATCH(RAB!C149,'HARGA SATUAN'!$C$7:$C$1504,0),0)),0,OFFSET('HARGA SATUAN'!$I$6,MATCH(RAB!C149,'HARGA SATUAN'!$C$7:$C$1504,0),0))</f>
        <v>0</v>
      </c>
      <c r="H149" s="308">
        <f t="shared" ref="H149:H155" ca="1" si="40">IF(OR(D149="MDU",D149="MDU-KD"),(IF($O$3="RAB NON MDU","PLN KD",G149*F149)),0)</f>
        <v>0</v>
      </c>
      <c r="I149" s="308">
        <f t="shared" ref="I149:I155" ca="1" si="41">IF(D149="HDW",G149*F149,0)</f>
        <v>0</v>
      </c>
      <c r="J149" s="308">
        <f t="shared" ref="J149:J155" ca="1" si="42">IF(D149="JASA",G149*F149,0)</f>
        <v>0</v>
      </c>
      <c r="K149" s="309">
        <f t="shared" ref="K149:K155" ca="1" si="43">SUM(H149:J149)</f>
        <v>0</v>
      </c>
      <c r="L149" s="289"/>
      <c r="M149" s="289"/>
      <c r="N149" s="314"/>
      <c r="O149" s="310"/>
      <c r="P149" s="310"/>
      <c r="Q149" s="291"/>
      <c r="R149" s="283"/>
      <c r="S149" s="311"/>
      <c r="T149" s="288"/>
      <c r="U149" s="288"/>
      <c r="V149" s="288"/>
    </row>
    <row r="150" spans="1:22" s="315" customFormat="1" ht="14.4">
      <c r="A150" s="283"/>
      <c r="B150" s="485">
        <v>1</v>
      </c>
      <c r="C150" s="486" t="s">
        <v>65</v>
      </c>
      <c r="D150" s="305" t="str">
        <f ca="1">IF(ISERROR(OFFSET('HARGA SATUAN'!$D$6,MATCH(RAB!C150,'HARGA SATUAN'!$C$7:$C$1504,0),0)),"",OFFSET('HARGA SATUAN'!$D$6,MATCH(RAB!C150,'HARGA SATUAN'!$C$7:$C$1504,0),0))</f>
        <v>MDU-KD</v>
      </c>
      <c r="E150" s="306" t="str">
        <f ca="1">IF(B150="+","Unit",IF(ISERROR(OFFSET('HARGA SATUAN'!$E$6,MATCH(RAB!C150,'HARGA SATUAN'!$C$7:$C$1504,0),0)),"",OFFSET('HARGA SATUAN'!$E$6,MATCH(RAB!C150,'HARGA SATUAN'!$C$7:$C$1504,0),0)))</f>
        <v>Mtr</v>
      </c>
      <c r="F150" s="503">
        <f>ROUNDUP((2*442)*1.06,0)</f>
        <v>938</v>
      </c>
      <c r="G150" s="307">
        <f ca="1">IF(ISERROR(OFFSET('HARGA SATUAN'!$I$6,MATCH(RAB!C150,'HARGA SATUAN'!$C$7:$C$1504,0),0)),0,OFFSET('HARGA SATUAN'!$I$6,MATCH(RAB!C150,'HARGA SATUAN'!$C$7:$C$1504,0),0))</f>
        <v>14200</v>
      </c>
      <c r="H150" s="308">
        <f t="shared" ca="1" si="40"/>
        <v>13319600</v>
      </c>
      <c r="I150" s="308">
        <f t="shared" ca="1" si="41"/>
        <v>0</v>
      </c>
      <c r="J150" s="308">
        <f t="shared" ca="1" si="42"/>
        <v>0</v>
      </c>
      <c r="K150" s="309">
        <f t="shared" ca="1" si="43"/>
        <v>13319600</v>
      </c>
      <c r="L150" s="289"/>
      <c r="M150" s="289"/>
      <c r="N150" s="314"/>
      <c r="O150" s="310"/>
      <c r="P150" s="310"/>
      <c r="Q150" s="291"/>
      <c r="R150" s="283"/>
      <c r="S150" s="311"/>
      <c r="T150" s="288"/>
      <c r="U150" s="288"/>
      <c r="V150" s="288"/>
    </row>
    <row r="151" spans="1:22" s="315" customFormat="1" ht="14.4">
      <c r="A151" s="283"/>
      <c r="B151" s="485">
        <v>2</v>
      </c>
      <c r="C151" s="486" t="s">
        <v>307</v>
      </c>
      <c r="D151" s="305" t="str">
        <f ca="1">IF(ISERROR(OFFSET('HARGA SATUAN'!$D$6,MATCH(RAB!C151,'HARGA SATUAN'!$C$7:$C$1504,0),0)),"",OFFSET('HARGA SATUAN'!$D$6,MATCH(RAB!C151,'HARGA SATUAN'!$C$7:$C$1504,0),0))</f>
        <v>JASA</v>
      </c>
      <c r="E151" s="306" t="str">
        <f ca="1">IF(B151="+","Unit",IF(ISERROR(OFFSET('HARGA SATUAN'!$E$6,MATCH(RAB!C151,'HARGA SATUAN'!$C$7:$C$1504,0),0)),"",OFFSET('HARGA SATUAN'!$E$6,MATCH(RAB!C151,'HARGA SATUAN'!$C$7:$C$1504,0),0)))</f>
        <v>Per 50 m</v>
      </c>
      <c r="F151" s="503">
        <f>ROUNDUP(F150/50,0)</f>
        <v>19</v>
      </c>
      <c r="G151" s="307">
        <f ca="1">IF(ISERROR(OFFSET('HARGA SATUAN'!$I$6,MATCH(RAB!C151,'HARGA SATUAN'!$C$7:$C$1504,0),0)),0,OFFSET('HARGA SATUAN'!$I$6,MATCH(RAB!C151,'HARGA SATUAN'!$C$7:$C$1504,0),0))</f>
        <v>222400</v>
      </c>
      <c r="H151" s="308">
        <f t="shared" ca="1" si="40"/>
        <v>0</v>
      </c>
      <c r="I151" s="308">
        <f t="shared" ca="1" si="41"/>
        <v>0</v>
      </c>
      <c r="J151" s="308">
        <f t="shared" ca="1" si="42"/>
        <v>4225600</v>
      </c>
      <c r="K151" s="309">
        <f t="shared" ca="1" si="43"/>
        <v>4225600</v>
      </c>
      <c r="L151" s="289"/>
      <c r="M151" s="289"/>
      <c r="N151" s="314"/>
      <c r="O151" s="310"/>
      <c r="P151" s="310"/>
      <c r="Q151" s="291"/>
      <c r="R151" s="283"/>
      <c r="S151" s="311"/>
      <c r="T151" s="288"/>
      <c r="U151" s="288"/>
      <c r="V151" s="288"/>
    </row>
    <row r="152" spans="1:22" s="315" customFormat="1" ht="14.4">
      <c r="A152" s="283"/>
      <c r="B152" s="485"/>
      <c r="C152" s="486"/>
      <c r="D152" s="305"/>
      <c r="E152" s="306"/>
      <c r="F152" s="487"/>
      <c r="G152" s="307"/>
      <c r="H152" s="308"/>
      <c r="I152" s="308"/>
      <c r="J152" s="308"/>
      <c r="K152" s="309"/>
      <c r="L152" s="289"/>
      <c r="M152" s="289"/>
      <c r="N152" s="314"/>
      <c r="O152" s="310"/>
      <c r="P152" s="310"/>
      <c r="Q152" s="291"/>
      <c r="R152" s="283"/>
      <c r="S152" s="311"/>
      <c r="T152" s="288"/>
      <c r="U152" s="288"/>
      <c r="V152" s="288"/>
    </row>
    <row r="153" spans="1:22" s="315" customFormat="1" ht="14.4">
      <c r="A153" s="283"/>
      <c r="B153" s="485" t="s">
        <v>1035</v>
      </c>
      <c r="C153" s="501" t="s">
        <v>1661</v>
      </c>
      <c r="D153" s="305" t="str">
        <f ca="1">IF(ISERROR(OFFSET('HARGA SATUAN'!$D$6,MATCH(RAB!C153,'HARGA SATUAN'!$C$7:$C$1504,0),0)),"",OFFSET('HARGA SATUAN'!$D$6,MATCH(RAB!C153,'HARGA SATUAN'!$C$7:$C$1504,0),0))</f>
        <v/>
      </c>
      <c r="E153" s="306"/>
      <c r="F153" s="487"/>
      <c r="G153" s="307">
        <f ca="1">IF(ISERROR(OFFSET('HARGA SATUAN'!$I$6,MATCH(RAB!C153,'HARGA SATUAN'!$C$7:$C$1504,0),0)),0,OFFSET('HARGA SATUAN'!$I$6,MATCH(RAB!C153,'HARGA SATUAN'!$C$7:$C$1504,0),0))</f>
        <v>0</v>
      </c>
      <c r="H153" s="308">
        <f t="shared" ca="1" si="40"/>
        <v>0</v>
      </c>
      <c r="I153" s="308">
        <f t="shared" ca="1" si="41"/>
        <v>0</v>
      </c>
      <c r="J153" s="308">
        <f t="shared" ca="1" si="42"/>
        <v>0</v>
      </c>
      <c r="K153" s="309">
        <f t="shared" ca="1" si="43"/>
        <v>0</v>
      </c>
      <c r="L153" s="289"/>
      <c r="M153" s="289"/>
      <c r="N153" s="314"/>
      <c r="O153" s="310"/>
      <c r="P153" s="310"/>
      <c r="Q153" s="291"/>
      <c r="R153" s="283"/>
      <c r="S153" s="311"/>
      <c r="T153" s="288"/>
      <c r="U153" s="288"/>
      <c r="V153" s="288"/>
    </row>
    <row r="154" spans="1:22" s="315" customFormat="1" ht="14.4">
      <c r="A154" s="283"/>
      <c r="B154" s="485">
        <v>1</v>
      </c>
      <c r="C154" s="502" t="s">
        <v>1612</v>
      </c>
      <c r="D154" s="305" t="str">
        <f ca="1">IF(ISERROR(OFFSET('HARGA SATUAN'!$D$6,MATCH(RAB!C154,'HARGA SATUAN'!$C$7:$C$1504,0),0)),"",OFFSET('HARGA SATUAN'!$D$6,MATCH(RAB!C154,'HARGA SATUAN'!$C$7:$C$1504,0),0))</f>
        <v>MDU-KD</v>
      </c>
      <c r="E154" s="306" t="str">
        <f ca="1">IF(B154="+","Unit",IF(ISERROR(OFFSET('HARGA SATUAN'!$E$6,MATCH(RAB!C154,'HARGA SATUAN'!$C$7:$C$1504,0),0)),"",OFFSET('HARGA SATUAN'!$E$6,MATCH(RAB!C154,'HARGA SATUAN'!$C$7:$C$1504,0),0)))</f>
        <v>Mtr</v>
      </c>
      <c r="F154" s="487">
        <v>165</v>
      </c>
      <c r="G154" s="307">
        <f ca="1">IF(ISERROR(OFFSET('HARGA SATUAN'!$I$6,MATCH(RAB!C154,'HARGA SATUAN'!$C$7:$C$1504,0),0)),0,OFFSET('HARGA SATUAN'!$I$6,MATCH(RAB!C154,'HARGA SATUAN'!$C$7:$C$1504,0),0))</f>
        <v>53300</v>
      </c>
      <c r="H154" s="308">
        <f t="shared" ca="1" si="40"/>
        <v>8794500</v>
      </c>
      <c r="I154" s="308">
        <f t="shared" ca="1" si="41"/>
        <v>0</v>
      </c>
      <c r="J154" s="308">
        <f t="shared" ca="1" si="42"/>
        <v>0</v>
      </c>
      <c r="K154" s="309">
        <f t="shared" ca="1" si="43"/>
        <v>8794500</v>
      </c>
      <c r="L154" s="289"/>
      <c r="M154" s="289"/>
      <c r="N154" s="314"/>
      <c r="O154" s="310"/>
      <c r="P154" s="310"/>
      <c r="Q154" s="291"/>
      <c r="R154" s="283"/>
      <c r="S154" s="311"/>
      <c r="T154" s="288"/>
      <c r="U154" s="288"/>
      <c r="V154" s="288"/>
    </row>
    <row r="155" spans="1:22" s="315" customFormat="1" ht="14.4">
      <c r="A155" s="283"/>
      <c r="B155" s="485">
        <v>2</v>
      </c>
      <c r="C155" s="506" t="s">
        <v>347</v>
      </c>
      <c r="D155" s="305" t="str">
        <f ca="1">IF(ISERROR(OFFSET('HARGA SATUAN'!$D$6,MATCH(RAB!C155,'HARGA SATUAN'!$C$7:$C$1504,0),0)),"",OFFSET('HARGA SATUAN'!$D$6,MATCH(RAB!C155,'HARGA SATUAN'!$C$7:$C$1504,0),0))</f>
        <v>JASA</v>
      </c>
      <c r="E155" s="306" t="str">
        <f ca="1">IF(B155="+","Unit",IF(ISERROR(OFFSET('HARGA SATUAN'!$E$6,MATCH(RAB!C155,'HARGA SATUAN'!$C$7:$C$1504,0),0)),"",OFFSET('HARGA SATUAN'!$E$6,MATCH(RAB!C155,'HARGA SATUAN'!$C$7:$C$1504,0),0)))</f>
        <v>Per 50 m</v>
      </c>
      <c r="F155" s="487">
        <f>ROUNDUP(F154/50,0)</f>
        <v>4</v>
      </c>
      <c r="G155" s="307">
        <f ca="1">IF(ISERROR(OFFSET('HARGA SATUAN'!$I$6,MATCH(RAB!C155,'HARGA SATUAN'!$C$7:$C$1504,0),0)),0,OFFSET('HARGA SATUAN'!$I$6,MATCH(RAB!C155,'HARGA SATUAN'!$C$7:$C$1504,0),0))</f>
        <v>179000</v>
      </c>
      <c r="H155" s="308">
        <f t="shared" ca="1" si="40"/>
        <v>0</v>
      </c>
      <c r="I155" s="308">
        <f t="shared" ca="1" si="41"/>
        <v>0</v>
      </c>
      <c r="J155" s="308">
        <f t="shared" ca="1" si="42"/>
        <v>716000</v>
      </c>
      <c r="K155" s="309">
        <f t="shared" ca="1" si="43"/>
        <v>716000</v>
      </c>
      <c r="L155" s="289"/>
      <c r="M155" s="289"/>
      <c r="N155" s="314"/>
      <c r="O155" s="310"/>
      <c r="P155" s="310"/>
      <c r="Q155" s="291"/>
      <c r="R155" s="283"/>
      <c r="S155" s="311"/>
      <c r="T155" s="288"/>
      <c r="U155" s="288"/>
      <c r="V155" s="288"/>
    </row>
    <row r="156" spans="1:22" s="315" customFormat="1" ht="14.4">
      <c r="A156" s="283"/>
      <c r="B156" s="485"/>
      <c r="C156" s="486"/>
      <c r="D156" s="305"/>
      <c r="E156" s="306"/>
      <c r="F156" s="487"/>
      <c r="G156" s="307"/>
      <c r="H156" s="308"/>
      <c r="I156" s="308"/>
      <c r="J156" s="308"/>
      <c r="K156" s="309"/>
      <c r="L156" s="289"/>
      <c r="M156" s="289"/>
      <c r="N156" s="314"/>
      <c r="O156" s="310"/>
      <c r="P156" s="310"/>
      <c r="Q156" s="291"/>
      <c r="R156" s="283"/>
      <c r="S156" s="311"/>
      <c r="T156" s="288"/>
      <c r="U156" s="288"/>
      <c r="V156" s="288"/>
    </row>
    <row r="157" spans="1:22" s="315" customFormat="1" ht="14.4">
      <c r="A157" s="283"/>
      <c r="B157" s="415" t="s">
        <v>1664</v>
      </c>
      <c r="C157" s="416" t="s">
        <v>1665</v>
      </c>
      <c r="D157" s="305"/>
      <c r="E157" s="306"/>
      <c r="F157" s="487"/>
      <c r="G157" s="307"/>
      <c r="H157" s="308"/>
      <c r="I157" s="308"/>
      <c r="J157" s="308"/>
      <c r="K157" s="309"/>
      <c r="L157" s="289"/>
      <c r="M157" s="289"/>
      <c r="N157" s="314"/>
      <c r="O157" s="310"/>
      <c r="P157" s="310"/>
      <c r="Q157" s="291"/>
      <c r="R157" s="283"/>
      <c r="S157" s="311"/>
      <c r="T157" s="288"/>
      <c r="U157" s="288"/>
      <c r="V157" s="288"/>
    </row>
    <row r="158" spans="1:22" s="315" customFormat="1" ht="14.4">
      <c r="A158" s="283"/>
      <c r="B158" s="504" t="s">
        <v>1035</v>
      </c>
      <c r="C158" s="505" t="s">
        <v>1666</v>
      </c>
      <c r="D158" s="305" t="str">
        <f ca="1">IF(ISERROR(OFFSET('HARGA SATUAN'!$D$6,MATCH(RAB!C158,'HARGA SATUAN'!$C$7:$C$1504,0),0)),"",OFFSET('HARGA SATUAN'!$D$6,MATCH(RAB!C158,'HARGA SATUAN'!$C$7:$C$1504,0),0))</f>
        <v/>
      </c>
      <c r="E158" s="306" t="str">
        <f ca="1">IF(B158="+","Unit",IF(ISERROR(OFFSET('HARGA SATUAN'!$E$6,MATCH(RAB!C158,'HARGA SATUAN'!$C$7:$C$1504,0),0)),"",OFFSET('HARGA SATUAN'!$E$6,MATCH(RAB!C158,'HARGA SATUAN'!$C$7:$C$1504,0),0)))</f>
        <v>Unit</v>
      </c>
      <c r="F158" s="487">
        <v>74</v>
      </c>
      <c r="G158" s="307">
        <f ca="1">IF(ISERROR(OFFSET('HARGA SATUAN'!$I$6,MATCH(RAB!C158,'HARGA SATUAN'!$C$7:$C$1504,0),0)),0,OFFSET('HARGA SATUAN'!$I$6,MATCH(RAB!C158,'HARGA SATUAN'!$C$7:$C$1504,0),0))</f>
        <v>0</v>
      </c>
      <c r="H158" s="308">
        <f t="shared" ref="H158:H171" ca="1" si="44">IF(OR(D158="MDU",D158="MDU-KD"),(IF($O$3="RAB NON MDU","PLN KD",G158*F158)),0)</f>
        <v>0</v>
      </c>
      <c r="I158" s="308">
        <f t="shared" ref="I158:I171" ca="1" si="45">IF(D158="HDW",G158*F158,0)</f>
        <v>0</v>
      </c>
      <c r="J158" s="308">
        <f t="shared" ref="J158:J171" ca="1" si="46">IF(D158="JASA",G158*F158,0)</f>
        <v>0</v>
      </c>
      <c r="K158" s="309">
        <f t="shared" ref="K158:K171" ca="1" si="47">SUM(H158:J158)</f>
        <v>0</v>
      </c>
      <c r="L158" s="289"/>
      <c r="M158" s="289"/>
      <c r="N158" s="314"/>
      <c r="O158" s="310"/>
      <c r="P158" s="310"/>
      <c r="Q158" s="291"/>
      <c r="R158" s="283"/>
      <c r="S158" s="311"/>
      <c r="T158" s="288"/>
      <c r="U158" s="288"/>
      <c r="V158" s="288"/>
    </row>
    <row r="159" spans="1:22" s="315" customFormat="1" ht="14.4">
      <c r="A159" s="283"/>
      <c r="B159" s="504">
        <v>1</v>
      </c>
      <c r="C159" s="505" t="s">
        <v>482</v>
      </c>
      <c r="D159" s="305" t="str">
        <f ca="1">IF(ISERROR(OFFSET('HARGA SATUAN'!$D$6,MATCH(RAB!C159,'HARGA SATUAN'!$C$7:$C$1504,0),0)),"",OFFSET('HARGA SATUAN'!$D$6,MATCH(RAB!C159,'HARGA SATUAN'!$C$7:$C$1504,0),0))</f>
        <v>MDU-KD</v>
      </c>
      <c r="E159" s="306" t="str">
        <f ca="1">IF(B159="+","Unit",IF(ISERROR(OFFSET('HARGA SATUAN'!$E$6,MATCH(RAB!C159,'HARGA SATUAN'!$C$7:$C$1504,0),0)),"",OFFSET('HARGA SATUAN'!$E$6,MATCH(RAB!C159,'HARGA SATUAN'!$C$7:$C$1504,0),0)))</f>
        <v>Bh</v>
      </c>
      <c r="F159" s="487">
        <f>F158*1</f>
        <v>74</v>
      </c>
      <c r="G159" s="307">
        <f ca="1">IF(ISERROR(OFFSET('HARGA SATUAN'!$I$6,MATCH(RAB!C159,'HARGA SATUAN'!$C$7:$C$1504,0),0)),0,OFFSET('HARGA SATUAN'!$I$6,MATCH(RAB!C159,'HARGA SATUAN'!$C$7:$C$1504,0),0))</f>
        <v>327600</v>
      </c>
      <c r="H159" s="308">
        <f t="shared" ca="1" si="44"/>
        <v>24242400</v>
      </c>
      <c r="I159" s="308">
        <f t="shared" ca="1" si="45"/>
        <v>0</v>
      </c>
      <c r="J159" s="308">
        <f t="shared" ca="1" si="46"/>
        <v>0</v>
      </c>
      <c r="K159" s="309">
        <f t="shared" ca="1" si="47"/>
        <v>24242400</v>
      </c>
      <c r="L159" s="289"/>
      <c r="M159" s="289"/>
      <c r="N159" s="314"/>
      <c r="O159" s="310"/>
      <c r="P159" s="310"/>
      <c r="Q159" s="291"/>
      <c r="R159" s="283"/>
      <c r="S159" s="311"/>
      <c r="T159" s="288"/>
      <c r="U159" s="288"/>
      <c r="V159" s="288"/>
    </row>
    <row r="160" spans="1:22" s="315" customFormat="1" ht="14.4">
      <c r="A160" s="283"/>
      <c r="B160" s="504">
        <v>2</v>
      </c>
      <c r="C160" s="505" t="s">
        <v>487</v>
      </c>
      <c r="D160" s="305" t="str">
        <f ca="1">IF(ISERROR(OFFSET('HARGA SATUAN'!$D$6,MATCH(RAB!C160,'HARGA SATUAN'!$C$7:$C$1504,0),0)),"",OFFSET('HARGA SATUAN'!$D$6,MATCH(RAB!C160,'HARGA SATUAN'!$C$7:$C$1504,0),0))</f>
        <v>MDU-KD</v>
      </c>
      <c r="E160" s="306" t="str">
        <f ca="1">IF(B160="+","Unit",IF(ISERROR(OFFSET('HARGA SATUAN'!$E$6,MATCH(RAB!C160,'HARGA SATUAN'!$C$7:$C$1504,0),0)),"",OFFSET('HARGA SATUAN'!$E$6,MATCH(RAB!C160,'HARGA SATUAN'!$C$7:$C$1504,0),0)))</f>
        <v>Bh</v>
      </c>
      <c r="F160" s="487">
        <f>F158*1</f>
        <v>74</v>
      </c>
      <c r="G160" s="307">
        <f ca="1">IF(ISERROR(OFFSET('HARGA SATUAN'!$I$6,MATCH(RAB!C160,'HARGA SATUAN'!$C$7:$C$1504,0),0)),0,OFFSET('HARGA SATUAN'!$I$6,MATCH(RAB!C160,'HARGA SATUAN'!$C$7:$C$1504,0),0))</f>
        <v>39000</v>
      </c>
      <c r="H160" s="308">
        <f t="shared" ca="1" si="44"/>
        <v>2886000</v>
      </c>
      <c r="I160" s="308">
        <f t="shared" ca="1" si="45"/>
        <v>0</v>
      </c>
      <c r="J160" s="308">
        <f t="shared" ca="1" si="46"/>
        <v>0</v>
      </c>
      <c r="K160" s="309">
        <f t="shared" ca="1" si="47"/>
        <v>2886000</v>
      </c>
      <c r="L160" s="289"/>
      <c r="M160" s="289"/>
      <c r="N160" s="314"/>
      <c r="O160" s="310"/>
      <c r="P160" s="310"/>
      <c r="Q160" s="291"/>
      <c r="R160" s="283"/>
      <c r="S160" s="311"/>
      <c r="T160" s="288"/>
      <c r="U160" s="288"/>
      <c r="V160" s="288"/>
    </row>
    <row r="161" spans="1:22" s="315" customFormat="1" ht="14.4">
      <c r="A161" s="283"/>
      <c r="B161" s="504">
        <v>3</v>
      </c>
      <c r="C161" s="505" t="s">
        <v>73</v>
      </c>
      <c r="D161" s="305" t="str">
        <f ca="1">IF(ISERROR(OFFSET('HARGA SATUAN'!$D$6,MATCH(RAB!C161,'HARGA SATUAN'!$C$7:$C$1504,0),0)),"",OFFSET('HARGA SATUAN'!$D$6,MATCH(RAB!C161,'HARGA SATUAN'!$C$7:$C$1504,0),0))</f>
        <v>MDU-KD</v>
      </c>
      <c r="E161" s="306" t="str">
        <f ca="1">IF(B161="+","Unit",IF(ISERROR(OFFSET('HARGA SATUAN'!$E$6,MATCH(RAB!C161,'HARGA SATUAN'!$C$7:$C$1504,0),0)),"",OFFSET('HARGA SATUAN'!$E$6,MATCH(RAB!C161,'HARGA SATUAN'!$C$7:$C$1504,0),0)))</f>
        <v>Mtr</v>
      </c>
      <c r="F161" s="487">
        <f>F158*35</f>
        <v>2590</v>
      </c>
      <c r="G161" s="307">
        <f ca="1">IF(ISERROR(OFFSET('HARGA SATUAN'!$I$6,MATCH(RAB!C161,'HARGA SATUAN'!$C$7:$C$1504,0),0)),0,OFFSET('HARGA SATUAN'!$I$6,MATCH(RAB!C161,'HARGA SATUAN'!$C$7:$C$1504,0),0))</f>
        <v>4300</v>
      </c>
      <c r="H161" s="308">
        <f t="shared" ca="1" si="44"/>
        <v>11137000</v>
      </c>
      <c r="I161" s="308">
        <f t="shared" ca="1" si="45"/>
        <v>0</v>
      </c>
      <c r="J161" s="308">
        <f t="shared" ca="1" si="46"/>
        <v>0</v>
      </c>
      <c r="K161" s="309">
        <f t="shared" ca="1" si="47"/>
        <v>11137000</v>
      </c>
      <c r="L161" s="289"/>
      <c r="M161" s="289"/>
      <c r="N161" s="314"/>
      <c r="O161" s="310"/>
      <c r="P161" s="310"/>
      <c r="Q161" s="291"/>
      <c r="R161" s="283"/>
      <c r="S161" s="311"/>
      <c r="T161" s="288"/>
      <c r="U161" s="288"/>
      <c r="V161" s="288"/>
    </row>
    <row r="162" spans="1:22" s="315" customFormat="1" ht="14.4">
      <c r="A162" s="283"/>
      <c r="B162" s="504">
        <v>4</v>
      </c>
      <c r="C162" s="505" t="s">
        <v>798</v>
      </c>
      <c r="D162" s="305" t="str">
        <f ca="1">IF(ISERROR(OFFSET('HARGA SATUAN'!$D$6,MATCH(RAB!C162,'HARGA SATUAN'!$C$7:$C$1504,0),0)),"",OFFSET('HARGA SATUAN'!$D$6,MATCH(RAB!C162,'HARGA SATUAN'!$C$7:$C$1504,0),0))</f>
        <v>JASA</v>
      </c>
      <c r="E162" s="306" t="str">
        <f ca="1">IF(B162="+","Unit",IF(ISERROR(OFFSET('HARGA SATUAN'!$E$6,MATCH(RAB!C162,'HARGA SATUAN'!$C$7:$C$1504,0),0)),"",OFFSET('HARGA SATUAN'!$E$6,MATCH(RAB!C162,'HARGA SATUAN'!$C$7:$C$1504,0),0)))</f>
        <v>Unit</v>
      </c>
      <c r="F162" s="487">
        <f>F158*1</f>
        <v>74</v>
      </c>
      <c r="G162" s="307">
        <f ca="1">IF(ISERROR(OFFSET('HARGA SATUAN'!$I$6,MATCH(RAB!C162,'HARGA SATUAN'!$C$7:$C$1504,0),0)),0,OFFSET('HARGA SATUAN'!$I$6,MATCH(RAB!C162,'HARGA SATUAN'!$C$7:$C$1504,0),0))</f>
        <v>54400</v>
      </c>
      <c r="H162" s="308">
        <f t="shared" ca="1" si="44"/>
        <v>0</v>
      </c>
      <c r="I162" s="308">
        <f t="shared" ca="1" si="45"/>
        <v>0</v>
      </c>
      <c r="J162" s="308">
        <f t="shared" ca="1" si="46"/>
        <v>4025600</v>
      </c>
      <c r="K162" s="309">
        <f t="shared" ca="1" si="47"/>
        <v>4025600</v>
      </c>
      <c r="L162" s="289"/>
      <c r="M162" s="289"/>
      <c r="N162" s="314"/>
      <c r="O162" s="310"/>
      <c r="P162" s="310"/>
      <c r="Q162" s="291"/>
      <c r="R162" s="283"/>
      <c r="S162" s="311"/>
      <c r="T162" s="288"/>
      <c r="U162" s="288"/>
      <c r="V162" s="288"/>
    </row>
    <row r="163" spans="1:22" s="315" customFormat="1" ht="14.4">
      <c r="A163" s="283"/>
      <c r="B163" s="504"/>
      <c r="C163" s="505"/>
      <c r="D163" s="305" t="str">
        <f ca="1">IF(ISERROR(OFFSET('HARGA SATUAN'!$D$6,MATCH(RAB!C163,'HARGA SATUAN'!$C$7:$C$1504,0),0)),"",OFFSET('HARGA SATUAN'!$D$6,MATCH(RAB!C163,'HARGA SATUAN'!$C$7:$C$1504,0),0))</f>
        <v/>
      </c>
      <c r="E163" s="306" t="str">
        <f ca="1">IF(B163="+","Unit",IF(ISERROR(OFFSET('HARGA SATUAN'!$E$6,MATCH(RAB!C163,'HARGA SATUAN'!$C$7:$C$1504,0),0)),"",OFFSET('HARGA SATUAN'!$E$6,MATCH(RAB!C163,'HARGA SATUAN'!$C$7:$C$1504,0),0)))</f>
        <v/>
      </c>
      <c r="F163" s="487"/>
      <c r="G163" s="307">
        <f ca="1">IF(ISERROR(OFFSET('HARGA SATUAN'!$I$6,MATCH(RAB!C163,'HARGA SATUAN'!$C$7:$C$1504,0),0)),0,OFFSET('HARGA SATUAN'!$I$6,MATCH(RAB!C163,'HARGA SATUAN'!$C$7:$C$1504,0),0))</f>
        <v>0</v>
      </c>
      <c r="H163" s="308">
        <f t="shared" ca="1" si="44"/>
        <v>0</v>
      </c>
      <c r="I163" s="308">
        <f t="shared" ca="1" si="45"/>
        <v>0</v>
      </c>
      <c r="J163" s="308">
        <f t="shared" ca="1" si="46"/>
        <v>0</v>
      </c>
      <c r="K163" s="309">
        <f t="shared" ca="1" si="47"/>
        <v>0</v>
      </c>
      <c r="L163" s="289"/>
      <c r="M163" s="289"/>
      <c r="N163" s="314"/>
      <c r="O163" s="310"/>
      <c r="P163" s="310"/>
      <c r="Q163" s="291"/>
      <c r="R163" s="283"/>
      <c r="S163" s="311"/>
      <c r="T163" s="288"/>
      <c r="U163" s="288"/>
      <c r="V163" s="288"/>
    </row>
    <row r="164" spans="1:22" s="315" customFormat="1" ht="14.4">
      <c r="A164" s="283"/>
      <c r="B164" s="504" t="s">
        <v>1035</v>
      </c>
      <c r="C164" s="505" t="s">
        <v>1667</v>
      </c>
      <c r="D164" s="305" t="str">
        <f ca="1">IF(ISERROR(OFFSET('HARGA SATUAN'!$D$6,MATCH(RAB!C164,'HARGA SATUAN'!$C$7:$C$1504,0),0)),"",OFFSET('HARGA SATUAN'!$D$6,MATCH(RAB!C164,'HARGA SATUAN'!$C$7:$C$1504,0),0))</f>
        <v/>
      </c>
      <c r="E164" s="306" t="str">
        <f ca="1">IF(B164="+","Unit",IF(ISERROR(OFFSET('HARGA SATUAN'!$E$6,MATCH(RAB!C164,'HARGA SATUAN'!$C$7:$C$1504,0),0)),"",OFFSET('HARGA SATUAN'!$E$6,MATCH(RAB!C164,'HARGA SATUAN'!$C$7:$C$1504,0),0)))</f>
        <v>Unit</v>
      </c>
      <c r="F164" s="487">
        <v>74</v>
      </c>
      <c r="G164" s="307">
        <f ca="1">IF(ISERROR(OFFSET('HARGA SATUAN'!$I$6,MATCH(RAB!C164,'HARGA SATUAN'!$C$7:$C$1504,0),0)),0,OFFSET('HARGA SATUAN'!$I$6,MATCH(RAB!C164,'HARGA SATUAN'!$C$7:$C$1504,0),0))</f>
        <v>0</v>
      </c>
      <c r="H164" s="308">
        <f t="shared" ca="1" si="44"/>
        <v>0</v>
      </c>
      <c r="I164" s="308">
        <f t="shared" ca="1" si="45"/>
        <v>0</v>
      </c>
      <c r="J164" s="308">
        <f t="shared" ca="1" si="46"/>
        <v>0</v>
      </c>
      <c r="K164" s="309">
        <f t="shared" ca="1" si="47"/>
        <v>0</v>
      </c>
      <c r="L164" s="289"/>
      <c r="M164" s="289"/>
      <c r="N164" s="314"/>
      <c r="O164" s="310"/>
      <c r="P164" s="310"/>
      <c r="Q164" s="291"/>
      <c r="R164" s="283"/>
      <c r="S164" s="311"/>
      <c r="T164" s="288"/>
      <c r="U164" s="288"/>
      <c r="V164" s="288"/>
    </row>
    <row r="165" spans="1:22" s="315" customFormat="1" ht="14.4">
      <c r="A165" s="283"/>
      <c r="B165" s="504">
        <v>1</v>
      </c>
      <c r="C165" s="505" t="s">
        <v>115</v>
      </c>
      <c r="D165" s="305" t="str">
        <f ca="1">IF(ISERROR(OFFSET('HARGA SATUAN'!$D$6,MATCH(RAB!C165,'HARGA SATUAN'!$C$7:$C$1504,0),0)),"",OFFSET('HARGA SATUAN'!$D$6,MATCH(RAB!C165,'HARGA SATUAN'!$C$7:$C$1504,0),0))</f>
        <v>HDW</v>
      </c>
      <c r="E165" s="306" t="str">
        <f ca="1">IF(B165="+","Unit",IF(ISERROR(OFFSET('HARGA SATUAN'!$E$6,MATCH(RAB!C165,'HARGA SATUAN'!$C$7:$C$1504,0),0)),"",OFFSET('HARGA SATUAN'!$E$6,MATCH(RAB!C165,'HARGA SATUAN'!$C$7:$C$1504,0),0)))</f>
        <v>Set</v>
      </c>
      <c r="F165" s="487">
        <f>F164*1</f>
        <v>74</v>
      </c>
      <c r="G165" s="307">
        <f ca="1">IF(ISERROR(OFFSET('HARGA SATUAN'!$I$6,MATCH(RAB!C165,'HARGA SATUAN'!$C$7:$C$1504,0),0)),0,OFFSET('HARGA SATUAN'!$I$6,MATCH(RAB!C165,'HARGA SATUAN'!$C$7:$C$1504,0),0))</f>
        <v>11500</v>
      </c>
      <c r="H165" s="308">
        <f t="shared" ca="1" si="44"/>
        <v>0</v>
      </c>
      <c r="I165" s="308">
        <f t="shared" ca="1" si="45"/>
        <v>851000</v>
      </c>
      <c r="J165" s="308">
        <f t="shared" ca="1" si="46"/>
        <v>0</v>
      </c>
      <c r="K165" s="309">
        <f t="shared" ca="1" si="47"/>
        <v>851000</v>
      </c>
      <c r="L165" s="289"/>
      <c r="M165" s="289"/>
      <c r="N165" s="314"/>
      <c r="O165" s="310"/>
      <c r="P165" s="310"/>
      <c r="Q165" s="291"/>
      <c r="R165" s="283"/>
      <c r="S165" s="311"/>
      <c r="T165" s="288"/>
      <c r="U165" s="288"/>
      <c r="V165" s="288"/>
    </row>
    <row r="166" spans="1:22" s="315" customFormat="1" ht="14.4">
      <c r="A166" s="283"/>
      <c r="B166" s="504">
        <v>2</v>
      </c>
      <c r="C166" s="505" t="s">
        <v>145</v>
      </c>
      <c r="D166" s="305" t="str">
        <f ca="1">IF(ISERROR(OFFSET('HARGA SATUAN'!$D$6,MATCH(RAB!C166,'HARGA SATUAN'!$C$7:$C$1504,0),0)),"",OFFSET('HARGA SATUAN'!$D$6,MATCH(RAB!C166,'HARGA SATUAN'!$C$7:$C$1504,0),0))</f>
        <v>HDW</v>
      </c>
      <c r="E166" s="306" t="str">
        <f ca="1">IF(B166="+","Unit",IF(ISERROR(OFFSET('HARGA SATUAN'!$E$6,MATCH(RAB!C166,'HARGA SATUAN'!$C$7:$C$1504,0),0)),"",OFFSET('HARGA SATUAN'!$E$6,MATCH(RAB!C166,'HARGA SATUAN'!$C$7:$C$1504,0),0)))</f>
        <v>Set</v>
      </c>
      <c r="F166" s="487">
        <f>F164*1</f>
        <v>74</v>
      </c>
      <c r="G166" s="307">
        <f ca="1">IF(ISERROR(OFFSET('HARGA SATUAN'!$I$6,MATCH(RAB!C166,'HARGA SATUAN'!$C$7:$C$1504,0),0)),0,OFFSET('HARGA SATUAN'!$I$6,MATCH(RAB!C166,'HARGA SATUAN'!$C$7:$C$1504,0),0))</f>
        <v>6200</v>
      </c>
      <c r="H166" s="308">
        <f t="shared" ca="1" si="44"/>
        <v>0</v>
      </c>
      <c r="I166" s="308">
        <f t="shared" ca="1" si="45"/>
        <v>458800</v>
      </c>
      <c r="J166" s="308">
        <f t="shared" ca="1" si="46"/>
        <v>0</v>
      </c>
      <c r="K166" s="309">
        <f t="shared" ca="1" si="47"/>
        <v>458800</v>
      </c>
      <c r="L166" s="289"/>
      <c r="M166" s="289"/>
      <c r="N166" s="314"/>
      <c r="O166" s="310"/>
      <c r="P166" s="310"/>
      <c r="Q166" s="291"/>
      <c r="R166" s="283"/>
      <c r="S166" s="311"/>
      <c r="T166" s="288"/>
      <c r="U166" s="288"/>
      <c r="V166" s="288"/>
    </row>
    <row r="167" spans="1:22" s="315" customFormat="1" ht="14.4">
      <c r="A167" s="283"/>
      <c r="B167" s="504">
        <v>3</v>
      </c>
      <c r="C167" s="505" t="s">
        <v>587</v>
      </c>
      <c r="D167" s="305" t="str">
        <f ca="1">IF(ISERROR(OFFSET('HARGA SATUAN'!$D$6,MATCH(RAB!C167,'HARGA SATUAN'!$C$7:$C$1504,0),0)),"",OFFSET('HARGA SATUAN'!$D$6,MATCH(RAB!C167,'HARGA SATUAN'!$C$7:$C$1504,0),0))</f>
        <v>HDW</v>
      </c>
      <c r="E167" s="306" t="str">
        <f ca="1">IF(B167="+","Unit",IF(ISERROR(OFFSET('HARGA SATUAN'!$E$6,MATCH(RAB!C167,'HARGA SATUAN'!$C$7:$C$1504,0),0)),"",OFFSET('HARGA SATUAN'!$E$6,MATCH(RAB!C167,'HARGA SATUAN'!$C$7:$C$1504,0),0)))</f>
        <v>Btg</v>
      </c>
      <c r="F167" s="487">
        <f>F164*1</f>
        <v>74</v>
      </c>
      <c r="G167" s="307">
        <f ca="1">IF(ISERROR(OFFSET('HARGA SATUAN'!$I$6,MATCH(RAB!C167,'HARGA SATUAN'!$C$7:$C$1504,0),0)),0,OFFSET('HARGA SATUAN'!$I$6,MATCH(RAB!C167,'HARGA SATUAN'!$C$7:$C$1504,0),0))</f>
        <v>45796</v>
      </c>
      <c r="H167" s="308">
        <f t="shared" ca="1" si="44"/>
        <v>0</v>
      </c>
      <c r="I167" s="308">
        <f t="shared" ca="1" si="45"/>
        <v>3388904</v>
      </c>
      <c r="J167" s="308">
        <f t="shared" ca="1" si="46"/>
        <v>0</v>
      </c>
      <c r="K167" s="309">
        <f t="shared" ca="1" si="47"/>
        <v>3388904</v>
      </c>
      <c r="L167" s="289"/>
      <c r="M167" s="289"/>
      <c r="N167" s="314"/>
      <c r="O167" s="310"/>
      <c r="P167" s="310"/>
      <c r="Q167" s="291"/>
      <c r="R167" s="283"/>
      <c r="S167" s="311"/>
      <c r="T167" s="288"/>
      <c r="U167" s="288"/>
      <c r="V167" s="288"/>
    </row>
    <row r="168" spans="1:22" s="315" customFormat="1" ht="14.4">
      <c r="A168" s="283"/>
      <c r="B168" s="504">
        <v>4</v>
      </c>
      <c r="C168" s="505" t="s">
        <v>118</v>
      </c>
      <c r="D168" s="305" t="str">
        <f ca="1">IF(ISERROR(OFFSET('HARGA SATUAN'!$D$6,MATCH(RAB!C168,'HARGA SATUAN'!$C$7:$C$1504,0),0)),"",OFFSET('HARGA SATUAN'!$D$6,MATCH(RAB!C168,'HARGA SATUAN'!$C$7:$C$1504,0),0))</f>
        <v>HDW</v>
      </c>
      <c r="E168" s="306" t="str">
        <f ca="1">IF(B168="+","Unit",IF(ISERROR(OFFSET('HARGA SATUAN'!$E$6,MATCH(RAB!C168,'HARGA SATUAN'!$C$7:$C$1504,0),0)),"",OFFSET('HARGA SATUAN'!$E$6,MATCH(RAB!C168,'HARGA SATUAN'!$C$7:$C$1504,0),0)))</f>
        <v>Set</v>
      </c>
      <c r="F168" s="487">
        <f>F164*1</f>
        <v>74</v>
      </c>
      <c r="G168" s="307">
        <f ca="1">IF(ISERROR(OFFSET('HARGA SATUAN'!$I$6,MATCH(RAB!C168,'HARGA SATUAN'!$C$7:$C$1504,0),0)),0,OFFSET('HARGA SATUAN'!$I$6,MATCH(RAB!C168,'HARGA SATUAN'!$C$7:$C$1504,0),0))</f>
        <v>5300</v>
      </c>
      <c r="H168" s="308">
        <f t="shared" ca="1" si="44"/>
        <v>0</v>
      </c>
      <c r="I168" s="308">
        <f t="shared" ca="1" si="45"/>
        <v>392200</v>
      </c>
      <c r="J168" s="308">
        <f t="shared" ca="1" si="46"/>
        <v>0</v>
      </c>
      <c r="K168" s="309">
        <f t="shared" ca="1" si="47"/>
        <v>392200</v>
      </c>
      <c r="L168" s="289"/>
      <c r="M168" s="289"/>
      <c r="N168" s="314"/>
      <c r="O168" s="310"/>
      <c r="P168" s="310"/>
      <c r="Q168" s="291"/>
      <c r="R168" s="283"/>
      <c r="S168" s="311"/>
      <c r="T168" s="288"/>
      <c r="U168" s="288"/>
      <c r="V168" s="288"/>
    </row>
    <row r="169" spans="1:22" s="315" customFormat="1" ht="14.4">
      <c r="A169" s="283"/>
      <c r="B169" s="504">
        <v>5</v>
      </c>
      <c r="C169" s="505" t="s">
        <v>117</v>
      </c>
      <c r="D169" s="305" t="str">
        <f ca="1">IF(ISERROR(OFFSET('HARGA SATUAN'!$D$6,MATCH(RAB!C169,'HARGA SATUAN'!$C$7:$C$1504,0),0)),"",OFFSET('HARGA SATUAN'!$D$6,MATCH(RAB!C169,'HARGA SATUAN'!$C$7:$C$1504,0),0))</f>
        <v>HDW</v>
      </c>
      <c r="E169" s="306" t="str">
        <f ca="1">IF(B169="+","Unit",IF(ISERROR(OFFSET('HARGA SATUAN'!$E$6,MATCH(RAB!C169,'HARGA SATUAN'!$C$7:$C$1504,0),0)),"",OFFSET('HARGA SATUAN'!$E$6,MATCH(RAB!C169,'HARGA SATUAN'!$C$7:$C$1504,0),0)))</f>
        <v>Bh</v>
      </c>
      <c r="F169" s="487">
        <f>F164*1</f>
        <v>74</v>
      </c>
      <c r="G169" s="307">
        <f ca="1">IF(ISERROR(OFFSET('HARGA SATUAN'!$I$6,MATCH(RAB!C169,'HARGA SATUAN'!$C$7:$C$1504,0),0)),0,OFFSET('HARGA SATUAN'!$I$6,MATCH(RAB!C169,'HARGA SATUAN'!$C$7:$C$1504,0),0))</f>
        <v>58600</v>
      </c>
      <c r="H169" s="308">
        <f t="shared" ca="1" si="44"/>
        <v>0</v>
      </c>
      <c r="I169" s="308">
        <f t="shared" ca="1" si="45"/>
        <v>4336400</v>
      </c>
      <c r="J169" s="308">
        <f t="shared" ca="1" si="46"/>
        <v>0</v>
      </c>
      <c r="K169" s="309">
        <f t="shared" ca="1" si="47"/>
        <v>4336400</v>
      </c>
      <c r="L169" s="289"/>
      <c r="M169" s="289"/>
      <c r="N169" s="314"/>
      <c r="O169" s="310"/>
      <c r="P169" s="310"/>
      <c r="Q169" s="291"/>
      <c r="R169" s="283"/>
      <c r="S169" s="311"/>
      <c r="T169" s="288"/>
      <c r="U169" s="288"/>
      <c r="V169" s="288"/>
    </row>
    <row r="170" spans="1:22" s="315" customFormat="1" ht="14.4">
      <c r="A170" s="283"/>
      <c r="B170" s="504">
        <v>6</v>
      </c>
      <c r="C170" s="505" t="s">
        <v>1153</v>
      </c>
      <c r="D170" s="305" t="str">
        <f ca="1">IF(ISERROR(OFFSET('HARGA SATUAN'!$D$6,MATCH(RAB!C170,'HARGA SATUAN'!$C$7:$C$1504,0),0)),"",OFFSET('HARGA SATUAN'!$D$6,MATCH(RAB!C170,'HARGA SATUAN'!$C$7:$C$1504,0),0))</f>
        <v>HDW</v>
      </c>
      <c r="E170" s="306" t="str">
        <f ca="1">IF(B170="+","Unit",IF(ISERROR(OFFSET('HARGA SATUAN'!$E$6,MATCH(RAB!C170,'HARGA SATUAN'!$C$7:$C$1504,0),0)),"",OFFSET('HARGA SATUAN'!$E$6,MATCH(RAB!C170,'HARGA SATUAN'!$C$7:$C$1504,0),0)))</f>
        <v>Set</v>
      </c>
      <c r="F170" s="487">
        <f>F164*1</f>
        <v>74</v>
      </c>
      <c r="G170" s="307">
        <f ca="1">IF(ISERROR(OFFSET('HARGA SATUAN'!$I$6,MATCH(RAB!C170,'HARGA SATUAN'!$C$7:$C$1504,0),0)),0,OFFSET('HARGA SATUAN'!$I$6,MATCH(RAB!C170,'HARGA SATUAN'!$C$7:$C$1504,0),0))</f>
        <v>3888</v>
      </c>
      <c r="H170" s="308">
        <f t="shared" ca="1" si="44"/>
        <v>0</v>
      </c>
      <c r="I170" s="308">
        <f t="shared" ca="1" si="45"/>
        <v>287712</v>
      </c>
      <c r="J170" s="308">
        <f t="shared" ca="1" si="46"/>
        <v>0</v>
      </c>
      <c r="K170" s="309">
        <f t="shared" ca="1" si="47"/>
        <v>287712</v>
      </c>
      <c r="L170" s="289"/>
      <c r="M170" s="289"/>
      <c r="N170" s="314"/>
      <c r="O170" s="310"/>
      <c r="P170" s="310"/>
      <c r="Q170" s="291"/>
      <c r="R170" s="283"/>
      <c r="S170" s="311"/>
      <c r="T170" s="288"/>
      <c r="U170" s="288"/>
      <c r="V170" s="288"/>
    </row>
    <row r="171" spans="1:22" s="315" customFormat="1" ht="14.4">
      <c r="A171" s="283"/>
      <c r="B171" s="504">
        <v>7</v>
      </c>
      <c r="C171" s="505" t="s">
        <v>119</v>
      </c>
      <c r="D171" s="305" t="str">
        <f ca="1">IF(ISERROR(OFFSET('HARGA SATUAN'!$D$6,MATCH(RAB!C171,'HARGA SATUAN'!$C$7:$C$1504,0),0)),"",OFFSET('HARGA SATUAN'!$D$6,MATCH(RAB!C171,'HARGA SATUAN'!$C$7:$C$1504,0),0))</f>
        <v>HDW</v>
      </c>
      <c r="E171" s="306" t="str">
        <f ca="1">IF(B171="+","Unit",IF(ISERROR(OFFSET('HARGA SATUAN'!$E$6,MATCH(RAB!C171,'HARGA SATUAN'!$C$7:$C$1504,0),0)),"",OFFSET('HARGA SATUAN'!$E$6,MATCH(RAB!C171,'HARGA SATUAN'!$C$7:$C$1504,0),0)))</f>
        <v>Set</v>
      </c>
      <c r="F171" s="487">
        <f>F164*2</f>
        <v>148</v>
      </c>
      <c r="G171" s="307">
        <f ca="1">IF(ISERROR(OFFSET('HARGA SATUAN'!$I$6,MATCH(RAB!C171,'HARGA SATUAN'!$C$7:$C$1504,0),0)),0,OFFSET('HARGA SATUAN'!$I$6,MATCH(RAB!C171,'HARGA SATUAN'!$C$7:$C$1504,0),0))</f>
        <v>8900</v>
      </c>
      <c r="H171" s="308">
        <f t="shared" ca="1" si="44"/>
        <v>0</v>
      </c>
      <c r="I171" s="308">
        <f t="shared" ca="1" si="45"/>
        <v>1317200</v>
      </c>
      <c r="J171" s="308">
        <f t="shared" ca="1" si="46"/>
        <v>0</v>
      </c>
      <c r="K171" s="309">
        <f t="shared" ca="1" si="47"/>
        <v>1317200</v>
      </c>
      <c r="L171" s="289"/>
      <c r="M171" s="289"/>
      <c r="N171" s="314"/>
      <c r="O171" s="310"/>
      <c r="P171" s="310"/>
      <c r="Q171" s="291"/>
      <c r="R171" s="283"/>
      <c r="S171" s="311"/>
      <c r="T171" s="288"/>
      <c r="U171" s="288"/>
      <c r="V171" s="288"/>
    </row>
    <row r="172" spans="1:22">
      <c r="B172" s="318"/>
      <c r="C172" s="317"/>
      <c r="D172" s="305" t="str">
        <f ca="1">IF(ISERROR(OFFSET('HARGA SATUAN'!$D$6,MATCH(RAB!C172,'HARGA SATUAN'!$C$7:$C$1504,0),0)),"",OFFSET('HARGA SATUAN'!$D$6,MATCH(RAB!C172,'HARGA SATUAN'!$C$7:$C$1504,0),0))</f>
        <v/>
      </c>
      <c r="E172" s="306" t="str">
        <f ca="1">IF(B172="+","Unit",IF(ISERROR(OFFSET('HARGA SATUAN'!$E$6,MATCH(RAB!C172,'HARGA SATUAN'!$C$7:$C$1504,0),0)),"",OFFSET('HARGA SATUAN'!$E$6,MATCH(RAB!C172,'HARGA SATUAN'!$C$7:$C$1504,0),0)))</f>
        <v/>
      </c>
      <c r="F172" s="313"/>
      <c r="G172" s="307">
        <f ca="1">IF(ISERROR(OFFSET('HARGA SATUAN'!$I$6,MATCH(RAB!C172,'HARGA SATUAN'!$C$7:$C$1504,0),0)),0,OFFSET('HARGA SATUAN'!$I$6,MATCH(RAB!C172,'HARGA SATUAN'!$C$7:$C$1504,0),0))</f>
        <v>0</v>
      </c>
      <c r="H172" s="308">
        <f t="shared" ref="H172:H173" ca="1" si="48">IF(OR(D172="MDU",D172="MDU-KD"),(IF($O$3="RAB NON MDU","PLN KD",G172*F172)),0)</f>
        <v>0</v>
      </c>
      <c r="I172" s="308">
        <f t="shared" ref="I172:I173" ca="1" si="49">IF(D172="HDW",G172*F172,0)</f>
        <v>0</v>
      </c>
      <c r="J172" s="308">
        <f t="shared" ref="J172:J173" ca="1" si="50">IF(D172="JASA",G172*F172,0)</f>
        <v>0</v>
      </c>
      <c r="K172" s="309"/>
    </row>
    <row r="173" spans="1:22">
      <c r="B173" s="319"/>
      <c r="C173" s="320" t="s">
        <v>475</v>
      </c>
      <c r="D173" s="305" t="str">
        <f ca="1">IF(ISERROR(OFFSET('HARGA SATUAN'!$D$6,MATCH(RAB!C173,'HARGA SATUAN'!$C$7:$C$1504,0),0)),"",OFFSET('HARGA SATUAN'!$D$6,MATCH(RAB!C173,'HARGA SATUAN'!$C$7:$C$1504,0),0))</f>
        <v/>
      </c>
      <c r="E173" s="306" t="str">
        <f ca="1">IF(B173="+","Unit",IF(ISERROR(OFFSET('HARGA SATUAN'!$E$6,MATCH(RAB!C173,'HARGA SATUAN'!$C$7:$C$1504,0),0)),"",OFFSET('HARGA SATUAN'!$E$6,MATCH(RAB!C173,'HARGA SATUAN'!$C$7:$C$1504,0),0)))</f>
        <v/>
      </c>
      <c r="F173" s="313"/>
      <c r="G173" s="307">
        <f ca="1">IF(ISERROR(OFFSET('HARGA SATUAN'!$I$6,MATCH(RAB!C173,'HARGA SATUAN'!$C$7:$C$1504,0),0)),0,OFFSET('HARGA SATUAN'!$I$6,MATCH(RAB!C173,'HARGA SATUAN'!$C$7:$C$1504,0),0))</f>
        <v>0</v>
      </c>
      <c r="H173" s="308">
        <f t="shared" ca="1" si="48"/>
        <v>0</v>
      </c>
      <c r="I173" s="308">
        <f t="shared" ca="1" si="49"/>
        <v>0</v>
      </c>
      <c r="J173" s="308">
        <f t="shared" ca="1" si="50"/>
        <v>0</v>
      </c>
      <c r="K173" s="309">
        <f t="shared" ref="K173" ca="1" si="51">SUM(H173:J173)</f>
        <v>0</v>
      </c>
    </row>
    <row r="174" spans="1:22">
      <c r="B174" s="322">
        <v>1</v>
      </c>
      <c r="C174" s="323" t="s">
        <v>1091</v>
      </c>
      <c r="D174" s="324" t="str">
        <f ca="1">IF(ISERROR(OFFSET('HARGA SATUAN'!$D$6,MATCH(RAB!C174,'HARGA SATUAN'!$C$7:$C$1504,0),0)),"",OFFSET('HARGA SATUAN'!$D$6,MATCH(RAB!C174,'HARGA SATUAN'!$C$7:$C$1504,0),0))</f>
        <v>JASA</v>
      </c>
      <c r="E174" s="325" t="str">
        <f ca="1">IF(ISERROR(OFFSET('HARGA SATUAN'!$E$6,MATCH(RAB!C174,'HARGA SATUAN'!$C$7:$C$1504,0),0)),"",OFFSET('HARGA SATUAN'!$E$6,MATCH(RAB!C174,'HARGA SATUAN'!$C$7:$C$1504,0),0))</f>
        <v>Lot</v>
      </c>
      <c r="F174" s="326">
        <v>1</v>
      </c>
      <c r="G174" s="327">
        <f ca="1">IF(ISERROR(OFFSET('HARGA SATUAN'!$I$6,MATCH(RAB!C174,'HARGA SATUAN'!$C$7:$C$1504,0),0)),0,OFFSET('HARGA SATUAN'!$I$6,MATCH(RAB!C174,'HARGA SATUAN'!$C$7:$C$1504,0),0))</f>
        <v>2.5000000000000001E-2</v>
      </c>
      <c r="H174" s="328"/>
      <c r="I174" s="328"/>
      <c r="J174" s="328">
        <f ca="1">SUM(K14:K173)*G174</f>
        <v>5848521.3386666663</v>
      </c>
      <c r="K174" s="494">
        <f ca="1">J174</f>
        <v>5848521.3386666663</v>
      </c>
      <c r="M174" s="314"/>
    </row>
    <row r="175" spans="1:22">
      <c r="B175" s="329"/>
      <c r="C175" s="330"/>
      <c r="D175" s="305" t="str">
        <f ca="1">IF(ISERROR(OFFSET('HARGA SATUAN'!$D$6,MATCH(RAB!C175,'HARGA SATUAN'!$C$7:$C$1504,0),0)),"",OFFSET('HARGA SATUAN'!$D$6,MATCH(RAB!C175,'HARGA SATUAN'!$C$7:$C$1504,0),0))</f>
        <v/>
      </c>
      <c r="E175" s="306" t="str">
        <f ca="1">IF(ISERROR(OFFSET('HARGA SATUAN'!$E$6,MATCH(RAB!C175,'HARGA SATUAN'!$C$7:$C$1504,0),0)),"",OFFSET('HARGA SATUAN'!$E$6,MATCH(RAB!C175,'HARGA SATUAN'!$C$7:$C$1504,0),0))</f>
        <v/>
      </c>
      <c r="F175" s="321"/>
      <c r="G175" s="307" t="str">
        <f ca="1">IF(ISERROR(OFFSET('HARGA SATUAN'!$I$6,MATCH(RAB!C175,'HARGA SATUAN'!$C$7:$C$1504,0),0)),"",OFFSET('HARGA SATUAN'!$I$6,MATCH(RAB!C175,'HARGA SATUAN'!$C$7:$C$1504,0),0))</f>
        <v/>
      </c>
      <c r="H175" s="308">
        <f ca="1">IF(OR(D175="MDU",D175="MDU-KD"),IF(G175="PLN",0,G175*F175),0)</f>
        <v>0</v>
      </c>
      <c r="I175" s="308">
        <f ca="1">IF(D175="HDW",IF(G175="PLN",0,G175*F175),0)</f>
        <v>0</v>
      </c>
      <c r="J175" s="308">
        <f ca="1">IF(D175="JASA",IF(G175="PLN",0,G175*F175),0)</f>
        <v>0</v>
      </c>
      <c r="K175" s="309">
        <f ca="1">SUM(H175:J175)</f>
        <v>0</v>
      </c>
    </row>
    <row r="176" spans="1:22" ht="14.4" thickBot="1">
      <c r="B176" s="331"/>
      <c r="C176" s="332"/>
      <c r="D176" s="333"/>
      <c r="E176" s="334"/>
      <c r="F176" s="334"/>
      <c r="G176" s="334"/>
      <c r="H176" s="335"/>
      <c r="I176" s="335"/>
      <c r="J176" s="335"/>
      <c r="K176" s="336"/>
    </row>
    <row r="177" spans="2:13">
      <c r="B177" s="337"/>
      <c r="C177" s="607" t="s">
        <v>1008</v>
      </c>
      <c r="D177" s="607"/>
      <c r="E177" s="607"/>
      <c r="F177" s="607"/>
      <c r="G177" s="338" t="s">
        <v>9</v>
      </c>
      <c r="H177" s="339">
        <f ca="1">SUM(H14:H175)</f>
        <v>117932400</v>
      </c>
      <c r="I177" s="339">
        <f ca="1">SUM(I14:I175)</f>
        <v>104422420.21333332</v>
      </c>
      <c r="J177" s="339">
        <f ca="1">SUM(J14:J175)</f>
        <v>17434554.671999998</v>
      </c>
      <c r="K177" s="339">
        <f ca="1">SUM(K14:K175)</f>
        <v>239789374.88533333</v>
      </c>
    </row>
    <row r="178" spans="2:13">
      <c r="B178" s="340"/>
      <c r="C178" s="624" t="s">
        <v>1455</v>
      </c>
      <c r="D178" s="624"/>
      <c r="E178" s="624"/>
      <c r="F178" s="624"/>
      <c r="G178" s="341" t="s">
        <v>9</v>
      </c>
      <c r="H178" s="342">
        <f ca="1">H177*0.11</f>
        <v>12972564</v>
      </c>
      <c r="I178" s="342">
        <f ca="1">I177*0.11</f>
        <v>11486466.223466666</v>
      </c>
      <c r="J178" s="342">
        <f ca="1">J177*0.11</f>
        <v>1917801.0139199998</v>
      </c>
      <c r="K178" s="342">
        <f ca="1">K177*0.11</f>
        <v>26376831.237386666</v>
      </c>
    </row>
    <row r="179" spans="2:13" ht="15" thickBot="1">
      <c r="B179" s="340"/>
      <c r="C179" s="621" t="s">
        <v>463</v>
      </c>
      <c r="D179" s="621"/>
      <c r="E179" s="621"/>
      <c r="F179" s="621"/>
      <c r="G179" s="343" t="s">
        <v>9</v>
      </c>
      <c r="H179" s="344">
        <f ca="1">SUM(H177:H178)</f>
        <v>130904964</v>
      </c>
      <c r="I179" s="344">
        <f ca="1">SUM(I177:I178)</f>
        <v>115908886.43679999</v>
      </c>
      <c r="J179" s="343">
        <f ca="1">SUM(J177:J178)</f>
        <v>19352355.68592</v>
      </c>
      <c r="K179" s="343">
        <f ca="1">SUM(K177:K178)</f>
        <v>266166206.12272</v>
      </c>
      <c r="M179" s="408"/>
    </row>
    <row r="180" spans="2:13">
      <c r="B180" s="625" t="str">
        <f ca="1">"Terbilang : "&amp;PROPER(IF(K179=0,"nol",IF(K179&lt;0,"minus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IF(--MID(TEXT(ABS(K179),"000000000000000"),1,3)=0,"",MID(TEXT(ABS(K179),"000000000000000"),1,1)&amp;" ratus "&amp;MID(TEXT(ABS(K179),"000000000000000"),2,1)&amp;" puluh "&amp;MID(TEXT(ABS(K179),"000000000000000"),3,1)&amp;" trilyun ")&amp; IF(--MID(TEXT(ABS(K179),"000000000000000"),4,3)=0,"",MID(TEXT(ABS(K179),"000000000000000"),4,1)&amp;" ratus "&amp;MID(TEXT(ABS(K179),"000000000000000"),5,1)&amp;" puluh "&amp;MID(TEXT(ABS(K179),"000000000000000"),6,1)&amp;" milyar ")&amp; IF(--MID(TEXT(ABS(K179),"000000000000000"),7,3)=0,"",MID(TEXT(ABS(K179),"000000000000000"),7,1)&amp;" ratus "&amp;MID(TEXT(ABS(K179),"000000000000000"),8,1)&amp;" puluh "&amp;MID(TEXT(ABS(K179),"000000000000000"),9,1)&amp;" juta ")&amp; IF(--MID(TEXT(ABS(K179),"000000000000000"),10,3)=0,"",IF(--MID(TEXT(ABS(K179),"000000000000000"),10,3)=1,"*",MID(TEXT(ABS(K179),"000000000000000"),10,1)&amp;" ratus "&amp;MID(TEXT(ABS(K179),"000000000000000"),11,1)&amp;" puluh ")&amp;MID(TEXT(ABS(K179),"000000000000000"),12,1)&amp;" ribu ")&amp; IF(--MID(TEXT(ABS(K179),"000000000000000"),13,3)=0,"",MID(TEXT(ABS(K179),"000000000000000"),13,1)&amp;" ratus "&amp;MID(TEXT(ABS(K179),"000000000000000"),14,1)&amp;" puluh "&amp;MID(TEXT(ABS(K179),"000000000000000"),15,1)),1,"satu"),2,"dua"),3,"tiga"),4,"empat"),5,"lima"),6,"enam"),7,"tujuh"),8,"delapan"),9,"sembilan"),"0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Enam Puluh Enam Juta Seratus Enam Puluh Enam Ribu Dua Ratus Enam Rupiah</v>
      </c>
      <c r="C180" s="626"/>
      <c r="D180" s="626"/>
      <c r="E180" s="626"/>
      <c r="F180" s="626"/>
      <c r="G180" s="626"/>
      <c r="H180" s="626"/>
      <c r="I180" s="626"/>
      <c r="J180" s="626"/>
      <c r="K180" s="627"/>
    </row>
    <row r="181" spans="2:13">
      <c r="B181" s="628"/>
      <c r="C181" s="629"/>
      <c r="D181" s="629"/>
      <c r="E181" s="629"/>
      <c r="F181" s="629"/>
      <c r="G181" s="629"/>
      <c r="H181" s="629"/>
      <c r="I181" s="629"/>
      <c r="J181" s="629"/>
      <c r="K181" s="630"/>
    </row>
    <row r="182" spans="2:13" ht="15" thickBot="1">
      <c r="B182" s="345" t="str">
        <f>"Harga yang dipakai adalah "&amp;'HARGA SATUAN'!I5&amp;""</f>
        <v>Harga yang dipakai adalah RAB HSS 2023</v>
      </c>
      <c r="C182" s="346"/>
      <c r="D182" s="347"/>
      <c r="E182" s="347"/>
      <c r="F182" s="347"/>
      <c r="G182" s="348"/>
      <c r="H182" s="348"/>
      <c r="I182" s="348"/>
      <c r="J182" s="348"/>
      <c r="K182" s="349"/>
    </row>
    <row r="183" spans="2:13">
      <c r="C183" s="350"/>
      <c r="E183" s="352"/>
      <c r="F183" s="352"/>
      <c r="G183" s="352"/>
    </row>
    <row r="184" spans="2:13">
      <c r="C184" s="284"/>
      <c r="E184" s="352"/>
      <c r="F184" s="352"/>
      <c r="G184" s="352"/>
      <c r="H184" s="631"/>
      <c r="I184" s="631"/>
      <c r="J184" s="632"/>
      <c r="K184" s="632"/>
    </row>
    <row r="185" spans="2:13">
      <c r="C185" s="284"/>
      <c r="E185" s="352"/>
      <c r="F185" s="352"/>
      <c r="G185" s="352"/>
      <c r="H185" s="353"/>
      <c r="I185" s="620" t="s">
        <v>1662</v>
      </c>
      <c r="J185" s="620"/>
      <c r="K185" s="620"/>
    </row>
    <row r="186" spans="2:13">
      <c r="C186" s="284"/>
      <c r="E186" s="352"/>
      <c r="F186" s="352"/>
      <c r="G186" s="352"/>
      <c r="H186" s="353"/>
      <c r="I186" s="620" t="s">
        <v>1609</v>
      </c>
      <c r="J186" s="620"/>
      <c r="K186" s="620"/>
    </row>
    <row r="187" spans="2:13">
      <c r="C187" s="284"/>
      <c r="E187" s="352"/>
      <c r="F187" s="352"/>
      <c r="G187" s="352"/>
      <c r="H187" s="354"/>
      <c r="I187" s="355"/>
      <c r="J187" s="355"/>
      <c r="K187" s="355"/>
    </row>
    <row r="188" spans="2:13">
      <c r="C188" s="284"/>
      <c r="E188" s="352"/>
      <c r="F188" s="352"/>
      <c r="G188" s="352"/>
      <c r="H188" s="354"/>
      <c r="I188" s="354"/>
      <c r="J188" s="354"/>
      <c r="K188" s="354"/>
    </row>
    <row r="189" spans="2:13">
      <c r="C189" s="284"/>
      <c r="E189" s="352"/>
      <c r="F189" s="352"/>
      <c r="G189" s="352"/>
      <c r="H189" s="354"/>
      <c r="I189" s="354"/>
      <c r="J189" s="354"/>
      <c r="K189" s="354"/>
    </row>
    <row r="190" spans="2:13">
      <c r="C190" s="284"/>
      <c r="E190" s="352"/>
      <c r="F190" s="352"/>
      <c r="G190" s="352"/>
      <c r="H190" s="354"/>
      <c r="I190" s="354"/>
      <c r="J190" s="354"/>
      <c r="K190" s="354"/>
    </row>
    <row r="191" spans="2:13">
      <c r="C191" s="284"/>
      <c r="E191" s="352"/>
      <c r="F191" s="352"/>
      <c r="G191" s="352"/>
      <c r="H191" s="356"/>
      <c r="I191" s="620" t="s">
        <v>1610</v>
      </c>
      <c r="J191" s="620"/>
      <c r="K191" s="620"/>
    </row>
    <row r="192" spans="2:13">
      <c r="C192" s="350"/>
      <c r="E192" s="352"/>
      <c r="F192" s="352"/>
      <c r="G192" s="352"/>
      <c r="H192" s="354"/>
      <c r="I192" s="354"/>
      <c r="J192" s="354"/>
      <c r="K192" s="354"/>
    </row>
    <row r="193" spans="3:11">
      <c r="C193" s="350"/>
      <c r="E193" s="352"/>
      <c r="F193" s="352"/>
      <c r="G193" s="352"/>
      <c r="H193" s="354"/>
      <c r="I193" s="354"/>
      <c r="J193" s="354"/>
      <c r="K193" s="354"/>
    </row>
    <row r="194" spans="3:11">
      <c r="C194" s="350"/>
      <c r="E194" s="352"/>
      <c r="F194" s="352"/>
      <c r="G194" s="352"/>
      <c r="H194" s="354"/>
      <c r="I194" s="354"/>
      <c r="J194" s="354"/>
      <c r="K194" s="354"/>
    </row>
  </sheetData>
  <sheetProtection sort="0" autoFilter="0"/>
  <protectedRanges>
    <protectedRange sqref="B172" name="Range1_1"/>
    <protectedRange sqref="F172:F173 F14" name="Range1_1_2_2"/>
    <protectedRange sqref="C172" name="Range1_1_1"/>
    <protectedRange sqref="B154:B156 B15:C153 C155:C156" name="Range1_6_1"/>
    <protectedRange sqref="F15:F156" name="Range1_1_3_1_2_1"/>
    <protectedRange sqref="B157:C171" name="Range1_6_1_1"/>
    <protectedRange sqref="F157:F171" name="Range1_1_3_1_2_1_1"/>
  </protectedRanges>
  <mergeCells count="22">
    <mergeCell ref="I186:K186"/>
    <mergeCell ref="I191:K191"/>
    <mergeCell ref="C179:F179"/>
    <mergeCell ref="G6:K6"/>
    <mergeCell ref="I185:K185"/>
    <mergeCell ref="C178:F178"/>
    <mergeCell ref="B180:K181"/>
    <mergeCell ref="H184:K184"/>
    <mergeCell ref="H11:K11"/>
    <mergeCell ref="H12:H13"/>
    <mergeCell ref="J12:J13"/>
    <mergeCell ref="K12:K13"/>
    <mergeCell ref="O3:P4"/>
    <mergeCell ref="B4:K4"/>
    <mergeCell ref="C177:F177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E1:E3 E5:E13 H12:I12 O13 E174:G174 H174:K176 E175:H175 E176:F176">
    <cfRule type="cellIs" dxfId="4" priority="1100" stopIfTrue="1" operator="equal">
      <formula>0</formula>
    </cfRule>
  </conditionalFormatting>
  <conditionalFormatting sqref="E14:K173">
    <cfRule type="cellIs" dxfId="3" priority="1" stopIfTrue="1" operator="equal">
      <formula>0</formula>
    </cfRule>
  </conditionalFormatting>
  <conditionalFormatting sqref="G1:G13">
    <cfRule type="cellIs" dxfId="2" priority="25" stopIfTrue="1" operator="equal">
      <formula>0</formula>
    </cfRule>
  </conditionalFormatting>
  <conditionalFormatting sqref="G175:G65641 E180:E65641">
    <cfRule type="cellIs" dxfId="1" priority="234" stopIfTrue="1" operator="equal">
      <formula>0</formula>
    </cfRule>
  </conditionalFormatting>
  <conditionalFormatting sqref="S14:V171">
    <cfRule type="cellIs" dxfId="0" priority="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7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1" fitToHeight="2" orientation="portrait" horizontalDpi="1200" verticalDpi="1200" r:id="rId1"/>
  <colBreaks count="1" manualBreakCount="1">
    <brk id="11" max="1048575" man="1"/>
  </colBreaks>
  <ignoredErrors>
    <ignoredError sqref="K17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abSelected="1" view="pageBreakPreview" topLeftCell="F6" zoomScale="70" zoomScaleNormal="85" zoomScaleSheetLayoutView="70" workbookViewId="0">
      <selection activeCell="H105" sqref="H105"/>
    </sheetView>
  </sheetViews>
  <sheetFormatPr defaultColWidth="9.33203125" defaultRowHeight="12"/>
  <cols>
    <col min="1" max="2" width="1.44140625" style="421" customWidth="1"/>
    <col min="3" max="3" width="7.44140625" style="421" customWidth="1"/>
    <col min="4" max="23" width="5.6640625" style="421" customWidth="1"/>
    <col min="24" max="24" width="7.77734375" style="421" customWidth="1"/>
    <col min="25" max="30" width="5.6640625" style="421" customWidth="1"/>
    <col min="31" max="31" width="0.88671875" style="421" customWidth="1"/>
    <col min="32" max="118" width="5.6640625" style="421" customWidth="1"/>
    <col min="119" max="16384" width="9.33203125" style="421"/>
  </cols>
  <sheetData>
    <row r="1" spans="3:30" ht="12.6" thickBot="1"/>
    <row r="2" spans="3:30" ht="17.25" customHeight="1">
      <c r="C2" s="49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35" t="s">
        <v>1438</v>
      </c>
      <c r="X2" s="636"/>
      <c r="Y2" s="636"/>
      <c r="Z2" s="636"/>
      <c r="AA2" s="636"/>
      <c r="AB2" s="636"/>
      <c r="AC2" s="636"/>
      <c r="AD2" s="637"/>
    </row>
    <row r="3" spans="3:30">
      <c r="C3" s="423"/>
      <c r="W3" s="638"/>
      <c r="X3" s="639"/>
      <c r="Y3" s="639"/>
      <c r="Z3" s="639"/>
      <c r="AA3" s="639"/>
      <c r="AB3" s="639"/>
      <c r="AC3" s="639"/>
      <c r="AD3" s="640"/>
    </row>
    <row r="4" spans="3:30" ht="15.6">
      <c r="C4" s="423"/>
      <c r="D4" s="495"/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41" t="s">
        <v>990</v>
      </c>
      <c r="Y5" s="641"/>
      <c r="Z5" s="641"/>
      <c r="AA5" s="641" t="s">
        <v>988</v>
      </c>
      <c r="AB5" s="641"/>
      <c r="AC5" s="641" t="s">
        <v>989</v>
      </c>
      <c r="AD5" s="642"/>
    </row>
    <row r="6" spans="3:30">
      <c r="C6" s="423"/>
      <c r="W6" s="427">
        <v>1</v>
      </c>
      <c r="X6" s="641" t="s">
        <v>993</v>
      </c>
      <c r="Y6" s="641"/>
      <c r="Z6" s="641"/>
      <c r="AA6" s="641"/>
      <c r="AB6" s="641"/>
      <c r="AC6" s="641"/>
      <c r="AD6" s="642"/>
    </row>
    <row r="7" spans="3:30">
      <c r="C7" s="423"/>
      <c r="W7" s="427">
        <v>2</v>
      </c>
      <c r="X7" s="641" t="s">
        <v>994</v>
      </c>
      <c r="Y7" s="641"/>
      <c r="Z7" s="641"/>
      <c r="AA7" s="641"/>
      <c r="AB7" s="641"/>
      <c r="AC7" s="641"/>
      <c r="AD7" s="642"/>
    </row>
    <row r="8" spans="3:30">
      <c r="C8" s="423"/>
      <c r="W8" s="427">
        <v>3</v>
      </c>
      <c r="X8" s="641" t="s">
        <v>995</v>
      </c>
      <c r="Y8" s="641"/>
      <c r="Z8" s="641"/>
      <c r="AA8" s="641"/>
      <c r="AB8" s="641"/>
      <c r="AC8" s="641"/>
      <c r="AD8" s="642"/>
    </row>
    <row r="9" spans="3:30">
      <c r="C9" s="423"/>
      <c r="W9" s="427">
        <v>4</v>
      </c>
      <c r="X9" s="641" t="s">
        <v>996</v>
      </c>
      <c r="Y9" s="641"/>
      <c r="Z9" s="641"/>
      <c r="AA9" s="641"/>
      <c r="AB9" s="641"/>
      <c r="AC9" s="641"/>
      <c r="AD9" s="642"/>
    </row>
    <row r="10" spans="3:30">
      <c r="C10" s="423"/>
      <c r="W10" s="427">
        <v>5</v>
      </c>
      <c r="X10" s="641" t="s">
        <v>997</v>
      </c>
      <c r="Y10" s="641"/>
      <c r="Z10" s="641"/>
      <c r="AA10" s="641"/>
      <c r="AB10" s="641"/>
      <c r="AC10" s="641"/>
      <c r="AD10" s="642"/>
    </row>
    <row r="11" spans="3:30">
      <c r="C11" s="423"/>
      <c r="W11" s="427">
        <v>6</v>
      </c>
      <c r="X11" s="641" t="s">
        <v>998</v>
      </c>
      <c r="Y11" s="641"/>
      <c r="Z11" s="641"/>
      <c r="AA11" s="641"/>
      <c r="AB11" s="641"/>
      <c r="AC11" s="641"/>
      <c r="AD11" s="642"/>
    </row>
    <row r="12" spans="3:30">
      <c r="C12" s="423"/>
      <c r="W12" s="427">
        <v>7</v>
      </c>
      <c r="X12" s="641" t="s">
        <v>999</v>
      </c>
      <c r="Y12" s="641"/>
      <c r="Z12" s="641"/>
      <c r="AA12" s="641"/>
      <c r="AB12" s="641"/>
      <c r="AC12" s="641"/>
      <c r="AD12" s="642"/>
    </row>
    <row r="13" spans="3:30" ht="12.75" customHeight="1">
      <c r="C13" s="423"/>
      <c r="W13" s="427">
        <v>8</v>
      </c>
      <c r="X13" s="641" t="s">
        <v>1000</v>
      </c>
      <c r="Y13" s="641"/>
      <c r="Z13" s="641"/>
      <c r="AA13" s="641"/>
      <c r="AB13" s="641"/>
      <c r="AC13" s="641"/>
      <c r="AD13" s="642"/>
    </row>
    <row r="14" spans="3:30">
      <c r="C14" s="423"/>
      <c r="W14" s="427">
        <v>9</v>
      </c>
      <c r="X14" s="641" t="s">
        <v>1001</v>
      </c>
      <c r="Y14" s="641"/>
      <c r="Z14" s="641"/>
      <c r="AA14" s="641"/>
      <c r="AB14" s="641"/>
      <c r="AC14" s="641"/>
      <c r="AD14" s="642"/>
    </row>
    <row r="15" spans="3:30">
      <c r="C15" s="423"/>
      <c r="W15" s="427">
        <v>10</v>
      </c>
      <c r="X15" s="641" t="s">
        <v>1010</v>
      </c>
      <c r="Y15" s="641"/>
      <c r="Z15" s="641"/>
      <c r="AA15" s="641"/>
      <c r="AB15" s="641"/>
      <c r="AC15" s="641"/>
      <c r="AD15" s="642"/>
    </row>
    <row r="16" spans="3:30">
      <c r="C16" s="423"/>
      <c r="W16" s="427">
        <v>11</v>
      </c>
      <c r="X16" s="641" t="s">
        <v>1454</v>
      </c>
      <c r="Y16" s="641"/>
      <c r="Z16" s="641"/>
      <c r="AA16" s="641"/>
      <c r="AB16" s="641"/>
      <c r="AC16" s="641"/>
      <c r="AD16" s="642"/>
    </row>
    <row r="17" spans="3:30">
      <c r="C17" s="423"/>
      <c r="S17" s="429"/>
      <c r="W17" s="427">
        <v>12</v>
      </c>
      <c r="X17" s="641" t="s">
        <v>1011</v>
      </c>
      <c r="Y17" s="641"/>
      <c r="Z17" s="641"/>
      <c r="AA17" s="641"/>
      <c r="AB17" s="641"/>
      <c r="AC17" s="641"/>
      <c r="AD17" s="642"/>
    </row>
    <row r="18" spans="3:30">
      <c r="C18" s="430"/>
      <c r="D18" s="431"/>
      <c r="E18" s="431"/>
      <c r="W18" s="427">
        <v>13</v>
      </c>
      <c r="X18" s="641"/>
      <c r="Y18" s="641"/>
      <c r="Z18" s="641"/>
      <c r="AA18" s="641"/>
      <c r="AB18" s="641"/>
      <c r="AC18" s="641"/>
      <c r="AD18" s="642"/>
    </row>
    <row r="19" spans="3:30">
      <c r="C19" s="423"/>
      <c r="W19" s="432"/>
      <c r="X19" s="645"/>
      <c r="Y19" s="645"/>
      <c r="Z19" s="645"/>
      <c r="AA19" s="645"/>
      <c r="AB19" s="645"/>
      <c r="AC19" s="645"/>
      <c r="AD19" s="646"/>
    </row>
    <row r="20" spans="3:30">
      <c r="C20" s="423"/>
      <c r="Q20" s="433"/>
      <c r="W20" s="647" t="s">
        <v>992</v>
      </c>
      <c r="X20" s="648"/>
      <c r="Y20" s="648"/>
      <c r="Z20" s="648"/>
      <c r="AA20" s="648"/>
      <c r="AB20" s="648"/>
      <c r="AC20" s="648"/>
      <c r="AD20" s="649"/>
    </row>
    <row r="21" spans="3:30">
      <c r="C21" s="423"/>
      <c r="W21" s="650" t="s">
        <v>985</v>
      </c>
      <c r="X21" s="651"/>
      <c r="Y21" s="651"/>
      <c r="Z21" s="652"/>
      <c r="AA21" s="653" t="s">
        <v>986</v>
      </c>
      <c r="AB21" s="654"/>
      <c r="AC21" s="654"/>
      <c r="AD21" s="655"/>
    </row>
    <row r="22" spans="3:30">
      <c r="C22" s="423"/>
      <c r="S22" s="434"/>
      <c r="W22" s="490" t="s">
        <v>1626</v>
      </c>
      <c r="X22" s="491"/>
      <c r="Y22" s="435">
        <v>10</v>
      </c>
      <c r="Z22" s="436" t="s">
        <v>100</v>
      </c>
      <c r="AA22" s="437"/>
      <c r="AB22" s="438"/>
      <c r="AC22" s="439"/>
      <c r="AD22" s="440"/>
    </row>
    <row r="23" spans="3:30">
      <c r="C23" s="423"/>
      <c r="W23" s="490" t="s">
        <v>1627</v>
      </c>
      <c r="X23" s="491"/>
      <c r="Y23" s="435">
        <v>2</v>
      </c>
      <c r="Z23" s="436" t="s">
        <v>100</v>
      </c>
      <c r="AA23" s="437"/>
      <c r="AB23" s="438"/>
      <c r="AC23" s="439"/>
      <c r="AD23" s="440"/>
    </row>
    <row r="24" spans="3:30">
      <c r="C24" s="423"/>
      <c r="W24" s="441" t="s">
        <v>1628</v>
      </c>
      <c r="X24" s="442"/>
      <c r="Y24" s="435">
        <v>2</v>
      </c>
      <c r="Z24" s="436" t="s">
        <v>100</v>
      </c>
      <c r="AA24" s="437"/>
      <c r="AB24" s="438"/>
      <c r="AC24" s="439"/>
      <c r="AD24" s="440"/>
    </row>
    <row r="25" spans="3:30">
      <c r="C25" s="423"/>
      <c r="W25" s="441" t="s">
        <v>1629</v>
      </c>
      <c r="X25" s="442"/>
      <c r="Y25" s="436">
        <v>9</v>
      </c>
      <c r="Z25" s="435" t="s">
        <v>1058</v>
      </c>
      <c r="AA25" s="437"/>
      <c r="AB25" s="438"/>
      <c r="AC25" s="439"/>
      <c r="AD25" s="440"/>
    </row>
    <row r="26" spans="3:30">
      <c r="C26" s="423"/>
      <c r="W26" s="441" t="s">
        <v>1630</v>
      </c>
      <c r="X26" s="442"/>
      <c r="Y26" s="436">
        <v>1</v>
      </c>
      <c r="Z26" s="435" t="s">
        <v>1058</v>
      </c>
      <c r="AA26" s="437"/>
      <c r="AB26" s="438"/>
      <c r="AC26" s="439"/>
      <c r="AD26" s="440"/>
    </row>
    <row r="27" spans="3:30">
      <c r="C27" s="423"/>
      <c r="W27" s="441" t="s">
        <v>1631</v>
      </c>
      <c r="X27" s="442"/>
      <c r="Y27" s="436">
        <v>1</v>
      </c>
      <c r="Z27" s="435" t="s">
        <v>1058</v>
      </c>
      <c r="AA27" s="437"/>
      <c r="AB27" s="438"/>
      <c r="AC27" s="439"/>
      <c r="AD27" s="440"/>
    </row>
    <row r="28" spans="3:30">
      <c r="C28" s="423"/>
      <c r="W28" s="441" t="s">
        <v>1632</v>
      </c>
      <c r="X28" s="442"/>
      <c r="Y28" s="436">
        <v>2</v>
      </c>
      <c r="Z28" s="435" t="s">
        <v>1058</v>
      </c>
      <c r="AA28" s="437"/>
      <c r="AB28" s="438"/>
      <c r="AC28" s="439"/>
      <c r="AD28" s="440"/>
    </row>
    <row r="29" spans="3:30">
      <c r="C29" s="423"/>
      <c r="W29" s="441" t="s">
        <v>1633</v>
      </c>
      <c r="X29" s="442"/>
      <c r="Y29" s="436">
        <v>4</v>
      </c>
      <c r="Z29" s="435" t="s">
        <v>1058</v>
      </c>
      <c r="AA29" s="437"/>
      <c r="AB29" s="438"/>
      <c r="AC29" s="439"/>
      <c r="AD29" s="440"/>
    </row>
    <row r="30" spans="3:30" ht="11.25" customHeight="1">
      <c r="C30" s="423"/>
      <c r="W30" s="441" t="s">
        <v>1634</v>
      </c>
      <c r="X30" s="442"/>
      <c r="Y30" s="436">
        <v>2</v>
      </c>
      <c r="Z30" s="435" t="s">
        <v>1058</v>
      </c>
      <c r="AA30" s="437"/>
      <c r="AB30" s="438"/>
      <c r="AC30" s="439"/>
      <c r="AD30" s="440"/>
    </row>
    <row r="31" spans="3:30">
      <c r="C31" s="423"/>
      <c r="U31" s="443"/>
      <c r="W31" s="490" t="s">
        <v>1635</v>
      </c>
      <c r="X31" s="491"/>
      <c r="Y31" s="436">
        <v>14</v>
      </c>
      <c r="Z31" s="435" t="s">
        <v>1058</v>
      </c>
      <c r="AA31" s="643"/>
      <c r="AB31" s="644"/>
      <c r="AC31" s="439"/>
      <c r="AD31" s="440"/>
    </row>
    <row r="32" spans="3:30">
      <c r="C32" s="423"/>
      <c r="U32" s="443"/>
      <c r="W32" s="441" t="s">
        <v>1636</v>
      </c>
      <c r="X32" s="442"/>
      <c r="Y32" s="436">
        <v>4</v>
      </c>
      <c r="Z32" s="435" t="s">
        <v>1058</v>
      </c>
      <c r="AA32" s="643"/>
      <c r="AB32" s="644"/>
      <c r="AC32" s="439"/>
      <c r="AD32" s="440"/>
    </row>
    <row r="33" spans="3:33">
      <c r="C33" s="423"/>
      <c r="U33" s="443"/>
      <c r="W33" s="441" t="s">
        <v>1637</v>
      </c>
      <c r="X33" s="442"/>
      <c r="Y33" s="436">
        <v>4</v>
      </c>
      <c r="Z33" s="435" t="s">
        <v>1058</v>
      </c>
      <c r="AA33" s="437"/>
      <c r="AB33" s="438"/>
      <c r="AC33" s="439"/>
      <c r="AD33" s="440"/>
    </row>
    <row r="34" spans="3:33">
      <c r="C34" s="423"/>
      <c r="W34" s="441" t="s">
        <v>1638</v>
      </c>
      <c r="X34" s="442"/>
      <c r="Y34" s="435">
        <v>2</v>
      </c>
      <c r="Z34" s="435" t="s">
        <v>1058</v>
      </c>
      <c r="AA34" s="643"/>
      <c r="AB34" s="644"/>
      <c r="AC34" s="439"/>
      <c r="AD34" s="440"/>
    </row>
    <row r="35" spans="3:33">
      <c r="C35" s="423"/>
      <c r="Q35" s="421" t="s">
        <v>1603</v>
      </c>
      <c r="W35" s="441" t="s">
        <v>1639</v>
      </c>
      <c r="X35" s="442"/>
      <c r="Y35" s="435">
        <v>2</v>
      </c>
      <c r="Z35" s="435" t="s">
        <v>1058</v>
      </c>
      <c r="AA35" s="643"/>
      <c r="AB35" s="644"/>
      <c r="AC35" s="439"/>
      <c r="AD35" s="440"/>
    </row>
    <row r="36" spans="3:33">
      <c r="C36" s="423"/>
      <c r="W36" s="441" t="s">
        <v>1640</v>
      </c>
      <c r="X36" s="442"/>
      <c r="Y36" s="435">
        <v>2</v>
      </c>
      <c r="Z36" s="435" t="s">
        <v>1058</v>
      </c>
      <c r="AA36" s="643"/>
      <c r="AB36" s="644"/>
      <c r="AC36" s="439"/>
      <c r="AD36" s="440"/>
    </row>
    <row r="37" spans="3:33">
      <c r="C37" s="423"/>
      <c r="I37" s="431"/>
      <c r="W37" s="441" t="s">
        <v>1641</v>
      </c>
      <c r="X37" s="442"/>
      <c r="Y37" s="435">
        <v>2</v>
      </c>
      <c r="Z37" s="435" t="s">
        <v>1058</v>
      </c>
      <c r="AA37" s="643"/>
      <c r="AB37" s="644"/>
      <c r="AC37" s="439"/>
      <c r="AD37" s="440"/>
    </row>
    <row r="38" spans="3:33" ht="12.75" customHeight="1">
      <c r="C38" s="423"/>
      <c r="W38" s="441" t="s">
        <v>1642</v>
      </c>
      <c r="X38" s="442"/>
      <c r="Y38" s="435">
        <v>2</v>
      </c>
      <c r="Z38" s="435" t="s">
        <v>1058</v>
      </c>
      <c r="AA38" s="643"/>
      <c r="AB38" s="644"/>
      <c r="AC38" s="439"/>
      <c r="AD38" s="445"/>
    </row>
    <row r="39" spans="3:33" ht="12.75" customHeight="1">
      <c r="C39" s="423"/>
      <c r="W39" s="441" t="s">
        <v>1643</v>
      </c>
      <c r="X39" s="442"/>
      <c r="Y39" s="497">
        <f>(50*8)+15.4+26</f>
        <v>441.4</v>
      </c>
      <c r="Z39" s="436" t="s">
        <v>7</v>
      </c>
      <c r="AA39" s="656"/>
      <c r="AB39" s="657"/>
      <c r="AC39" s="439"/>
      <c r="AD39" s="445"/>
    </row>
    <row r="40" spans="3:33" ht="12" customHeight="1">
      <c r="C40" s="423"/>
      <c r="W40" s="441" t="s">
        <v>1668</v>
      </c>
      <c r="X40" s="442"/>
      <c r="Y40" s="435">
        <f>40+40+42+42</f>
        <v>164</v>
      </c>
      <c r="Z40" s="436" t="s">
        <v>7</v>
      </c>
      <c r="AA40" s="658"/>
      <c r="AB40" s="659"/>
      <c r="AC40" s="439"/>
      <c r="AD40" s="445"/>
      <c r="AG40" s="452"/>
    </row>
    <row r="41" spans="3:33" ht="12" customHeight="1">
      <c r="C41" s="423"/>
      <c r="W41" s="441" t="s">
        <v>1663</v>
      </c>
      <c r="X41" s="442"/>
      <c r="Y41" s="435">
        <v>74</v>
      </c>
      <c r="Z41" s="436" t="s">
        <v>1058</v>
      </c>
      <c r="AA41" s="658"/>
      <c r="AB41" s="659"/>
      <c r="AC41" s="446"/>
      <c r="AD41" s="447"/>
    </row>
    <row r="42" spans="3:33" ht="12" customHeight="1">
      <c r="C42" s="423"/>
      <c r="W42" s="441"/>
      <c r="X42" s="442"/>
      <c r="Y42" s="435"/>
      <c r="Z42" s="436"/>
      <c r="AA42" s="658"/>
      <c r="AB42" s="659"/>
      <c r="AC42" s="446"/>
      <c r="AD42" s="447"/>
    </row>
    <row r="43" spans="3:33" ht="12" customHeight="1">
      <c r="C43" s="423"/>
      <c r="W43" s="441"/>
      <c r="X43" s="444"/>
      <c r="Y43" s="435"/>
      <c r="Z43" s="436"/>
      <c r="AA43" s="658"/>
      <c r="AB43" s="659"/>
      <c r="AC43" s="446"/>
      <c r="AD43" s="447"/>
    </row>
    <row r="44" spans="3:33" ht="12" customHeight="1">
      <c r="C44" s="423"/>
      <c r="V44" s="448"/>
      <c r="W44" s="662" t="s">
        <v>1611</v>
      </c>
      <c r="X44" s="663"/>
      <c r="Y44" s="663"/>
      <c r="Z44" s="663"/>
      <c r="AA44" s="663"/>
      <c r="AB44" s="663"/>
      <c r="AC44" s="663"/>
      <c r="AD44" s="664"/>
    </row>
    <row r="45" spans="3:33">
      <c r="C45" s="449"/>
      <c r="D45" s="450"/>
      <c r="E45" s="450"/>
      <c r="F45" s="450"/>
      <c r="G45" s="450"/>
      <c r="H45" s="450"/>
      <c r="I45" s="450"/>
      <c r="N45" s="450"/>
      <c r="O45" s="450"/>
      <c r="P45" s="450"/>
      <c r="Q45" s="450"/>
      <c r="R45" s="450"/>
      <c r="S45" s="450"/>
      <c r="T45" s="450"/>
      <c r="U45" s="450"/>
      <c r="V45" s="448"/>
      <c r="W45" s="665"/>
      <c r="X45" s="666"/>
      <c r="Y45" s="666"/>
      <c r="Z45" s="666"/>
      <c r="AA45" s="666"/>
      <c r="AB45" s="666"/>
      <c r="AC45" s="666"/>
      <c r="AD45" s="667"/>
    </row>
    <row r="46" spans="3:33">
      <c r="C46" s="449"/>
      <c r="D46" s="450"/>
      <c r="E46" s="450"/>
      <c r="F46" s="450"/>
      <c r="G46" s="450"/>
      <c r="H46" s="450"/>
      <c r="I46" s="450"/>
      <c r="N46" s="450"/>
      <c r="O46" s="450"/>
      <c r="P46" s="450"/>
      <c r="Q46" s="450"/>
      <c r="R46" s="450"/>
      <c r="S46" s="450"/>
      <c r="T46" s="450"/>
      <c r="U46" s="450"/>
      <c r="V46" s="448"/>
      <c r="W46" s="660" t="s">
        <v>11</v>
      </c>
      <c r="X46" s="661"/>
      <c r="Y46" s="641"/>
      <c r="Z46" s="641"/>
      <c r="AA46" s="641"/>
      <c r="AB46" s="641"/>
      <c r="AC46" s="641"/>
      <c r="AD46" s="642"/>
    </row>
    <row r="47" spans="3:33">
      <c r="C47" s="449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450"/>
      <c r="T47" s="450"/>
      <c r="U47" s="450"/>
      <c r="V47" s="448"/>
      <c r="W47" s="660" t="s">
        <v>984</v>
      </c>
      <c r="X47" s="661"/>
      <c r="Y47" s="641">
        <v>1</v>
      </c>
      <c r="Z47" s="641"/>
      <c r="AA47" s="641"/>
      <c r="AB47" s="641" t="s">
        <v>12</v>
      </c>
      <c r="AC47" s="641"/>
      <c r="AD47" s="428" t="s">
        <v>13</v>
      </c>
    </row>
    <row r="48" spans="3:33">
      <c r="C48" s="449"/>
      <c r="D48" s="450"/>
      <c r="E48" s="450"/>
      <c r="F48" s="450"/>
      <c r="G48" s="450"/>
      <c r="H48" s="450"/>
      <c r="I48" s="450"/>
      <c r="J48" s="450"/>
      <c r="K48" s="450"/>
      <c r="L48" s="450"/>
      <c r="M48" s="450"/>
      <c r="N48" s="450"/>
      <c r="O48" s="450"/>
      <c r="P48" s="450"/>
      <c r="Q48" s="450"/>
      <c r="R48" s="450"/>
      <c r="S48" s="450"/>
      <c r="T48" s="450"/>
      <c r="U48" s="450"/>
      <c r="V48" s="448"/>
      <c r="W48" s="660" t="s">
        <v>15</v>
      </c>
      <c r="X48" s="661"/>
      <c r="Y48" s="674"/>
      <c r="Z48" s="674"/>
      <c r="AA48" s="674"/>
      <c r="AB48" s="641" t="s">
        <v>16</v>
      </c>
      <c r="AC48" s="641"/>
      <c r="AD48" s="451"/>
    </row>
    <row r="49" spans="3:30" ht="12.75" customHeight="1">
      <c r="C49" s="449"/>
      <c r="D49" s="450"/>
      <c r="E49" s="450"/>
      <c r="F49" s="450"/>
      <c r="G49" s="450"/>
      <c r="H49" s="450"/>
      <c r="I49" s="450"/>
      <c r="J49" s="450"/>
      <c r="K49" s="450"/>
      <c r="L49" s="450"/>
      <c r="M49" s="450"/>
      <c r="R49" s="450"/>
      <c r="S49" s="450"/>
      <c r="T49" s="450"/>
      <c r="U49" s="450"/>
      <c r="V49" s="448"/>
      <c r="W49" s="675" t="s">
        <v>17</v>
      </c>
      <c r="X49" s="675"/>
      <c r="Y49" s="675"/>
      <c r="Z49" s="675"/>
      <c r="AA49" s="675"/>
      <c r="AB49" s="675"/>
      <c r="AC49" s="675"/>
      <c r="AD49" s="676"/>
    </row>
    <row r="50" spans="3:30">
      <c r="C50" s="449"/>
      <c r="D50" s="452"/>
      <c r="E50" s="450"/>
      <c r="F50" s="450"/>
      <c r="G50" s="450"/>
      <c r="I50" s="450"/>
      <c r="J50" s="450"/>
      <c r="K50" s="450"/>
      <c r="L50" s="450"/>
      <c r="M50" s="450"/>
      <c r="R50" s="450"/>
      <c r="S50" s="450"/>
      <c r="T50" s="450"/>
      <c r="U50" s="450"/>
      <c r="V50" s="453"/>
      <c r="W50" s="677" t="str">
        <f>RAB!G6</f>
        <v>PB An. PERUM GRIYA PUTRA MANGUNJIWAN ASRI 7</v>
      </c>
      <c r="X50" s="677"/>
      <c r="Y50" s="677"/>
      <c r="Z50" s="677"/>
      <c r="AA50" s="677"/>
      <c r="AB50" s="677"/>
      <c r="AC50" s="677"/>
      <c r="AD50" s="678"/>
    </row>
    <row r="51" spans="3:30" ht="19.5" customHeight="1">
      <c r="C51" s="449"/>
      <c r="D51" s="454"/>
      <c r="E51" s="454"/>
      <c r="F51" s="454"/>
      <c r="G51" s="454"/>
      <c r="I51" s="450"/>
      <c r="J51" s="450"/>
      <c r="K51" s="450"/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3"/>
      <c r="W51" s="677"/>
      <c r="X51" s="677"/>
      <c r="Y51" s="677"/>
      <c r="Z51" s="677"/>
      <c r="AA51" s="677"/>
      <c r="AB51" s="677"/>
      <c r="AC51" s="677"/>
      <c r="AD51" s="678"/>
    </row>
    <row r="52" spans="3:30">
      <c r="C52" s="449"/>
      <c r="D52" s="455"/>
      <c r="E52" s="455"/>
      <c r="F52" s="455"/>
      <c r="G52" s="455"/>
      <c r="I52" s="450"/>
      <c r="J52" s="450"/>
      <c r="K52" s="450"/>
      <c r="L52" s="417"/>
      <c r="M52" s="450"/>
      <c r="N52" s="450"/>
      <c r="O52" s="450"/>
      <c r="P52" s="450"/>
      <c r="Q52" s="450"/>
      <c r="R52" s="450"/>
      <c r="S52" s="450"/>
      <c r="T52" s="450"/>
      <c r="U52" s="450"/>
      <c r="V52" s="448"/>
      <c r="W52" s="679"/>
      <c r="X52" s="679"/>
      <c r="Y52" s="679"/>
      <c r="Z52" s="679"/>
      <c r="AA52" s="679"/>
      <c r="AB52" s="679"/>
      <c r="AC52" s="679"/>
      <c r="AD52" s="680"/>
    </row>
    <row r="53" spans="3:30">
      <c r="C53" s="449"/>
      <c r="D53" s="454"/>
      <c r="E53" s="454"/>
      <c r="F53" s="454"/>
      <c r="G53" s="454"/>
      <c r="I53" s="450"/>
      <c r="J53" s="450"/>
      <c r="K53" s="450"/>
      <c r="L53" s="450"/>
      <c r="M53" s="450"/>
      <c r="N53" s="450"/>
      <c r="O53" s="450"/>
      <c r="P53" s="450"/>
      <c r="Q53" s="450"/>
      <c r="R53" s="450"/>
      <c r="S53" s="450"/>
      <c r="T53" s="450"/>
      <c r="V53" s="448"/>
      <c r="W53" s="673" t="s">
        <v>18</v>
      </c>
      <c r="X53" s="661"/>
      <c r="Y53" s="673" t="s">
        <v>1604</v>
      </c>
      <c r="Z53" s="660"/>
      <c r="AA53" s="661"/>
      <c r="AB53" s="641"/>
      <c r="AC53" s="641"/>
      <c r="AD53" s="642"/>
    </row>
    <row r="54" spans="3:30">
      <c r="C54" s="449"/>
      <c r="D54" s="454"/>
      <c r="E54" s="454"/>
      <c r="F54" s="454"/>
      <c r="G54" s="454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0"/>
      <c r="V54" s="448"/>
      <c r="W54" s="673" t="s">
        <v>19</v>
      </c>
      <c r="X54" s="661"/>
      <c r="Y54" s="673" t="s">
        <v>1605</v>
      </c>
      <c r="Z54" s="660"/>
      <c r="AA54" s="661"/>
      <c r="AB54" s="641"/>
      <c r="AC54" s="641"/>
      <c r="AD54" s="642"/>
    </row>
    <row r="55" spans="3:30">
      <c r="C55" s="449"/>
      <c r="D55" s="418"/>
      <c r="E55" s="418"/>
      <c r="F55" s="418"/>
      <c r="G55" s="418"/>
      <c r="I55" s="450"/>
      <c r="J55" s="450"/>
      <c r="K55" s="450"/>
      <c r="L55" s="450"/>
      <c r="M55" s="450"/>
      <c r="N55" s="450"/>
      <c r="O55" s="450"/>
      <c r="P55" s="450"/>
      <c r="Q55" s="450"/>
      <c r="R55" s="450"/>
      <c r="S55" s="450"/>
      <c r="T55" s="450"/>
      <c r="V55" s="448"/>
      <c r="W55" s="673" t="s">
        <v>20</v>
      </c>
      <c r="X55" s="661"/>
      <c r="Y55" s="673" t="s">
        <v>1605</v>
      </c>
      <c r="Z55" s="660"/>
      <c r="AA55" s="661"/>
      <c r="AB55" s="641"/>
      <c r="AC55" s="641"/>
      <c r="AD55" s="642"/>
    </row>
    <row r="56" spans="3:30" ht="12.6" thickBot="1">
      <c r="C56" s="456"/>
      <c r="D56" s="457"/>
      <c r="E56" s="457"/>
      <c r="F56" s="457"/>
      <c r="G56" s="457"/>
      <c r="H56" s="457"/>
      <c r="I56" s="457"/>
      <c r="J56" s="457"/>
      <c r="K56" s="457"/>
      <c r="L56" s="457"/>
      <c r="M56" s="457"/>
      <c r="N56" s="457"/>
      <c r="O56" s="457"/>
      <c r="P56" s="457"/>
      <c r="Q56" s="457"/>
      <c r="R56" s="457"/>
      <c r="S56" s="457"/>
      <c r="T56" s="457"/>
      <c r="U56" s="458"/>
      <c r="V56" s="459"/>
      <c r="W56" s="668" t="s">
        <v>21</v>
      </c>
      <c r="X56" s="669"/>
      <c r="Y56" s="668" t="s">
        <v>1606</v>
      </c>
      <c r="Z56" s="670"/>
      <c r="AA56" s="669"/>
      <c r="AB56" s="671"/>
      <c r="AC56" s="671"/>
      <c r="AD56" s="672"/>
    </row>
  </sheetData>
  <mergeCells count="84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/>
  <pageMargins left="0.27559055118110198" right="0.3" top="0.31496062992126" bottom="0.59055118110236204" header="0.31496062992126" footer="0.31496062992126"/>
  <pageSetup paperSize="9" scale="60" fitToHeight="2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topLeftCell="A7" zoomScale="85" zoomScaleNormal="40" zoomScaleSheetLayoutView="85" workbookViewId="0">
      <selection activeCell="AI29" sqref="AI29"/>
    </sheetView>
  </sheetViews>
  <sheetFormatPr defaultColWidth="9.33203125" defaultRowHeight="13.8"/>
  <cols>
    <col min="1" max="1" width="1.6640625" style="460" customWidth="1"/>
    <col min="2" max="2" width="10.6640625" style="460" customWidth="1"/>
    <col min="3" max="3" width="2.5546875" style="460" customWidth="1"/>
    <col min="4" max="20" width="9.33203125" style="460"/>
    <col min="21" max="21" width="14.5546875" style="460" customWidth="1"/>
    <col min="22" max="22" width="3.109375" style="460" customWidth="1"/>
    <col min="23" max="26" width="9.33203125" style="460"/>
    <col min="27" max="27" width="2.6640625" style="460" customWidth="1"/>
    <col min="28" max="30" width="4.6640625" style="460" customWidth="1"/>
    <col min="31" max="31" width="1.6640625" style="460" customWidth="1"/>
    <col min="32" max="16384" width="9.33203125" style="460"/>
  </cols>
  <sheetData>
    <row r="1" spans="2:31" ht="14.4" thickBot="1"/>
    <row r="2" spans="2:31" ht="14.4" thickBot="1">
      <c r="B2" s="461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  <c r="AE2" s="464"/>
    </row>
    <row r="3" spans="2:31" ht="12.75" customHeight="1" thickTop="1">
      <c r="B3" s="465"/>
      <c r="C3" s="681" t="str">
        <f>"PETA LOKASI "&amp;RAB!G6</f>
        <v>PETA LOKASI PB An. PERUM GRIYA PUTRA MANGUNJIWAN ASRI 7</v>
      </c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682"/>
      <c r="W3" s="682"/>
      <c r="X3" s="682"/>
      <c r="Y3" s="682"/>
      <c r="Z3" s="682"/>
      <c r="AA3" s="682"/>
      <c r="AB3" s="683"/>
      <c r="AC3" s="466"/>
      <c r="AD3" s="464"/>
      <c r="AE3" s="464"/>
    </row>
    <row r="4" spans="2:31" ht="13.5" customHeight="1" thickBot="1">
      <c r="B4" s="465"/>
      <c r="C4" s="684"/>
      <c r="D4" s="685"/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6"/>
      <c r="AC4" s="466"/>
      <c r="AD4" s="464"/>
      <c r="AE4" s="464"/>
    </row>
    <row r="5" spans="2:31" ht="12.75" customHeight="1" thickTop="1">
      <c r="B5" s="465"/>
      <c r="C5" s="467"/>
      <c r="AD5" s="464"/>
      <c r="AE5" s="464"/>
    </row>
    <row r="6" spans="2:31" ht="12.75" customHeight="1">
      <c r="B6" s="465"/>
      <c r="Y6" s="468"/>
      <c r="Z6" s="468"/>
      <c r="AA6" s="468"/>
      <c r="AB6" s="469"/>
      <c r="AC6" s="469"/>
      <c r="AD6" s="464"/>
      <c r="AE6" s="464"/>
    </row>
    <row r="7" spans="2:31" ht="12.75" customHeight="1">
      <c r="B7" s="465"/>
      <c r="Y7" s="468"/>
      <c r="Z7" s="468"/>
      <c r="AA7" s="468"/>
      <c r="AB7" s="469"/>
      <c r="AC7" s="469"/>
      <c r="AD7" s="464"/>
      <c r="AE7" s="464"/>
    </row>
    <row r="8" spans="2:31" ht="12.75" customHeight="1">
      <c r="B8" s="465"/>
      <c r="AD8" s="464"/>
      <c r="AE8" s="464"/>
    </row>
    <row r="9" spans="2:31" ht="12.75" customHeight="1">
      <c r="B9" s="465"/>
      <c r="AD9" s="464"/>
      <c r="AE9" s="464"/>
    </row>
    <row r="10" spans="2:31">
      <c r="B10" s="465"/>
      <c r="AD10" s="464"/>
      <c r="AE10" s="464"/>
    </row>
    <row r="11" spans="2:31">
      <c r="B11" s="465"/>
      <c r="AD11" s="464"/>
      <c r="AE11" s="464"/>
    </row>
    <row r="12" spans="2:31">
      <c r="B12" s="465"/>
      <c r="AD12" s="464"/>
      <c r="AE12" s="464"/>
    </row>
    <row r="13" spans="2:31">
      <c r="B13" s="465"/>
      <c r="AD13" s="464"/>
      <c r="AE13" s="464"/>
    </row>
    <row r="14" spans="2:31">
      <c r="B14" s="465"/>
      <c r="D14" s="470"/>
      <c r="AD14" s="464"/>
      <c r="AE14" s="464"/>
    </row>
    <row r="15" spans="2:31">
      <c r="B15" s="465"/>
      <c r="AD15" s="464"/>
      <c r="AE15" s="464"/>
    </row>
    <row r="16" spans="2:31">
      <c r="B16" s="465"/>
      <c r="AD16" s="464"/>
      <c r="AE16" s="464"/>
    </row>
    <row r="17" spans="2:31">
      <c r="B17" s="465"/>
      <c r="AD17" s="464"/>
      <c r="AE17" s="464"/>
    </row>
    <row r="18" spans="2:31">
      <c r="B18" s="465"/>
      <c r="AD18" s="464"/>
      <c r="AE18" s="464"/>
    </row>
    <row r="19" spans="2:31">
      <c r="B19" s="465"/>
      <c r="AD19" s="464"/>
      <c r="AE19" s="464"/>
    </row>
    <row r="20" spans="2:31">
      <c r="B20" s="465"/>
      <c r="AD20" s="464"/>
      <c r="AE20" s="464"/>
    </row>
    <row r="21" spans="2:31">
      <c r="B21" s="465"/>
      <c r="AD21" s="464"/>
      <c r="AE21" s="464"/>
    </row>
    <row r="22" spans="2:31">
      <c r="B22" s="465"/>
      <c r="AD22" s="464"/>
      <c r="AE22" s="464"/>
    </row>
    <row r="23" spans="2:31">
      <c r="B23" s="465"/>
      <c r="AD23" s="464"/>
      <c r="AE23" s="464"/>
    </row>
    <row r="24" spans="2:31">
      <c r="B24" s="465"/>
      <c r="AD24" s="464"/>
      <c r="AE24" s="464"/>
    </row>
    <row r="25" spans="2:31">
      <c r="B25" s="465"/>
      <c r="AD25" s="464"/>
      <c r="AE25" s="464"/>
    </row>
    <row r="26" spans="2:31">
      <c r="B26" s="465"/>
      <c r="AD26" s="464"/>
      <c r="AE26" s="464"/>
    </row>
    <row r="27" spans="2:31">
      <c r="B27" s="465"/>
      <c r="AD27" s="464"/>
      <c r="AE27" s="464"/>
    </row>
    <row r="28" spans="2:31">
      <c r="B28" s="465"/>
      <c r="AD28" s="464"/>
      <c r="AE28" s="464"/>
    </row>
    <row r="29" spans="2:31">
      <c r="B29" s="465"/>
      <c r="AD29" s="464"/>
      <c r="AE29" s="464"/>
    </row>
    <row r="30" spans="2:31">
      <c r="B30" s="465"/>
      <c r="AD30" s="464"/>
      <c r="AE30" s="464"/>
    </row>
    <row r="31" spans="2:31">
      <c r="B31" s="465"/>
      <c r="AD31" s="464"/>
      <c r="AE31" s="464"/>
    </row>
    <row r="32" spans="2:31">
      <c r="B32" s="465"/>
      <c r="AD32" s="464"/>
      <c r="AE32" s="464"/>
    </row>
    <row r="33" spans="2:31">
      <c r="B33" s="465"/>
      <c r="AD33" s="464"/>
      <c r="AE33" s="464"/>
    </row>
    <row r="34" spans="2:31">
      <c r="B34" s="465"/>
      <c r="AD34" s="464"/>
      <c r="AE34" s="464"/>
    </row>
    <row r="35" spans="2:31">
      <c r="B35" s="465"/>
      <c r="AD35" s="464"/>
      <c r="AE35" s="464"/>
    </row>
    <row r="36" spans="2:31">
      <c r="B36" s="465"/>
      <c r="AD36" s="464"/>
      <c r="AE36" s="464"/>
    </row>
    <row r="37" spans="2:31">
      <c r="B37" s="465"/>
      <c r="AD37" s="464"/>
      <c r="AE37" s="464"/>
    </row>
    <row r="38" spans="2:31">
      <c r="B38" s="465"/>
      <c r="AD38" s="464"/>
      <c r="AE38" s="464"/>
    </row>
    <row r="39" spans="2:31">
      <c r="B39" s="465"/>
      <c r="AD39" s="464"/>
      <c r="AE39" s="464"/>
    </row>
    <row r="40" spans="2:31">
      <c r="B40" s="465"/>
      <c r="AD40" s="464"/>
      <c r="AE40" s="464"/>
    </row>
    <row r="41" spans="2:31">
      <c r="B41" s="465"/>
      <c r="AD41" s="464"/>
      <c r="AE41" s="464"/>
    </row>
    <row r="42" spans="2:31">
      <c r="B42" s="465"/>
      <c r="AD42" s="464"/>
      <c r="AE42" s="464"/>
    </row>
    <row r="43" spans="2:31">
      <c r="B43" s="465"/>
      <c r="AD43" s="464"/>
      <c r="AE43" s="464"/>
    </row>
    <row r="44" spans="2:31">
      <c r="B44" s="465"/>
      <c r="AD44" s="464"/>
      <c r="AE44" s="464"/>
    </row>
    <row r="45" spans="2:31">
      <c r="B45" s="465"/>
      <c r="AD45" s="464"/>
      <c r="AE45" s="464"/>
    </row>
    <row r="46" spans="2:31">
      <c r="B46" s="465"/>
      <c r="AD46" s="464"/>
      <c r="AE46" s="464"/>
    </row>
    <row r="47" spans="2:31">
      <c r="B47" s="465"/>
      <c r="AD47" s="464"/>
      <c r="AE47" s="464"/>
    </row>
    <row r="48" spans="2:31">
      <c r="B48" s="465"/>
      <c r="AD48" s="464"/>
      <c r="AE48" s="464"/>
    </row>
    <row r="49" spans="2:31">
      <c r="B49" s="465"/>
      <c r="AD49" s="464"/>
      <c r="AE49" s="464"/>
    </row>
    <row r="50" spans="2:31">
      <c r="B50" s="465"/>
      <c r="AD50" s="464"/>
      <c r="AE50" s="464"/>
    </row>
    <row r="51" spans="2:31">
      <c r="B51" s="465"/>
      <c r="AD51" s="464"/>
      <c r="AE51" s="464"/>
    </row>
    <row r="52" spans="2:31">
      <c r="B52" s="465"/>
      <c r="AD52" s="464"/>
      <c r="AE52" s="464"/>
    </row>
    <row r="53" spans="2:31">
      <c r="B53" s="465"/>
      <c r="AD53" s="464"/>
      <c r="AE53" s="464"/>
    </row>
    <row r="54" spans="2:31">
      <c r="B54" s="465"/>
      <c r="AD54" s="464"/>
      <c r="AE54" s="464"/>
    </row>
    <row r="55" spans="2:31">
      <c r="B55" s="465"/>
      <c r="AD55" s="464"/>
      <c r="AE55" s="464"/>
    </row>
    <row r="56" spans="2:31">
      <c r="B56" s="465"/>
      <c r="R56" s="471"/>
      <c r="S56" s="471"/>
      <c r="T56" s="471"/>
      <c r="U56" s="472"/>
      <c r="V56" s="472"/>
      <c r="W56" s="472"/>
      <c r="X56" s="472"/>
      <c r="Y56" s="472"/>
      <c r="Z56" s="472"/>
      <c r="AA56" s="472"/>
      <c r="AB56" s="472"/>
      <c r="AC56" s="472"/>
      <c r="AD56" s="473"/>
      <c r="AE56" s="464"/>
    </row>
    <row r="57" spans="2:31">
      <c r="B57" s="465"/>
      <c r="R57" s="474"/>
      <c r="S57" s="471"/>
      <c r="T57" s="471"/>
      <c r="U57" s="472"/>
      <c r="V57" s="475"/>
      <c r="W57" s="472"/>
      <c r="X57" s="472"/>
      <c r="Y57" s="472"/>
      <c r="Z57" s="472"/>
      <c r="AA57" s="475"/>
      <c r="AB57" s="475"/>
      <c r="AC57" s="475"/>
      <c r="AD57" s="476"/>
      <c r="AE57" s="464"/>
    </row>
    <row r="58" spans="2:31">
      <c r="B58" s="465"/>
      <c r="U58" s="472"/>
      <c r="V58" s="475"/>
      <c r="W58" s="472"/>
      <c r="X58" s="472"/>
      <c r="Y58" s="472"/>
      <c r="Z58" s="472"/>
      <c r="AA58" s="475"/>
      <c r="AB58" s="472"/>
      <c r="AC58" s="472"/>
      <c r="AD58" s="473"/>
      <c r="AE58" s="464"/>
    </row>
    <row r="59" spans="2:31">
      <c r="B59" s="465"/>
      <c r="U59" s="472"/>
      <c r="V59" s="475"/>
      <c r="W59" s="472"/>
      <c r="X59" s="472"/>
      <c r="Y59" s="472"/>
      <c r="Z59" s="472"/>
      <c r="AA59" s="472"/>
      <c r="AB59" s="472"/>
      <c r="AC59" s="472"/>
      <c r="AD59" s="473"/>
      <c r="AE59" s="464"/>
    </row>
    <row r="60" spans="2:31">
      <c r="B60" s="465"/>
      <c r="U60" s="472"/>
      <c r="V60" s="475"/>
      <c r="W60" s="472"/>
      <c r="X60" s="472"/>
      <c r="Y60" s="472"/>
      <c r="Z60" s="472"/>
      <c r="AA60" s="472"/>
      <c r="AB60" s="472"/>
      <c r="AC60" s="472"/>
      <c r="AD60" s="473"/>
      <c r="AE60" s="464"/>
    </row>
    <row r="61" spans="2:31">
      <c r="B61" s="465"/>
      <c r="U61" s="472"/>
      <c r="V61" s="475"/>
      <c r="W61" s="472"/>
      <c r="X61" s="472"/>
      <c r="Y61" s="472"/>
      <c r="Z61" s="472"/>
      <c r="AA61" s="472"/>
      <c r="AB61" s="472"/>
      <c r="AC61" s="472"/>
      <c r="AD61" s="473"/>
      <c r="AE61" s="464"/>
    </row>
    <row r="62" spans="2:31">
      <c r="B62" s="465"/>
      <c r="U62" s="472"/>
      <c r="V62" s="475"/>
      <c r="W62" s="472"/>
      <c r="X62" s="472"/>
      <c r="Y62" s="472"/>
      <c r="Z62" s="472"/>
      <c r="AA62" s="475"/>
      <c r="AB62" s="472"/>
      <c r="AC62" s="472"/>
      <c r="AD62" s="473"/>
      <c r="AE62" s="464"/>
    </row>
    <row r="63" spans="2:31">
      <c r="B63" s="465"/>
      <c r="U63" s="472"/>
      <c r="V63" s="475"/>
      <c r="W63" s="472"/>
      <c r="X63" s="472"/>
      <c r="Y63" s="472"/>
      <c r="Z63" s="472"/>
      <c r="AA63" s="472"/>
      <c r="AB63" s="472"/>
      <c r="AC63" s="472"/>
      <c r="AD63" s="473"/>
      <c r="AE63" s="464"/>
    </row>
    <row r="64" spans="2:31">
      <c r="B64" s="465"/>
      <c r="U64" s="472"/>
      <c r="V64" s="475"/>
      <c r="W64" s="472"/>
      <c r="X64" s="472"/>
      <c r="Y64" s="472"/>
      <c r="Z64" s="472"/>
      <c r="AA64" s="472"/>
      <c r="AB64" s="472"/>
      <c r="AC64" s="472"/>
      <c r="AD64" s="473"/>
      <c r="AE64" s="464"/>
    </row>
    <row r="65" spans="2:31">
      <c r="B65" s="465"/>
      <c r="U65" s="472"/>
      <c r="V65" s="475"/>
      <c r="W65" s="472"/>
      <c r="X65" s="472"/>
      <c r="Y65" s="472"/>
      <c r="Z65" s="472"/>
      <c r="AA65" s="472"/>
      <c r="AB65" s="472"/>
      <c r="AC65" s="472"/>
      <c r="AD65" s="473"/>
      <c r="AE65" s="464"/>
    </row>
    <row r="66" spans="2:31">
      <c r="B66" s="465"/>
      <c r="U66" s="472"/>
      <c r="V66" s="475"/>
      <c r="W66" s="472"/>
      <c r="X66" s="472"/>
      <c r="Y66" s="472"/>
      <c r="Z66" s="472"/>
      <c r="AA66" s="472"/>
      <c r="AB66" s="472"/>
      <c r="AC66" s="472"/>
      <c r="AD66" s="473"/>
      <c r="AE66" s="464"/>
    </row>
    <row r="67" spans="2:31" ht="14.4" thickBot="1">
      <c r="B67" s="477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9"/>
      <c r="V67" s="480"/>
      <c r="W67" s="479"/>
      <c r="X67" s="479"/>
      <c r="Y67" s="479"/>
      <c r="Z67" s="479"/>
      <c r="AA67" s="479"/>
      <c r="AB67" s="479"/>
      <c r="AC67" s="479"/>
      <c r="AD67" s="481"/>
      <c r="AE67" s="464"/>
    </row>
    <row r="68" spans="2:31" ht="6" customHeight="1" thickBot="1">
      <c r="B68" s="478"/>
      <c r="C68" s="478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8"/>
      <c r="W68" s="478"/>
      <c r="X68" s="478"/>
      <c r="Y68" s="478"/>
      <c r="Z68" s="478"/>
      <c r="AA68" s="478"/>
      <c r="AB68" s="478"/>
      <c r="AC68" s="478"/>
      <c r="AD68" s="478"/>
      <c r="AE68" s="482"/>
    </row>
    <row r="75" spans="2:31">
      <c r="M75" s="483"/>
    </row>
    <row r="76" spans="2:31" ht="15" customHeight="1">
      <c r="E76" s="484"/>
      <c r="M76" s="483"/>
    </row>
    <row r="77" spans="2:31" ht="15" customHeight="1">
      <c r="E77" s="484"/>
      <c r="M77" s="483"/>
    </row>
    <row r="78" spans="2:31" ht="15" customHeight="1">
      <c r="E78" s="484"/>
      <c r="M78" s="483"/>
    </row>
    <row r="79" spans="2:31" ht="15" customHeight="1">
      <c r="E79" s="484"/>
      <c r="M79" s="483"/>
    </row>
    <row r="80" spans="2:31" ht="15" customHeight="1">
      <c r="E80" s="484"/>
      <c r="M80" s="483"/>
    </row>
    <row r="81" spans="5:13" ht="15" customHeight="1">
      <c r="E81" s="484"/>
      <c r="M81" s="483"/>
    </row>
    <row r="82" spans="5:13" ht="15" customHeight="1">
      <c r="E82" s="484"/>
      <c r="M82" s="483"/>
    </row>
    <row r="83" spans="5:13" ht="15" customHeight="1">
      <c r="E83" s="484"/>
      <c r="M83" s="483"/>
    </row>
    <row r="84" spans="5:13" ht="15" customHeight="1">
      <c r="E84" s="484"/>
      <c r="M84" s="483"/>
    </row>
    <row r="85" spans="5:13" ht="15" customHeight="1">
      <c r="E85" s="484"/>
      <c r="M85" s="483"/>
    </row>
    <row r="86" spans="5:13" ht="15" customHeight="1">
      <c r="E86" s="484"/>
      <c r="M86" s="483"/>
    </row>
    <row r="87" spans="5:13" ht="15" customHeight="1">
      <c r="E87" s="484"/>
      <c r="M87" s="483"/>
    </row>
    <row r="88" spans="5:13" ht="15" customHeight="1">
      <c r="E88" s="484"/>
      <c r="M88" s="483"/>
    </row>
    <row r="89" spans="5:13" ht="15" customHeight="1">
      <c r="E89" s="484"/>
      <c r="M89" s="483"/>
    </row>
    <row r="90" spans="5:13" ht="15" customHeight="1">
      <c r="E90" s="484"/>
      <c r="M90" s="483"/>
    </row>
    <row r="91" spans="5:13" ht="15" customHeight="1">
      <c r="E91" s="484"/>
      <c r="M91" s="483"/>
    </row>
    <row r="92" spans="5:13" ht="15" customHeight="1">
      <c r="E92" s="484"/>
      <c r="M92" s="483"/>
    </row>
    <row r="93" spans="5:13" ht="15" customHeight="1">
      <c r="E93" s="484"/>
      <c r="M93" s="483"/>
    </row>
    <row r="94" spans="5:13" ht="15" customHeight="1">
      <c r="E94" s="484"/>
      <c r="M94" s="483"/>
    </row>
    <row r="95" spans="5:13" ht="15" customHeight="1">
      <c r="E95" s="484"/>
      <c r="M95" s="483"/>
    </row>
    <row r="96" spans="5:13" ht="15" customHeight="1">
      <c r="E96" s="484"/>
      <c r="M96" s="483"/>
    </row>
    <row r="97" spans="5:13" ht="15" customHeight="1">
      <c r="E97" s="484"/>
      <c r="M97" s="483"/>
    </row>
    <row r="98" spans="5:13" ht="15" customHeight="1">
      <c r="E98" s="484"/>
    </row>
    <row r="99" spans="5:13" ht="15" customHeight="1">
      <c r="E99" s="484"/>
    </row>
    <row r="100" spans="5:13" ht="15" customHeight="1">
      <c r="E100" s="484"/>
    </row>
    <row r="101" spans="5:13" ht="15" customHeight="1">
      <c r="E101" s="484"/>
    </row>
    <row r="102" spans="5:13" ht="15" customHeight="1">
      <c r="E102" s="484"/>
    </row>
    <row r="103" spans="5:13" ht="15" customHeight="1">
      <c r="E103" s="484"/>
    </row>
    <row r="104" spans="5:13" ht="15" customHeight="1">
      <c r="E104" s="484"/>
    </row>
    <row r="105" spans="5:13" ht="15" customHeight="1">
      <c r="E105" s="484"/>
    </row>
    <row r="106" spans="5:13" ht="15" customHeight="1">
      <c r="E106" s="484"/>
    </row>
    <row r="107" spans="5:13" ht="15" customHeight="1">
      <c r="E107" s="484"/>
    </row>
    <row r="108" spans="5:13" ht="15" customHeight="1">
      <c r="E108" s="484"/>
    </row>
    <row r="109" spans="5:13" ht="15" customHeight="1">
      <c r="E109" s="484"/>
    </row>
    <row r="110" spans="5:13" ht="15" customHeight="1">
      <c r="E110" s="484"/>
    </row>
    <row r="111" spans="5:13" ht="15" customHeight="1">
      <c r="E111" s="484"/>
    </row>
    <row r="112" spans="5:13" ht="15" customHeight="1">
      <c r="E112" s="484"/>
    </row>
    <row r="113" spans="5:5" ht="15" customHeight="1">
      <c r="E113" s="484"/>
    </row>
    <row r="114" spans="5:5" ht="15" customHeight="1">
      <c r="E114" s="484"/>
    </row>
    <row r="115" spans="5:5" ht="15" customHeight="1">
      <c r="E115" s="484"/>
    </row>
    <row r="116" spans="5:5" ht="15" customHeight="1">
      <c r="E116" s="484"/>
    </row>
    <row r="117" spans="5:5" ht="15" customHeight="1">
      <c r="E117" s="484"/>
    </row>
    <row r="118" spans="5:5" ht="15" customHeight="1">
      <c r="E118" s="484"/>
    </row>
    <row r="119" spans="5:5" ht="15" customHeight="1">
      <c r="E119" s="484"/>
    </row>
    <row r="120" spans="5:5" ht="15" customHeight="1">
      <c r="E120" s="484"/>
    </row>
    <row r="121" spans="5:5" ht="15" customHeight="1">
      <c r="E121" s="484"/>
    </row>
    <row r="122" spans="5:5">
      <c r="E122" s="484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7" t="s">
        <v>1625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8"/>
      <c r="X4" s="688"/>
      <c r="Y4" s="688"/>
      <c r="Z4" s="688"/>
      <c r="AA4" s="688"/>
      <c r="AB4" s="688"/>
      <c r="AC4" s="689"/>
      <c r="AD4" s="206"/>
      <c r="AE4" s="205"/>
      <c r="AF4" s="205"/>
    </row>
    <row r="5" spans="2:32" ht="13.5" customHeight="1" thickBot="1">
      <c r="B5" s="204"/>
      <c r="C5" s="204"/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2024-05-28T06:30:46Z</cp:lastPrinted>
  <dcterms:created xsi:type="dcterms:W3CDTF">2011-02-06T11:57:38Z</dcterms:created>
  <dcterms:modified xsi:type="dcterms:W3CDTF">2024-05-30T06:34:09Z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