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FD166410-8D63-4F76-B45C-10A49C2AA9F6}" xr6:coauthVersionLast="47" xr6:coauthVersionMax="47" xr10:uidLastSave="{00000000-0000-0000-0000-000000000000}"/>
  <bookViews>
    <workbookView xWindow="-120" yWindow="-120" windowWidth="29040" windowHeight="1572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RAB!$A$1:$K$80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1" i="11" l="1"/>
  <c r="F50" i="11"/>
  <c r="F49" i="11"/>
  <c r="F48" i="11"/>
  <c r="F47" i="11"/>
  <c r="D46" i="11"/>
  <c r="J46" i="11" s="1"/>
  <c r="E46" i="11"/>
  <c r="G46" i="11"/>
  <c r="D47" i="11"/>
  <c r="J47" i="11" s="1"/>
  <c r="E47" i="11"/>
  <c r="G47" i="11"/>
  <c r="D48" i="11"/>
  <c r="H48" i="11" s="1"/>
  <c r="E48" i="11"/>
  <c r="G48" i="11"/>
  <c r="D49" i="11"/>
  <c r="J49" i="11" s="1"/>
  <c r="E49" i="11"/>
  <c r="G49" i="11"/>
  <c r="D50" i="11"/>
  <c r="J50" i="11" s="1"/>
  <c r="E50" i="11"/>
  <c r="G50" i="11"/>
  <c r="D51" i="11"/>
  <c r="E51" i="11"/>
  <c r="G51" i="11"/>
  <c r="D52" i="11"/>
  <c r="H52" i="11" s="1"/>
  <c r="E52" i="11"/>
  <c r="G52" i="11"/>
  <c r="D53" i="11"/>
  <c r="J53" i="11" s="1"/>
  <c r="E53" i="11"/>
  <c r="G53" i="11"/>
  <c r="D54" i="11"/>
  <c r="J54" i="11" s="1"/>
  <c r="E54" i="11"/>
  <c r="G54" i="11"/>
  <c r="D55" i="11"/>
  <c r="J55" i="11" s="1"/>
  <c r="E55" i="11"/>
  <c r="G55" i="11"/>
  <c r="D56" i="11"/>
  <c r="J56" i="11" s="1"/>
  <c r="E56" i="11"/>
  <c r="G56" i="11"/>
  <c r="I56" i="11"/>
  <c r="D57" i="11"/>
  <c r="J57" i="11" s="1"/>
  <c r="E57" i="11"/>
  <c r="G57" i="11"/>
  <c r="H57" i="11"/>
  <c r="I57" i="11"/>
  <c r="D58" i="11"/>
  <c r="J58" i="11" s="1"/>
  <c r="E58" i="11"/>
  <c r="G58" i="11"/>
  <c r="D59" i="11"/>
  <c r="J59" i="11" s="1"/>
  <c r="E59" i="11"/>
  <c r="G59" i="11"/>
  <c r="F44" i="11"/>
  <c r="F43" i="11"/>
  <c r="F42" i="11"/>
  <c r="F41" i="11"/>
  <c r="F40" i="11"/>
  <c r="F39" i="11"/>
  <c r="F38" i="11"/>
  <c r="F37" i="11"/>
  <c r="F36" i="11"/>
  <c r="F33" i="11"/>
  <c r="F32" i="11"/>
  <c r="F31" i="11"/>
  <c r="F30" i="11"/>
  <c r="F29" i="11"/>
  <c r="F28" i="11"/>
  <c r="F27" i="11"/>
  <c r="F26" i="11"/>
  <c r="F25" i="11"/>
  <c r="F24" i="11"/>
  <c r="F22" i="11"/>
  <c r="D18" i="11"/>
  <c r="J18" i="11" s="1"/>
  <c r="E18" i="11"/>
  <c r="G18" i="11"/>
  <c r="D19" i="11"/>
  <c r="J19" i="11" s="1"/>
  <c r="E19" i="11"/>
  <c r="G19" i="11"/>
  <c r="D20" i="11"/>
  <c r="H20" i="11" s="1"/>
  <c r="E20" i="11"/>
  <c r="G20" i="11"/>
  <c r="D21" i="11"/>
  <c r="H21" i="11" s="1"/>
  <c r="E21" i="11"/>
  <c r="G21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H26" i="11" s="1"/>
  <c r="E26" i="11"/>
  <c r="G26" i="11"/>
  <c r="D27" i="11"/>
  <c r="J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G38" i="11"/>
  <c r="D39" i="11"/>
  <c r="J39" i="11" s="1"/>
  <c r="E39" i="11"/>
  <c r="G39" i="11"/>
  <c r="D40" i="11"/>
  <c r="H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H44" i="11" s="1"/>
  <c r="E44" i="11"/>
  <c r="G44" i="11"/>
  <c r="D45" i="11"/>
  <c r="H45" i="11" s="1"/>
  <c r="E45" i="11"/>
  <c r="G45" i="11"/>
  <c r="H50" i="11" l="1"/>
  <c r="H49" i="11"/>
  <c r="J48" i="11"/>
  <c r="I46" i="11"/>
  <c r="J51" i="11"/>
  <c r="I58" i="11"/>
  <c r="I54" i="11"/>
  <c r="I53" i="11"/>
  <c r="J52" i="11"/>
  <c r="I50" i="11"/>
  <c r="I49" i="11"/>
  <c r="K49" i="11" s="1"/>
  <c r="I48" i="11"/>
  <c r="K48" i="11" s="1"/>
  <c r="H46" i="11"/>
  <c r="I59" i="11"/>
  <c r="H56" i="11"/>
  <c r="K56" i="11" s="1"/>
  <c r="I55" i="11"/>
  <c r="H53" i="11"/>
  <c r="H58" i="11"/>
  <c r="K57" i="11"/>
  <c r="H54" i="11"/>
  <c r="I52" i="11"/>
  <c r="K52" i="11" s="1"/>
  <c r="I51" i="11"/>
  <c r="I47" i="11"/>
  <c r="K50" i="11"/>
  <c r="K58" i="11"/>
  <c r="H59" i="11"/>
  <c r="H55" i="11"/>
  <c r="K55" i="11" s="1"/>
  <c r="H51" i="11"/>
  <c r="H47" i="11"/>
  <c r="J20" i="11"/>
  <c r="I34" i="11"/>
  <c r="J33" i="11"/>
  <c r="J32" i="11"/>
  <c r="J26" i="11"/>
  <c r="I26" i="11"/>
  <c r="I22" i="11"/>
  <c r="J21" i="11"/>
  <c r="H25" i="11"/>
  <c r="I18" i="11"/>
  <c r="H22" i="11"/>
  <c r="K22" i="11" s="1"/>
  <c r="J44" i="11"/>
  <c r="H18" i="11"/>
  <c r="J45" i="11"/>
  <c r="I38" i="11"/>
  <c r="J37" i="11"/>
  <c r="J36" i="11"/>
  <c r="I42" i="11"/>
  <c r="J41" i="11"/>
  <c r="J40" i="11"/>
  <c r="H24" i="11"/>
  <c r="I30" i="11"/>
  <c r="J29" i="11"/>
  <c r="J28" i="11"/>
  <c r="J25" i="11"/>
  <c r="I29" i="11"/>
  <c r="I25" i="11"/>
  <c r="I21" i="11"/>
  <c r="H42" i="11"/>
  <c r="H38" i="11"/>
  <c r="H34" i="11"/>
  <c r="H30" i="11"/>
  <c r="I41" i="11"/>
  <c r="I37" i="11"/>
  <c r="I33" i="11"/>
  <c r="K33" i="11" s="1"/>
  <c r="I45" i="11"/>
  <c r="I44" i="11"/>
  <c r="I43" i="11"/>
  <c r="I40" i="11"/>
  <c r="I39" i="11"/>
  <c r="I36" i="11"/>
  <c r="I35" i="11"/>
  <c r="I32" i="11"/>
  <c r="I31" i="11"/>
  <c r="I28" i="11"/>
  <c r="I27" i="11"/>
  <c r="I24" i="11"/>
  <c r="I23" i="11"/>
  <c r="I20" i="11"/>
  <c r="K20" i="11" s="1"/>
  <c r="I19" i="11"/>
  <c r="H35" i="11"/>
  <c r="H31" i="11"/>
  <c r="K31" i="11" s="1"/>
  <c r="H27" i="11"/>
  <c r="H23" i="11"/>
  <c r="H19" i="11"/>
  <c r="H43" i="11"/>
  <c r="H39" i="11"/>
  <c r="K47" i="11" l="1"/>
  <c r="K53" i="11"/>
  <c r="K46" i="11"/>
  <c r="K51" i="11"/>
  <c r="K54" i="11"/>
  <c r="K59" i="11"/>
  <c r="K42" i="11"/>
  <c r="K18" i="11"/>
  <c r="K34" i="11"/>
  <c r="K29" i="11"/>
  <c r="K26" i="11"/>
  <c r="K44" i="11"/>
  <c r="K21" i="11"/>
  <c r="K30" i="11"/>
  <c r="K45" i="11"/>
  <c r="K25" i="11"/>
  <c r="K36" i="11"/>
  <c r="K24" i="11"/>
  <c r="K32" i="11"/>
  <c r="K40" i="11"/>
  <c r="K39" i="11"/>
  <c r="K23" i="11"/>
  <c r="K28" i="11"/>
  <c r="K37" i="11"/>
  <c r="K27" i="11"/>
  <c r="K41" i="11"/>
  <c r="K43" i="11"/>
  <c r="K19" i="11"/>
  <c r="K35" i="11"/>
  <c r="K38" i="11"/>
  <c r="D17" i="11" l="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D20" i="60"/>
  <c r="D14" i="11" l="1"/>
  <c r="J14" i="11" s="1"/>
  <c r="E14" i="11"/>
  <c r="G14" i="11"/>
  <c r="K19" i="60"/>
  <c r="D19" i="60"/>
  <c r="H14" i="11" l="1"/>
  <c r="I14" i="11"/>
  <c r="K14" i="11" l="1"/>
  <c r="W49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6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60" i="11"/>
  <c r="D61" i="11"/>
  <c r="H61" i="11" s="1"/>
  <c r="E6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6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6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61" i="11"/>
  <c r="I6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6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63" i="11"/>
  <c r="H64" i="11" s="1"/>
  <c r="I63" i="11"/>
  <c r="I6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65" i="11"/>
  <c r="I65" i="11"/>
  <c r="F364" i="29"/>
  <c r="F69" i="39"/>
  <c r="F72" i="39"/>
  <c r="F367" i="29"/>
  <c r="J60" i="11"/>
  <c r="K6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63" i="11" l="1"/>
  <c r="K64" i="11" s="1"/>
  <c r="K65" i="11" s="1"/>
  <c r="B6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63" i="11"/>
  <c r="J6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6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<sst xmlns="http://schemas.openxmlformats.org/spreadsheetml/2006/main" count="4740" uniqueCount="1646">
  <si>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</si>
  <si>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</si>
  <si>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</si>
  <si>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</si>
  <si>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</si>
  <si>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</si>
  <si>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</si>
  <si>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</si>
  <si>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</si>
  <si>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</si>
  <si>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</si>
  <si>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</si>
  <si>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</si>
  <si>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</si>
  <si>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</si>
  <si>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</si>
  <si>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</si>
  <si>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</si>
  <si>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</si>
  <si>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</si>
  <si>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</si>
  <si>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</si>
  <si>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</si>
  <si>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</si>
  <si>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</si>
  <si>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</si>
  <si>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</si>
  <si>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</si>
  <si>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</si>
  <si>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</si>
  <si>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</si>
  <si>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</si>
  <si>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</si>
  <si>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</si>
  <si>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</si>
  <si>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</si>
  <si>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</si>
  <si>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</si>
  <si>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</si>
  <si>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</si>
  <si>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</si>
  <si>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</si>
  <si>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</si>
  <si>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</si>
  <si>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</si>
  <si>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</si>
  <si>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</si>
  <si>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</si>
  <si>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</si>
  <si>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</si>
  <si>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</si>
  <si>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</si>
  <si>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</si>
  <si>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</si>
  <si>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</si>
  <si>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</si>
  <si>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</si>
  <si>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</si>
  <si>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</si>
  <si>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</si>
  <si>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</si>
  <si>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</si>
  <si>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</si>
  <si>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</si>
  <si>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</si>
  <si>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</si>
  <si>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</si>
  <si>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</si>
  <si>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</si>
  <si>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</si>
  <si>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</si>
  <si>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</si>
  <si>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</si>
  <si>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</si>
  <si>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</si>
  <si>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</si>
  <si>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</si>
  <si>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</si>
  <si>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</si>
  <si>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</si>
  <si>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</si>
  <si>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</si>
  <si>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</si>
  <si>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</si>
  <si>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</si>
  <si>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</si>
  <si>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</si>
  <si>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</si>
  <si>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</si>
  <si>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</si>
  <si>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</si>
  <si>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</si>
  <si>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</si>
  <si>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</si>
  <si>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</si>
  <si>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</si>
  <si>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</si>
  <si>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</si>
  <si>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</si>
  <si>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</si>
  <si>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</si>
  <si>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</si>
  <si>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</si>
  <si>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</si>
  <si>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</si>
  <si>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</si>
  <si>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</si>
  <si>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</si>
  <si>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</si>
  <si>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</si>
  <si>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</si>
  <si>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</si>
  <si>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</si>
  <si>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</si>
  <si>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</si>
  <si>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</si>
  <si>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</si>
  <si>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</si>
  <si>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</si>
  <si>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</si>
  <si>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</si>
  <si>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</si>
  <si>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</si>
  <si>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</si>
  <si>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</si>
  <si>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</si>
  <si>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</si>
  <si>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</si>
  <si>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</si>
  <si>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</si>
  <si>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</si>
  <si>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</si>
  <si>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</si>
  <si>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</si>
  <si>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</si>
  <si>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</si>
  <si>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</si>
  <si>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</si>
  <si>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</si>
  <si>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</si>
  <si>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</si>
  <si>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</si>
  <si>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</si>
  <si>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</si>
  <si>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</si>
  <si>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</si>
  <si>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</si>
  <si>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</si>
  <si>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</si>
  <si>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</si>
  <si>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</si>
  <si>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</si>
  <si>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</si>
  <si>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</si>
  <si>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</si>
  <si>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</si>
  <si>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</si>
  <si>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</si>
  <si>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</si>
  <si>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</si>
  <si>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</si>
  <si>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</si>
  <si>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</si>
  <si>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</si>
  <si>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</si>
  <si>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</si>
  <si>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</si>
  <si>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</si>
  <si>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</si>
  <si>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</si>
  <si>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</si>
  <si>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</si>
  <si>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</si>
  <si>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</si>
  <si>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</si>
  <si>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</si>
  <si>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</si>
  <si>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</si>
  <si>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</si>
  <si>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</si>
  <si>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</si>
  <si>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</si>
  <si>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</si>
  <si>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</si>
  <si>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</si>
  <si>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</si>
  <si>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</si>
  <si>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</si>
  <si>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</si>
  <si>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</si>
  <si>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</si>
  <si>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</si>
  <si>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</si>
  <si>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</si>
  <si>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</si>
  <si>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</si>
  <si>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</si>
  <si>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</si>
  <si>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</si>
  <si>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</si>
  <si>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</si>
  <si>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</si>
  <si>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</si>
  <si>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</si>
  <si>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</si>
  <si>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</si>
  <si>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</si>
  <si>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</si>
  <si>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</si>
  <si>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</si>
  <si>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</si>
  <si>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</si>
  <si>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</si>
  <si>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</si>
  <si>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</si>
  <si>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</si>
  <si>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</si>
  <si>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</si>
  <si>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</si>
  <si>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</si>
  <si>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</si>
  <si>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</si>
  <si>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</si>
  <si>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</si>
  <si>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</si>
  <si>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</si>
  <si>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</si>
  <si>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</si>
  <si>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</si>
  <si>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</si>
  <si>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</si>
  <si>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</si>
  <si>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</si>
  <si>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</si>
  <si>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</si>
  <si>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</si>
  <si>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</si>
  <si>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</si>
  <si>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</si>
  <si>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</si>
  <si>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</si>
  <si>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</si>
  <si>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</si>
  <si>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</si>
  <si>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</si>
  <si>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</si>
  <si>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</si>
  <si>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</si>
  <si>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</si>
  <si>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</si>
  <si>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</si>
  <si>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</si>
  <si>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</si>
  <si>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</si>
  <si>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</si>
  <si>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</si>
  <si>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</si>
  <si>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</si>
  <si>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</si>
  <si>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</si>
  <si>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</si>
  <si>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</si>
  <si>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</si>
  <si>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</si>
  <si>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</si>
  <si>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</si>
  <si>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</si>
  <si>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</si>
  <si>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</si>
  <si>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</si>
  <si>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</si>
  <si>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</si>
  <si>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</si>
  <si>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</si>
  <si>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</si>
  <si>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</si>
  <si>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</si>
  <si>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</si>
  <si>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</si>
  <si>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</si>
  <si>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</si>
  <si>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</si>
  <si>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</si>
  <si>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</si>
  <si>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</si>
  <si>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</si>
  <si>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</si>
  <si>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</si>
  <si>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</si>
  <si>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</si>
  <si>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</si>
  <si>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</si>
  <si>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</si>
  <si>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</si>
  <si>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</si>
  <si>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</si>
  <si>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</si>
  <si>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</si>
  <si>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</si>
  <si>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</si>
  <si>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</si>
  <si>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</si>
  <si>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</si>
  <si>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</si>
  <si>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</si>
  <si>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</si>
  <si>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</si>
  <si>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</si>
  <si>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</si>
  <si>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</si>
  <si>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</si>
  <si>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</si>
  <si>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</si>
  <si>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</si>
  <si>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</si>
  <si>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</si>
  <si>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</si>
  <si>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</si>
  <si>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</si>
  <si>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</si>
  <si>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</si>
  <si>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</si>
  <si>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</si>
  <si>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</si>
  <si>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</si>
  <si>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</si>
  <si>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</si>
  <si>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</si>
  <si>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</si>
  <si>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</si>
  <si>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</si>
  <si>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</si>
  <si>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</si>
  <si>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</si>
  <si>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</si>
  <si>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</si>
  <si>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</si>
  <si>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</si>
  <si>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</si>
  <si>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</si>
  <si>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</si>
  <si>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</si>
  <si>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</si>
  <si>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</si>
  <si>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</si>
  <si>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</si>
  <si>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</si>
  <si>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</si>
  <si>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</si>
  <si>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</si>
  <si>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</si>
  <si>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</si>
  <si>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</si>
  <si>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</si>
  <si>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</si>
  <si>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</si>
  <si>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</si>
  <si>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</si>
  <si>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</si>
  <si>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</si>
  <si>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</si>
  <si>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</si>
  <si>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</si>
  <si>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</si>
  <si>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</si>
  <si>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</si>
  <si>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</si>
  <si>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</si>
  <si>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</si>
  <si>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</si>
  <si>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</si>
  <si>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</si>
  <si>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</si>
  <si>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</si>
  <si>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</si>
  <si>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</si>
  <si>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</si>
  <si>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</si>
  <si>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</si>
  <si>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</si>
  <si>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</si>
  <si>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</si>
  <si>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</si>
  <si>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</si>
  <si>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</si>
  <si>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</si>
  <si>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</si>
  <si>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</si>
  <si>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</si>
  <si>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</si>
  <si>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</si>
  <si>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</si>
  <si>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</si>
  <si>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</si>
  <si>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</si>
  <si>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</si>
  <si>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</si>
  <si>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</si>
  <si>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</si>
  <si>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</si>
  <si>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</si>
  <si>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</si>
  <si>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</si>
  <si>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</si>
  <si>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</si>
  <si>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</si>
  <si>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</si>
  <si>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</si>
  <si>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</si>
  <si>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</si>
  <si>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</si>
  <si>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</si>
  <si>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</si>
  <si>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</si>
  <si>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</si>
  <si>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</si>
  <si>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</si>
  <si>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</si>
  <si>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</si>
  <si>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</si>
  <si>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</si>
  <si>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</si>
  <si>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</si>
  <si>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</si>
  <si>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</si>
  <si>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</si>
  <si>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</si>
  <si>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</si>
  <si>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</si>
  <si>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</si>
  <si>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</si>
  <si>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</si>
  <si>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</si>
  <si>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</si>
  <si>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</si>
  <si>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</si>
  <si>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</si>
  <si>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</si>
  <si>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</si>
  <si>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</si>
  <si>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</si>
  <si>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</si>
  <si>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</si>
  <si>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</si>
  <si>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</si>
  <si>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</si>
  <si>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</si>
  <si>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</si>
  <si>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</si>
  <si>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</si>
  <si>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</si>
  <si>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</si>
  <si>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</si>
  <si>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</si>
  <si>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</si>
  <si>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</si>
  <si>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</si>
  <si>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</si>
  <si>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</si>
  <si>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</si>
  <si>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</si>
  <si>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</si>
  <si>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</si>
  <si>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</si>
  <si>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</si>
  <si>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</si>
  <si>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</si>
  <si>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</si>
  <si>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</si>
  <si>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</si>
  <si>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</si>
  <si>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</si>
  <si>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</si>
  <si>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</si>
  <si>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</si>
  <si>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</si>
  <si>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</si>
  <si>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</si>
  <si>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</si>
  <si>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</si>
  <si>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</si>
  <si>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</si>
  <si>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</si>
  <si>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</si>
  <si>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</si>
  <si>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</si>
  <si>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</si>
  <si>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</si>
  <si>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</si>
  <si>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</si>
  <si>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</si>
  <si>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</si>
  <si>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</si>
  <si>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</si>
  <si>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</si>
  <si>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</si>
  <si>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</si>
  <si>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</si>
  <si>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</si>
  <si>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</si>
  <si>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</si>
  <si>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</si>
  <si>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</si>
  <si>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</si>
  <si>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</si>
  <si>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</si>
  <si>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</si>
  <si>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</si>
  <si>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</si>
  <si>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</si>
  <si>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</si>
  <si>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</si>
  <si>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</si>
  <si>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</si>
  <si>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</si>
  <si>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</si>
  <si>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</si>
  <si>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</si>
  <si>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</si>
  <si>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</si>
  <si>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</si>
  <si>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</si>
  <si>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</si>
  <si>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</si>
  <si>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</si>
  <si>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</si>
  <si>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</si>
  <si>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</si>
  <si>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</si>
  <si>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</si>
  <si>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</si>
  <si>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</si>
  <si>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</si>
  <si>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</si>
  <si>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</si>
  <si>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</si>
  <si>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</si>
  <si>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</si>
  <si>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</si>
  <si>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</si>
  <si>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</si>
  <si>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</si>
  <si>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</si>
  <si>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</si>
  <si>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</si>
  <si>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</si>
  <si>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</si>
  <si>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</si>
  <si>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</si>
  <si>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</si>
  <si>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</si>
  <si>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</si>
  <si>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</si>
  <si>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</si>
  <si>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</si>
  <si>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</si>
  <si>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</si>
  <si>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</si>
  <si>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</si>
  <si>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</si>
  <si>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</si>
  <si>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</si>
  <si>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</si>
  <si>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</si>
  <si>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</si>
  <si>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</si>
  <si>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</si>
  <si>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</si>
  <si>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</si>
  <si>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</si>
  <si>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</si>
  <si>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</si>
  <si>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</si>
  <si>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</si>
  <si>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</si>
  <si>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</si>
  <si>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</si>
  <si>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</si>
  <si>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</si>
  <si>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</si>
  <si>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</si>
  <si>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</si>
  <si>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</si>
  <si>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</si>
  <si>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</si>
  <si>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</si>
  <si>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</si>
  <si>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</si>
  <si>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</si>
  <si>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</si>
  <si>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</si>
  <si>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</si>
  <si>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</si>
  <si>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</si>
  <si>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</si>
  <si>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</si>
  <si>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</si>
  <si>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</si>
  <si>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</si>
  <si>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</si>
  <si>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</si>
  <si>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</si>
  <si>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</si>
  <si>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</si>
  <si>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</si>
  <si>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</si>
  <si>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</si>
  <si>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</si>
  <si>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</si>
  <si>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</si>
  <si>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</si>
  <si>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</si>
  <si>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</si>
  <si>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</si>
  <si>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</si>
  <si>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</si>
  <si>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</si>
  <si>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</si>
  <si>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</si>
  <si>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</si>
  <si>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</si>
  <si>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</si>
  <si>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</si>
  <si>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</si>
  <si>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</si>
  <si>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</si>
  <si>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</si>
  <si>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</si>
  <si>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</si>
  <si>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</si>
  <si>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</si>
  <si>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</si>
  <si>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</si>
  <si>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</si>
  <si>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</si>
  <si>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</si>
  <si>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</si>
  <si>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</si>
  <si>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</si>
  <si>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</si>
  <si>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</si>
  <si>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</si>
  <si>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</si>
  <si>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</si>
  <si>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</si>
  <si>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</si>
  <si>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</si>
  <si>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</si>
  <si>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</si>
  <si>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</si>
  <si>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</si>
  <si>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</si>
  <si>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</si>
  <si>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</si>
  <si>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</si>
  <si>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</si>
  <si>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</si>
  <si>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</si>
  <si>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</si>
  <si>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</si>
  <si>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</si>
  <si>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</si>
  <si>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</si>
  <si>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</si>
  <si>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</si>
  <si>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</si>
  <si>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</si>
  <si>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</si>
  <si>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</si>
  <si>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</si>
  <si>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</si>
  <si>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</si>
  <si>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</si>
  <si>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</si>
  <si>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</si>
  <si>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</si>
  <si>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</si>
  <si>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</si>
  <si>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</si>
  <si>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</si>
  <si>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</si>
  <si>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</si>
  <si>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</si>
  <si>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</si>
  <si>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</si>
  <si>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</si>
  <si>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</si>
  <si>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</si>
  <si>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</si>
  <si>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</si>
  <si>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</si>
  <si>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</si>
  <si>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</si>
  <si>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</si>
  <si>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</si>
  <si>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</si>
  <si>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</si>
  <si>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</si>
  <si>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</si>
  <si>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</si>
  <si>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</si>
  <si>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</si>
  <si>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</si>
  <si>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</si>
  <si>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</si>
  <si>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</si>
  <si>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</si>
  <si>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</si>
  <si>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</si>
  <si>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</si>
  <si>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</si>
  <si>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</si>
  <si>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</si>
  <si>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</si>
  <si>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</si>
  <si>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</si>
  <si>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</si>
  <si>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</si>
  <si>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</si>
  <si>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</si>
  <si>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</si>
  <si>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</si>
  <si>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</si>
  <si>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</si>
  <si>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</si>
  <si>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</si>
  <si>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</si>
  <si>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</si>
  <si>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</si>
  <si>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</si>
  <si>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</si>
  <si>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</si>
  <si>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</si>
  <si>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</si>
  <si>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</si>
  <si>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</si>
  <si>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</si>
  <si>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</si>
  <si>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</si>
  <si>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</si>
  <si>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</si>
  <si>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</si>
  <si>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</si>
  <si>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</si>
  <si>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</si>
  <si>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</si>
  <si>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</si>
  <si>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</si>
  <si>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</si>
  <si>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</si>
  <si>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</si>
  <si>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</si>
  <si>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</si>
  <si>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</si>
  <si>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</si>
  <si>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</si>
  <si>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</si>
  <si>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</si>
  <si>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</si>
  <si>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</si>
  <si>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</si>
  <si>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</si>
  <si>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</si>
  <si>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</si>
  <si>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</si>
  <si>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</si>
  <si>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</si>
  <si>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</si>
  <si>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</si>
  <si>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</si>
  <si>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</si>
  <si>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</si>
  <si>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</si>
  <si>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</si>
  <si>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</si>
  <si>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</si>
  <si>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</si>
  <si>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</si>
  <si>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</si>
  <si>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</si>
  <si>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</si>
  <si>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</si>
  <si>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</si>
  <si>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</si>
  <si>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</si>
  <si>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</si>
  <si>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</si>
  <si>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</si>
  <si>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</si>
  <si>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</si>
  <si>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</si>
  <si>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</si>
  <si>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</si>
  <si>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</si>
  <si>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</si>
  <si>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</si>
  <si>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</si>
  <si>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</si>
  <si>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</si>
  <si>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</si>
  <si>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</si>
  <si>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</si>
  <si>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</si>
  <si>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</si>
  <si>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</si>
  <si>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</si>
  <si>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</si>
  <si>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</si>
  <si>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</si>
  <si>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</si>
  <si>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</si>
  <si>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</si>
  <si>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</si>
  <si>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</si>
  <si>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</si>
  <si>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</si>
  <si>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</si>
  <si>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</si>
  <si>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</si>
  <si>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</si>
  <si>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</si>
  <si>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</si>
  <si>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</si>
  <si>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</si>
  <si>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</si>
  <si>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</si>
  <si>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</si>
  <si>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</si>
  <si>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</si>
  <si>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</si>
  <si>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</si>
  <si>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</si>
  <si>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</si>
  <si>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</si>
  <si>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</si>
  <si>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</si>
  <si>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</si>
  <si>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</si>
  <si>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</si>
  <si>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</si>
  <si>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</si>
  <si>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</si>
  <si>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</si>
  <si>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</si>
  <si>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</si>
  <si>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</si>
  <si>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</si>
  <si>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</si>
  <si>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</si>
  <si>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</si>
  <si>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</si>
  <si>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</si>
  <si>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</si>
  <si>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</si>
  <si>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</si>
  <si>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</si>
  <si>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</si>
  <si>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</si>
  <si>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</si>
  <si>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</si>
  <si>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</si>
  <si>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</si>
  <si>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</si>
  <si>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</si>
  <si>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</si>
  <si>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</si>
  <si>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</si>
  <si>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</si>
  <si>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</si>
  <si>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</si>
  <si>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</si>
  <si>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</si>
  <si>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</si>
  <si>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</si>
  <si>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</si>
  <si>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</si>
  <si>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</si>
  <si>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</si>
  <si>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</si>
  <si>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</si>
  <si>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</si>
  <si>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</si>
  <si>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</si>
  <si>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</si>
  <si>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</si>
  <si>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</si>
  <si>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</si>
  <si>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</si>
  <si>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</si>
  <si>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</si>
  <si>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</si>
  <si>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</si>
  <si>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</si>
  <si>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</si>
  <si>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</si>
  <si>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</si>
  <si>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</si>
  <si>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</si>
  <si>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</si>
  <si>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</si>
  <si>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</si>
  <si>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</si>
  <si>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</si>
  <si>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</si>
  <si>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</si>
  <si>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</si>
  <si>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</si>
  <si>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</si>
  <si>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</si>
  <si>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</si>
  <si>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</si>
  <si>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</si>
  <si>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</si>
  <si>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</si>
  <si>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</si>
  <si>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</si>
  <si>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</si>
  <si>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</si>
  <si>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</si>
  <si>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</si>
  <si>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</si>
  <si>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</si>
  <si>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</si>
  <si>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</si>
  <si>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</si>
  <si>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</si>
  <si>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</si>
  <si>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</si>
  <si>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</si>
  <si>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</si>
  <si>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</si>
  <si>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</si>
  <si>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</si>
  <si>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</si>
  <si>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</si>
  <si>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</si>
  <si>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</si>
  <si>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</si>
  <si>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</si>
  <si>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</si>
  <si>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</si>
  <si>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</si>
  <si>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</si>
  <si>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</si>
  <si>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</si>
  <si>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</si>
  <si>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</si>
  <si>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</si>
  <si>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</si>
  <si>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</si>
  <si>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</si>
  <si>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</si>
  <si>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</si>
  <si>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</si>
  <si>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</si>
  <si>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</si>
  <si>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</si>
  <si>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</si>
  <si>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</si>
  <si>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</si>
  <si>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</si>
  <si>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</si>
  <si>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</si>
  <si>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</si>
  <si>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</si>
  <si>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</si>
  <si>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</si>
  <si>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</si>
  <si>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</si>
  <si>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</si>
  <si>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</si>
  <si>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</si>
  <si>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</si>
  <si>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</si>
  <si>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</si>
  <si>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</si>
  <si>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</si>
  <si>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</si>
  <si>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</si>
  <si>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</si>
  <si>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</si>
  <si>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</si>
  <si>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</si>
  <si>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</si>
  <si>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</si>
  <si>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</si>
  <si>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</si>
  <si>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</si>
  <si>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</si>
  <si>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</si>
  <si>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</si>
  <si>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</si>
  <si>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</si>
  <si>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</si>
  <si>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</si>
  <si>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</si>
  <si>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</si>
  <si>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</si>
  <si>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</si>
  <si>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</si>
  <si>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</si>
  <si>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</si>
  <si>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</si>
  <si>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</si>
  <si>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</si>
  <si>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</si>
  <si>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</si>
  <si>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</si>
  <si>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</si>
  <si>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</si>
  <si>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</si>
  <si>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</si>
  <si>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</si>
  <si>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</si>
  <si>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</si>
  <si>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</si>
  <si>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</si>
  <si>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</si>
  <si>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</si>
  <si>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</si>
  <si>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</si>
  <si>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</si>
  <si>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</si>
  <si>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</si>
  <si>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</si>
  <si>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</si>
  <si>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</si>
  <si>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</si>
  <si>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</si>
  <si>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</si>
  <si>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</si>
  <si>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</si>
  <si>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</si>
  <si>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</si>
  <si>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</si>
  <si>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</si>
  <si>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</si>
  <si>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</si>
  <si>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</si>
  <si>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</si>
  <si>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</si>
  <si>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</si>
  <si>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</si>
  <si>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</si>
  <si>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</si>
  <si>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</si>
  <si>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</si>
  <si>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</si>
  <si>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</si>
  <si>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</si>
  <si>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</si>
  <si>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</si>
  <si>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</si>
  <si>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</si>
  <si>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</si>
  <si>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</si>
  <si>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</si>
  <si>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</si>
  <si>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</si>
  <si>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</si>
  <si>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</si>
  <si>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</si>
  <si>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</si>
  <si>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</si>
  <si>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</si>
  <si>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</si>
  <si>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</si>
  <si>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</si>
  <si>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</si>
  <si>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</si>
  <si>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</si>
  <si>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</si>
  <si>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</si>
  <si>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</si>
  <si>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</si>
  <si>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</si>
  <si>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</si>
  <si>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</si>
  <si>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</si>
  <si>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</si>
  <si>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</si>
  <si>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</si>
  <si>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</si>
  <si>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</si>
  <si>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</si>
  <si>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</si>
  <si>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</si>
  <si>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</si>
  <si>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</si>
  <si>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</si>
  <si>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</si>
  <si>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</si>
  <si>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</si>
  <si>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</si>
  <si>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</si>
  <si>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</si>
  <si>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</si>
  <si>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</si>
  <si>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</si>
  <si>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</si>
  <si>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</si>
  <si>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</si>
  <si>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</si>
  <si>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</si>
  <si>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</si>
  <si>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</si>
  <si>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</si>
  <si>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</si>
  <si>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</si>
  <si>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</si>
  <si>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</si>
  <si>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</si>
  <si>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</si>
  <si>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</si>
  <si>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</si>
  <si>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</si>
  <si>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</si>
  <si>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</si>
  <si>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</si>
  <si>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</si>
  <si>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</si>
  <si>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</si>
  <si>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</si>
  <si>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</si>
  <si>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</si>
  <si>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</si>
  <si>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</si>
  <si>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</si>
  <si>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</si>
  <si>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</si>
  <si>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</si>
  <si>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</si>
  <si>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</si>
  <si>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</si>
  <si>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</si>
  <si>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</si>
  <si>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</si>
  <si>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</si>
  <si>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</si>
  <si>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</si>
  <si>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</si>
  <si>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</si>
  <si>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</si>
  <si>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</si>
  <si>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</si>
  <si>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</si>
  <si>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</si>
  <si>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</si>
  <si>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</si>
  <si>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</si>
  <si>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</si>
  <si>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</si>
  <si>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</si>
  <si>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</si>
  <si>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</si>
  <si>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</si>
  <si>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</si>
  <si>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</si>
  <si>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</si>
  <si>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</si>
  <si>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</si>
  <si>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</si>
  <si>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</si>
  <si>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</si>
  <si>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</si>
  <si>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</si>
  <si>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</si>
  <si>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</si>
  <si>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</si>
  <si>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</si>
  <si>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</si>
  <si>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</si>
  <si>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</si>
  <si>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</si>
  <si>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</si>
  <si>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</si>
  <si>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</si>
  <si>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</si>
  <si>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</si>
  <si>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</si>
  <si>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</si>
  <si>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</si>
  <si>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</si>
  <si>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</si>
  <si>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</si>
  <si>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</si>
  <si>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</si>
  <si>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</si>
  <si>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</si>
  <si>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</si>
  <si>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</si>
  <si>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</si>
  <si>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</si>
  <si>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</si>
  <si>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</si>
  <si>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</si>
  <si>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</si>
  <si>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</si>
  <si>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</si>
  <si>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</si>
  <si>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</si>
  <si>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</si>
  <si>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</si>
  <si>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</si>
  <si>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</si>
  <si>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</si>
  <si>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</si>
  <si>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</si>
  <si>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</si>
  <si>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</si>
  <si>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</si>
  <si>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</si>
  <si>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</si>
  <si>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</si>
  <si>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</si>
  <si>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</si>
  <si>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</si>
  <si>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</si>
  <si>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</si>
  <si>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</si>
  <si>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</si>
  <si>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</si>
  <si>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</si>
  <si>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</si>
  <si>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</si>
  <si>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</si>
  <si>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</si>
  <si>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</si>
  <si>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</si>
  <si>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</si>
  <si>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</si>
  <si>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</si>
  <si>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</si>
  <si>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</si>
  <si>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</si>
  <si>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</si>
  <si>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</si>
  <si>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</si>
  <si>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</si>
  <si>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</si>
  <si>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</si>
  <si>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</si>
  <si>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</si>
  <si>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</si>
  <si>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</si>
  <si>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</si>
  <si>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</si>
  <si>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</si>
  <si>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</si>
  <si>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</si>
  <si>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</si>
  <si>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</si>
  <si>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</si>
  <si>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</si>
  <si>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</si>
  <si>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</si>
  <si>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</si>
  <si>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</si>
  <si>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</si>
  <si>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</si>
  <si>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</si>
  <si>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</si>
  <si>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</si>
  <si>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</si>
  <si>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</si>
  <si>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</si>
  <si>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</si>
  <si>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</si>
  <si>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</si>
  <si>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</si>
  <si>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</si>
  <si>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</si>
  <si>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</si>
  <si>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</si>
  <si>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</si>
  <si>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</si>
  <si>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</si>
  <si>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</si>
  <si>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</si>
  <si>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</si>
  <si>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</si>
  <si>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</si>
  <si>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</si>
  <si>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</si>
  <si>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</si>
  <si>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</si>
  <si>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</si>
  <si>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</si>
  <si>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</si>
  <si>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</si>
  <si>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</si>
  <si>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</si>
  <si>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</si>
  <si>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</si>
  <si>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</si>
  <si>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</si>
  <si>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</si>
  <si>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</si>
  <si>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</si>
  <si>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</si>
  <si>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</si>
  <si>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</si>
  <si>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</si>
  <si>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</si>
  <si>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</si>
  <si>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</si>
  <si>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</si>
  <si>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</si>
  <si>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</si>
  <si>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</si>
  <si>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</si>
  <si>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</si>
  <si>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</si>
  <si>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</si>
  <si>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</si>
  <si>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</si>
  <si>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</si>
  <si>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</si>
  <si>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</si>
  <si>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</si>
  <si>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</si>
  <si>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</si>
  <si>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</si>
  <si>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</si>
  <si>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</si>
  <si>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</si>
  <si>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</si>
  <si>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</si>
  <si>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</si>
  <si>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</si>
  <si>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</si>
  <si>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</si>
  <si>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</si>
  <si>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</si>
  <si>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</si>
  <si>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</si>
  <si>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</si>
  <si>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</si>
  <si>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</si>
  <si>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</si>
  <si>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</si>
  <si>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</si>
  <si>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</si>
  <si>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</si>
  <si>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</si>
  <si>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</si>
  <si>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</si>
  <si>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</si>
  <si>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</si>
  <si>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</si>
  <si>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</si>
  <si>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</si>
  <si>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</si>
  <si>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</si>
  <si>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</si>
  <si>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</si>
  <si>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</si>
  <si>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</si>
  <si>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</si>
  <si>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</si>
  <si>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</si>
  <si>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</si>
  <si>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</si>
  <si>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</si>
  <si>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</si>
  <si>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</si>
  <si>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</si>
  <si>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</si>
  <si>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</si>
  <si>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</si>
  <si>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</si>
  <si>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</si>
  <si>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</si>
  <si>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</si>
  <si>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</si>
  <si>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</si>
  <si>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</si>
  <si>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</si>
  <si>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</si>
  <si>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</si>
  <si>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</si>
  <si>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</si>
  <si>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</si>
  <si>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</si>
  <si>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</si>
  <si>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</si>
  <si>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</si>
  <si>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</si>
  <si>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</si>
  <si>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</si>
  <si>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</si>
  <si>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</si>
  <si>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</si>
  <si>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</si>
  <si>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</si>
  <si>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</si>
  <si>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</si>
  <si>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</si>
  <si>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</si>
  <si>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</si>
  <si>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</si>
  <si>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</si>
  <si>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</si>
  <si>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</si>
  <si>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</si>
  <si>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</si>
  <si>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</si>
  <si>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</si>
  <si>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</si>
  <si>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</si>
  <si>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</si>
  <si>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</si>
  <si>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</si>
  <si>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</si>
  <si>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</si>
  <si>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</si>
  <si>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</si>
  <si>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</si>
  <si>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</si>
  <si>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</si>
  <si>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</si>
  <si>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</si>
  <si>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</si>
  <si>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</si>
  <si>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</si>
  <si>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</si>
  <si>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</si>
  <si>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</si>
  <si>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</si>
  <si>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</si>
  <si>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</si>
  <si>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</si>
  <si>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</si>
  <si>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</si>
  <si>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</si>
  <si>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</si>
  <si>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</si>
  <si>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</si>
  <si>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</si>
  <si>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</si>
  <si>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</si>
  <si>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</si>
  <si>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</si>
  <si>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</si>
  <si>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</si>
  <si>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</si>
  <si>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</si>
  <si>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</si>
  <si>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</si>
  <si>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</si>
  <si>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</si>
  <si>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</si>
  <si>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</si>
  <si>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</si>
  <si>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</si>
  <si>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</si>
  <si>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</si>
  <si>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</si>
  <si>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</si>
  <si>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</si>
  <si>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</si>
  <si>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</si>
  <si>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</si>
  <si>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</si>
  <si>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</si>
  <si>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</si>
  <si>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</si>
  <si>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</si>
  <si>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</si>
  <si>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</si>
  <si>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</si>
  <si>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</si>
  <si>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</si>
  <si>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</si>
  <si>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</si>
  <si>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</si>
  <si>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</si>
  <si>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</si>
  <si>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</si>
  <si>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</si>
  <si>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</si>
  <si>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</si>
  <si>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</si>
  <si>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</si>
  <si>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</si>
  <si>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</si>
  <si>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</si>
  <si>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</si>
  <si>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</si>
  <si>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</si>
  <si>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</si>
  <si>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</si>
  <si>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</si>
  <si>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</si>
  <si>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</si>
  <si>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</si>
  <si>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</si>
  <si>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</si>
  <si>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</si>
  <si>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</si>
  <si>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</si>
  <si>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</si>
  <si>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</si>
  <si>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</si>
  <si>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</si>
  <si>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</si>
  <si>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</si>
  <si>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</si>
  <si>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</si>
  <si>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</si>
  <si>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</si>
  <si>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</si>
  <si>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</si>
  <si>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</si>
  <si>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</si>
  <si>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</si>
  <si>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</si>
  <si>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</si>
  <si>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</si>
  <si>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</si>
  <si>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</si>
  <si>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</si>
  <si>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</si>
  <si>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</si>
  <si>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</si>
  <si>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</si>
  <si>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</si>
  <si>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</si>
  <si>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</si>
  <si>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</si>
  <si>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</si>
  <si>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</si>
  <si>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</si>
  <si>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</si>
  <si>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</si>
  <si>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</si>
  <si>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</si>
  <si>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</si>
  <si>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</si>
  <si>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</si>
  <si>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</si>
  <si>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</si>
  <si>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</si>
  <si>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</si>
  <si>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</si>
  <si>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</si>
  <si>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</si>
  <si>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</si>
  <si>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</si>
  <si>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</si>
  <si>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</si>
  <si>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</si>
  <si>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</si>
  <si>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</si>
  <si>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</si>
  <si>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</si>
  <si>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</si>
  <si>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</si>
  <si>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</si>
  <si>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</si>
  <si>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</si>
  <si>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</si>
  <si>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</si>
  <si>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</si>
  <si>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</si>
  <si>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</si>
  <si>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</si>
  <si>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</si>
  <si>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</si>
  <si>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</si>
  <si>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</si>
  <si>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</si>
  <si>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</si>
  <si>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</si>
  <si>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</si>
  <si>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</si>
  <si>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</si>
  <si>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</si>
  <si>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</si>
  <si>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</si>
  <si>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</si>
  <si>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</si>
  <si>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</si>
  <si>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</si>
  <si>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</si>
  <si>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</si>
  <si>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</si>
  <si>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</si>
  <si>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</si>
  <si>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</si>
  <si>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</si>
  <si>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</si>
  <si>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</si>
  <si>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</si>
  <si>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</si>
  <si>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</si>
  <si>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</si>
  <si>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</si>
  <si>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</si>
  <si>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</si>
  <si>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</si>
  <si>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</si>
  <si>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</si>
  <si>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</si>
  <si>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</si>
  <si>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</si>
  <si>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</si>
  <si>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</si>
  <si>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</si>
  <si>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</si>
  <si>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</si>
  <si>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</si>
  <si>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</si>
  <si>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</si>
  <si>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</si>
  <si>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</si>
  <si>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</si>
  <si>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</si>
  <si>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CM2-11M</t>
  </si>
  <si>
    <t xml:space="preserve">Pemasangan APP </t>
  </si>
  <si>
    <t>CJ6-T</t>
  </si>
  <si>
    <t>CJ5-T</t>
  </si>
  <si>
    <t>KOORDINAT : -6.834223, 110.629748</t>
  </si>
  <si>
    <t>C12-200</t>
  </si>
  <si>
    <t>CA1</t>
  </si>
  <si>
    <t>CG105</t>
  </si>
  <si>
    <t>PELANGGAN :</t>
  </si>
  <si>
    <t>XL : 13.9</t>
  </si>
  <si>
    <t>SMART FREN : 7.7</t>
  </si>
  <si>
    <t>SMP SULLAM : 7.7</t>
  </si>
  <si>
    <t>PONPES PUTRA SULLAM : 5.5</t>
  </si>
  <si>
    <t>PONPES SULLAM : 7.7 + 7.7</t>
  </si>
  <si>
    <t>PONPES PUTRI : 2.2</t>
  </si>
  <si>
    <t>Dan Umum</t>
  </si>
  <si>
    <t>B2</t>
  </si>
  <si>
    <t>DS WEDING, KEC BONANG</t>
  </si>
  <si>
    <t>KONSTRUKSI JARINGAN</t>
  </si>
  <si>
    <t>UKURAN :</t>
  </si>
  <si>
    <t>TRF 1 : 83/93</t>
  </si>
  <si>
    <t>TRF 2 : 106/93</t>
  </si>
  <si>
    <t>IOH : 11 KVA</t>
  </si>
  <si>
    <t>Trafo 1 Fasa CSP 50 KVA (G105, G106, G136)</t>
  </si>
  <si>
    <t xml:space="preserve">Jumper Wire : </t>
  </si>
  <si>
    <t>Stainless Steel Strap 20 X 0.7 mm</t>
  </si>
  <si>
    <t>CM5-9</t>
  </si>
  <si>
    <t>PONPES SULLAM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</si>
</sst>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indexed="64"/>
      </right>
      <top style="thin">
        <color rgb="FFFF0000"/>
      </top>
      <bottom/>
      <diagonal/>
    </border>
  </borders>
  <cellStyleXfs count="3389">
    <xf numFmtId="0" fontId="0" fillId="0" borderId="0"/>
    <xf numFmtId="171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8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1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5" fontId="33" fillId="0" borderId="3"/>
    <xf numFmtId="185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67" fillId="0" borderId="0" applyFont="0" applyFill="0" applyBorder="0" applyAlignment="0" applyProtection="0"/>
    <xf numFmtId="187" fontId="69" fillId="0" borderId="0">
      <protection locked="0"/>
    </xf>
    <xf numFmtId="14" fontId="61" fillId="0" borderId="0" applyFill="0" applyBorder="0" applyAlignment="0"/>
    <xf numFmtId="188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9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0" fontId="74" fillId="0" borderId="0">
      <protection locked="0"/>
    </xf>
    <xf numFmtId="190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1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2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2" fontId="33" fillId="0" borderId="0"/>
    <xf numFmtId="192" fontId="19" fillId="0" borderId="0"/>
    <xf numFmtId="192" fontId="33" fillId="0" borderId="0"/>
    <xf numFmtId="192" fontId="19" fillId="0" borderId="0"/>
    <xf numFmtId="192" fontId="33" fillId="0" borderId="0"/>
    <xf numFmtId="192" fontId="19" fillId="0" borderId="0"/>
    <xf numFmtId="192" fontId="19" fillId="0" borderId="0"/>
    <xf numFmtId="192" fontId="33" fillId="0" borderId="0"/>
    <xf numFmtId="171" fontId="80" fillId="0" borderId="0"/>
    <xf numFmtId="171" fontId="81" fillId="0" borderId="0"/>
    <xf numFmtId="171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3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1" fontId="81" fillId="0" borderId="0"/>
    <xf numFmtId="0" fontId="81" fillId="0" borderId="0"/>
    <xf numFmtId="194" fontId="81" fillId="0" borderId="0"/>
    <xf numFmtId="195" fontId="81" fillId="0" borderId="0"/>
    <xf numFmtId="0" fontId="81" fillId="0" borderId="0"/>
    <xf numFmtId="196" fontId="81" fillId="0" borderId="0"/>
    <xf numFmtId="196" fontId="81" fillId="0" borderId="0"/>
    <xf numFmtId="196" fontId="81" fillId="0" borderId="0"/>
    <xf numFmtId="194" fontId="81" fillId="0" borderId="0"/>
    <xf numFmtId="0" fontId="81" fillId="0" borderId="0"/>
    <xf numFmtId="0" fontId="33" fillId="0" borderId="0"/>
    <xf numFmtId="0" fontId="19" fillId="0" borderId="0"/>
    <xf numFmtId="181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6" fontId="81" fillId="0" borderId="0"/>
    <xf numFmtId="196" fontId="81" fillId="0" borderId="0"/>
    <xf numFmtId="196" fontId="81" fillId="0" borderId="0"/>
    <xf numFmtId="196" fontId="81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3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3" fontId="40" fillId="0" borderId="0"/>
    <xf numFmtId="193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99" fontId="33" fillId="0" borderId="0" applyFont="0" applyFill="0" applyBorder="0" applyAlignment="0" applyProtection="0"/>
    <xf numFmtId="199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71" fillId="0" borderId="0"/>
    <xf numFmtId="200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5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2" fillId="0" borderId="0"/>
    <xf numFmtId="165" fontId="19" fillId="0" borderId="0" applyFont="0" applyFill="0" applyBorder="0" applyAlignment="0" applyProtection="0"/>
    <xf numFmtId="0" fontId="2" fillId="0" borderId="0"/>
    <xf numFmtId="166" fontId="19" fillId="0" borderId="0" applyFont="0" applyFill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42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100"/>
    <xf numFmtId="0" fontId="86" fillId="0" borderId="101"/>
    <xf numFmtId="166" fontId="19" fillId="0" borderId="0" applyFont="0" applyFill="0" applyBorder="0" applyAlignment="0" applyProtection="0"/>
  </cellStyleXfs>
  <cellXfs count="71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8" fontId="42" fillId="0" borderId="0" xfId="714" applyFont="1" applyFill="1" applyAlignment="1">
      <alignment horizontal="center" wrapText="1"/>
    </xf>
    <xf numFmtId="168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8" fontId="42" fillId="0" borderId="21" xfId="715" applyNumberFormat="1" applyFont="1" applyFill="1" applyBorder="1" applyAlignment="1">
      <alignment horizontal="center" vertical="center" wrapText="1"/>
    </xf>
    <xf numFmtId="168" fontId="42" fillId="0" borderId="21" xfId="714" applyFont="1" applyFill="1" applyBorder="1" applyAlignment="1">
      <alignment horizontal="center" vertical="center" wrapText="1"/>
    </xf>
    <xf numFmtId="168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6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8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8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8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8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8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8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8" fontId="110" fillId="29" borderId="3" xfId="1538" applyNumberFormat="1" applyFill="1" applyBorder="1" applyAlignment="1">
      <alignment horizontal="right"/>
    </xf>
    <xf numFmtId="166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6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8" fontId="139" fillId="40" borderId="87" xfId="2672" applyNumberFormat="1" applyFont="1" applyFill="1" applyBorder="1" applyAlignment="1" applyProtection="1">
      <alignment horizontal="right" vertical="center"/>
      <protection locked="0"/>
    </xf>
    <xf numFmtId="168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5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6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8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26" fillId="0" borderId="21" xfId="1652" applyFont="1" applyBorder="1" applyAlignment="1">
      <alignment vertical="center" wrapText="1"/>
    </xf>
    <xf numFmtId="0" fontId="8" fillId="0" borderId="21" xfId="1614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174" fillId="33" borderId="0" xfId="0" applyFont="1" applyFill="1" applyAlignment="1">
      <alignment horizontal="left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8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6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6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6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7" fontId="118" fillId="0" borderId="73" xfId="1450" applyNumberFormat="1" applyFont="1" applyBorder="1" applyAlignment="1">
      <alignment horizontal="left" vertical="center"/>
    </xf>
    <xf numFmtId="207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13" fillId="33" borderId="0" xfId="0" applyFont="1" applyFill="1" applyAlignment="1">
      <alignment horizontal="left"/>
    </xf>
    <xf numFmtId="0" fontId="90" fillId="33" borderId="18" xfId="0" applyFont="1" applyFill="1" applyBorder="1" applyAlignment="1">
      <alignment horizontal="center" vertical="center"/>
    </xf>
    <xf numFmtId="0" fontId="90" fillId="33" borderId="0" xfId="0" applyFont="1" applyFill="1" applyBorder="1" applyAlignment="1">
      <alignment horizontal="center" vertical="center"/>
    </xf>
    <xf numFmtId="0" fontId="117" fillId="33" borderId="102" xfId="0" applyFont="1" applyFill="1" applyBorder="1" applyAlignment="1">
      <alignment horizontal="center" vertical="center"/>
    </xf>
    <xf numFmtId="0" fontId="117" fillId="33" borderId="103" xfId="0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2" fillId="0" borderId="21" xfId="0" applyFont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75</xdr:row>
      <xdr:rowOff>81642</xdr:rowOff>
    </xdr:from>
    <xdr:to>
      <xdr:col>12</xdr:col>
      <xdr:colOff>41108</xdr:colOff>
      <xdr:row>78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248479</xdr:colOff>
      <xdr:row>28</xdr:row>
      <xdr:rowOff>24848</xdr:rowOff>
    </xdr:from>
    <xdr:to>
      <xdr:col>18</xdr:col>
      <xdr:colOff>173935</xdr:colOff>
      <xdr:row>28</xdr:row>
      <xdr:rowOff>57979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55663F0D-54C9-48A3-9BDA-485C0206CA10}"/>
            </a:ext>
          </a:extLst>
        </xdr:cNvPr>
        <xdr:cNvCxnSpPr>
          <a:cxnSpLocks/>
        </xdr:cNvCxnSpPr>
      </xdr:nvCxnSpPr>
      <xdr:spPr>
        <a:xfrm flipH="1" flipV="1">
          <a:off x="447262" y="4248978"/>
          <a:ext cx="6137412" cy="3313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91109</xdr:colOff>
      <xdr:row>17</xdr:row>
      <xdr:rowOff>8283</xdr:rowOff>
    </xdr:from>
    <xdr:to>
      <xdr:col>18</xdr:col>
      <xdr:colOff>112193</xdr:colOff>
      <xdr:row>38</xdr:row>
      <xdr:rowOff>754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6501848" y="2592457"/>
          <a:ext cx="21084" cy="314814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144117</xdr:colOff>
      <xdr:row>23</xdr:row>
      <xdr:rowOff>70667</xdr:rowOff>
    </xdr:from>
    <xdr:to>
      <xdr:col>5</xdr:col>
      <xdr:colOff>149087</xdr:colOff>
      <xdr:row>33</xdr:row>
      <xdr:rowOff>99391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5AE5D4B5-835D-4AC5-BCD8-6120D4BCF351}"/>
            </a:ext>
          </a:extLst>
        </xdr:cNvPr>
        <xdr:cNvCxnSpPr>
          <a:cxnSpLocks/>
        </xdr:cNvCxnSpPr>
      </xdr:nvCxnSpPr>
      <xdr:spPr>
        <a:xfrm flipH="1" flipV="1">
          <a:off x="1601856" y="3549363"/>
          <a:ext cx="4970" cy="1511311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354646</xdr:colOff>
      <xdr:row>22</xdr:row>
      <xdr:rowOff>118215</xdr:rowOff>
    </xdr:from>
    <xdr:to>
      <xdr:col>9</xdr:col>
      <xdr:colOff>356152</xdr:colOff>
      <xdr:row>33</xdr:row>
      <xdr:rowOff>140804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74E87D6E-582D-4C9B-9CAC-13B66C97979A}"/>
            </a:ext>
          </a:extLst>
        </xdr:cNvPr>
        <xdr:cNvCxnSpPr>
          <a:cxnSpLocks/>
        </xdr:cNvCxnSpPr>
      </xdr:nvCxnSpPr>
      <xdr:spPr>
        <a:xfrm flipH="1" flipV="1">
          <a:off x="3336385" y="3447824"/>
          <a:ext cx="1506" cy="165426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332989</xdr:colOff>
      <xdr:row>31</xdr:row>
      <xdr:rowOff>3012</xdr:rowOff>
    </xdr:from>
    <xdr:to>
      <xdr:col>5</xdr:col>
      <xdr:colOff>38796</xdr:colOff>
      <xdr:row>31</xdr:row>
      <xdr:rowOff>102859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2173A8EA-BA11-AD90-0ECC-954795318FC2}"/>
            </a:ext>
          </a:extLst>
        </xdr:cNvPr>
        <xdr:cNvGrpSpPr/>
      </xdr:nvGrpSpPr>
      <xdr:grpSpPr>
        <a:xfrm>
          <a:off x="1408754" y="4855159"/>
          <a:ext cx="86807" cy="99847"/>
          <a:chOff x="3725636" y="1945820"/>
          <a:chExt cx="153760" cy="144237"/>
        </a:xfrm>
        <a:noFill/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7D6B541E-C8F8-198A-FD76-F3F92156CD8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6A6733D-C8BE-0F91-0D39-9653073E4D5B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2747B68-3FB6-9CED-9518-9F298FC24D93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107002</xdr:colOff>
      <xdr:row>28</xdr:row>
      <xdr:rowOff>147372</xdr:rowOff>
    </xdr:from>
    <xdr:to>
      <xdr:col>10</xdr:col>
      <xdr:colOff>191902</xdr:colOff>
      <xdr:row>29</xdr:row>
      <xdr:rowOff>93354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468767" y="4540078"/>
          <a:ext cx="84900" cy="1028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236345</xdr:colOff>
      <xdr:row>27</xdr:row>
      <xdr:rowOff>6354</xdr:rowOff>
    </xdr:from>
    <xdr:to>
      <xdr:col>17</xdr:col>
      <xdr:colOff>251346</xdr:colOff>
      <xdr:row>29</xdr:row>
      <xdr:rowOff>121600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83AFF61-733A-B7CF-0C54-EF04A0C68D3E}"/>
            </a:ext>
          </a:extLst>
        </xdr:cNvPr>
        <xdr:cNvCxnSpPr>
          <a:stCxn id="183" idx="5"/>
          <a:endCxn id="169" idx="2"/>
        </xdr:cNvCxnSpPr>
      </xdr:nvCxnSpPr>
      <xdr:spPr>
        <a:xfrm>
          <a:off x="5885084" y="4081397"/>
          <a:ext cx="396001" cy="413420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126148</xdr:colOff>
      <xdr:row>31</xdr:row>
      <xdr:rowOff>57665</xdr:rowOff>
    </xdr:from>
    <xdr:to>
      <xdr:col>9</xdr:col>
      <xdr:colOff>212046</xdr:colOff>
      <xdr:row>32</xdr:row>
      <xdr:rowOff>10687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926B344-BD56-C85C-AFC0-3C8C6EA3F3C9}"/>
            </a:ext>
          </a:extLst>
        </xdr:cNvPr>
        <xdr:cNvGrpSpPr/>
      </xdr:nvGrpSpPr>
      <xdr:grpSpPr>
        <a:xfrm>
          <a:off x="3106913" y="4909812"/>
          <a:ext cx="85898" cy="1099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BAEA9263-A487-E17A-2FC7-FD91982663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4" name="Straight Connector 63">
            <a:extLst>
              <a:ext uri="{FF2B5EF4-FFF2-40B4-BE49-F238E27FC236}">
                <a16:creationId xmlns:a16="http://schemas.microsoft.com/office/drawing/2014/main" id="{83295401-B9B5-8C94-78B8-F47069292D71}"/>
              </a:ext>
            </a:extLst>
          </xdr:cNvPr>
          <xdr:cNvCxnSpPr>
            <a:stCxn id="63" idx="1"/>
            <a:endCxn id="6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2D2606B5-ADA4-B18F-2C67-6DB3CD53513C}"/>
              </a:ext>
            </a:extLst>
          </xdr:cNvPr>
          <xdr:cNvCxnSpPr>
            <a:stCxn id="63" idx="3"/>
            <a:endCxn id="6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306457</xdr:colOff>
      <xdr:row>22</xdr:row>
      <xdr:rowOff>16565</xdr:rowOff>
    </xdr:from>
    <xdr:to>
      <xdr:col>17</xdr:col>
      <xdr:colOff>314739</xdr:colOff>
      <xdr:row>33</xdr:row>
      <xdr:rowOff>107674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V="1">
          <a:off x="6336196" y="3346174"/>
          <a:ext cx="8282" cy="1722783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60459</xdr:colOff>
      <xdr:row>23</xdr:row>
      <xdr:rowOff>52946</xdr:rowOff>
    </xdr:from>
    <xdr:to>
      <xdr:col>2</xdr:col>
      <xdr:colOff>414130</xdr:colOff>
      <xdr:row>25</xdr:row>
      <xdr:rowOff>49695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259242" y="3531642"/>
          <a:ext cx="353671" cy="294923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BTS</a:t>
          </a:r>
        </a:p>
      </xdr:txBody>
    </xdr:sp>
    <xdr:clientData/>
  </xdr:twoCellAnchor>
  <xdr:twoCellAnchor>
    <xdr:from>
      <xdr:col>17</xdr:col>
      <xdr:colOff>260312</xdr:colOff>
      <xdr:row>26</xdr:row>
      <xdr:rowOff>69692</xdr:rowOff>
    </xdr:from>
    <xdr:to>
      <xdr:col>17</xdr:col>
      <xdr:colOff>348678</xdr:colOff>
      <xdr:row>27</xdr:row>
      <xdr:rowOff>15674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69CAC000-3813-4E82-9BF9-03690A6CA1DF}"/>
            </a:ext>
          </a:extLst>
        </xdr:cNvPr>
        <xdr:cNvGrpSpPr/>
      </xdr:nvGrpSpPr>
      <xdr:grpSpPr>
        <a:xfrm>
          <a:off x="6289077" y="4148633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BF610E76-B3CC-6A82-BA3A-57CA9F5DD2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FE911FD2-F4C1-06EF-D695-E16CAFEE2DF3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886EC16-0AAC-B80A-9EBD-F1BCC6B91B5A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18771</xdr:colOff>
      <xdr:row>23</xdr:row>
      <xdr:rowOff>101715</xdr:rowOff>
    </xdr:from>
    <xdr:to>
      <xdr:col>19</xdr:col>
      <xdr:colOff>202406</xdr:colOff>
      <xdr:row>27</xdr:row>
      <xdr:rowOff>89297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6418380" y="3679543"/>
          <a:ext cx="564635" cy="60670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CA1 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2</a:t>
          </a:r>
          <a:r>
            <a:rPr lang="en-US" sz="600" baseline="0">
              <a:solidFill>
                <a:srgbClr val="FF0000"/>
              </a:solidFill>
            </a:rPr>
            <a:t>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CM5-9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224775</xdr:colOff>
      <xdr:row>27</xdr:row>
      <xdr:rowOff>86826</xdr:rowOff>
    </xdr:from>
    <xdr:to>
      <xdr:col>17</xdr:col>
      <xdr:colOff>178793</xdr:colOff>
      <xdr:row>28</xdr:row>
      <xdr:rowOff>124240</xdr:rowOff>
    </xdr:to>
    <xdr:sp macro="" textlink="">
      <xdr:nvSpPr>
        <xdr:cNvPr id="179" name="Rectangle 178">
          <a:extLst>
            <a:ext uri="{FF2B5EF4-FFF2-40B4-BE49-F238E27FC236}">
              <a16:creationId xmlns:a16="http://schemas.microsoft.com/office/drawing/2014/main" id="{0D0192A0-5BC6-47F5-9B4A-0C527FD1BC06}"/>
            </a:ext>
          </a:extLst>
        </xdr:cNvPr>
        <xdr:cNvSpPr/>
      </xdr:nvSpPr>
      <xdr:spPr>
        <a:xfrm rot="1432848">
          <a:off x="5873514" y="416186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9</xdr:col>
      <xdr:colOff>86087</xdr:colOff>
      <xdr:row>28</xdr:row>
      <xdr:rowOff>5923</xdr:rowOff>
    </xdr:from>
    <xdr:to>
      <xdr:col>9</xdr:col>
      <xdr:colOff>277900</xdr:colOff>
      <xdr:row>30</xdr:row>
      <xdr:rowOff>41110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89D862BC-A5CD-4385-B13C-E2BF1162B311}"/>
            </a:ext>
          </a:extLst>
        </xdr:cNvPr>
        <xdr:cNvSpPr/>
      </xdr:nvSpPr>
      <xdr:spPr>
        <a:xfrm rot="16200000">
          <a:off x="3001193" y="4296686"/>
          <a:ext cx="325079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11247</xdr:colOff>
      <xdr:row>26</xdr:row>
      <xdr:rowOff>77223</xdr:rowOff>
    </xdr:from>
    <xdr:to>
      <xdr:col>15</xdr:col>
      <xdr:colOff>337950</xdr:colOff>
      <xdr:row>27</xdr:row>
      <xdr:rowOff>118637</xdr:rowOff>
    </xdr:to>
    <xdr:sp macro="" textlink="">
      <xdr:nvSpPr>
        <xdr:cNvPr id="181" name="Rectangle 180">
          <a:extLst>
            <a:ext uri="{FF2B5EF4-FFF2-40B4-BE49-F238E27FC236}">
              <a16:creationId xmlns:a16="http://schemas.microsoft.com/office/drawing/2014/main" id="{719EE781-3307-4489-B375-CB5C27A62D68}"/>
            </a:ext>
          </a:extLst>
        </xdr:cNvPr>
        <xdr:cNvSpPr/>
      </xdr:nvSpPr>
      <xdr:spPr>
        <a:xfrm>
          <a:off x="5278986" y="4003180"/>
          <a:ext cx="326703" cy="19050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251346</xdr:colOff>
      <xdr:row>29</xdr:row>
      <xdr:rowOff>71677</xdr:rowOff>
    </xdr:from>
    <xdr:to>
      <xdr:col>17</xdr:col>
      <xdr:colOff>339712</xdr:colOff>
      <xdr:row>30</xdr:row>
      <xdr:rowOff>30718</xdr:rowOff>
    </xdr:to>
    <xdr:grpSp>
      <xdr:nvGrpSpPr>
        <xdr:cNvPr id="168" name="Group 167">
          <a:extLst>
            <a:ext uri="{FF2B5EF4-FFF2-40B4-BE49-F238E27FC236}">
              <a16:creationId xmlns:a16="http://schemas.microsoft.com/office/drawing/2014/main" id="{19565E4D-EAAB-478D-B960-772C31CCA23E}"/>
            </a:ext>
          </a:extLst>
        </xdr:cNvPr>
        <xdr:cNvGrpSpPr/>
      </xdr:nvGrpSpPr>
      <xdr:grpSpPr>
        <a:xfrm>
          <a:off x="6280111" y="4621265"/>
          <a:ext cx="88366" cy="1047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9" name="Oval 168">
            <a:extLst>
              <a:ext uri="{FF2B5EF4-FFF2-40B4-BE49-F238E27FC236}">
                <a16:creationId xmlns:a16="http://schemas.microsoft.com/office/drawing/2014/main" id="{A4919925-DAE7-C1CE-FC0F-927B3DFC85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B4CAE7FA-4E8B-71C5-4FAB-C1CDDA2B2344}"/>
              </a:ext>
            </a:extLst>
          </xdr:cNvPr>
          <xdr:cNvCxnSpPr>
            <a:stCxn id="169" idx="1"/>
            <a:endCxn id="1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4A82143F-2377-BFEC-CCAC-03155A0DE60E}"/>
              </a:ext>
            </a:extLst>
          </xdr:cNvPr>
          <xdr:cNvCxnSpPr>
            <a:stCxn id="169" idx="3"/>
            <a:endCxn id="1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103994</xdr:colOff>
      <xdr:row>24</xdr:row>
      <xdr:rowOff>115956</xdr:rowOff>
    </xdr:from>
    <xdr:to>
      <xdr:col>11</xdr:col>
      <xdr:colOff>165652</xdr:colOff>
      <xdr:row>27</xdr:row>
      <xdr:rowOff>32902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10BEAD57-AB55-4974-B073-F60ABF0CCFFB}"/>
            </a:ext>
          </a:extLst>
        </xdr:cNvPr>
        <xdr:cNvSpPr/>
      </xdr:nvSpPr>
      <xdr:spPr>
        <a:xfrm>
          <a:off x="3466733" y="3743739"/>
          <a:ext cx="442658" cy="364206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RUMAH</a:t>
          </a:r>
        </a:p>
      </xdr:txBody>
    </xdr:sp>
    <xdr:clientData/>
  </xdr:twoCellAnchor>
  <xdr:twoCellAnchor>
    <xdr:from>
      <xdr:col>16</xdr:col>
      <xdr:colOff>160920</xdr:colOff>
      <xdr:row>26</xdr:row>
      <xdr:rowOff>71467</xdr:rowOff>
    </xdr:from>
    <xdr:to>
      <xdr:col>16</xdr:col>
      <xdr:colOff>249286</xdr:colOff>
      <xdr:row>27</xdr:row>
      <xdr:rowOff>20762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5808685" y="4150408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347160</xdr:colOff>
      <xdr:row>26</xdr:row>
      <xdr:rowOff>61764</xdr:rowOff>
    </xdr:from>
    <xdr:to>
      <xdr:col>14</xdr:col>
      <xdr:colOff>54526</xdr:colOff>
      <xdr:row>27</xdr:row>
      <xdr:rowOff>7746</xdr:rowOff>
    </xdr:to>
    <xdr:grpSp>
      <xdr:nvGrpSpPr>
        <xdr:cNvPr id="186" name="Group 185">
          <a:extLst>
            <a:ext uri="{FF2B5EF4-FFF2-40B4-BE49-F238E27FC236}">
              <a16:creationId xmlns:a16="http://schemas.microsoft.com/office/drawing/2014/main" id="{CA93CEDC-AB20-40A5-9ED1-C692FE17A759}"/>
            </a:ext>
          </a:extLst>
        </xdr:cNvPr>
        <xdr:cNvGrpSpPr/>
      </xdr:nvGrpSpPr>
      <xdr:grpSpPr>
        <a:xfrm>
          <a:off x="4851925" y="4140705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7" name="Oval 186">
            <a:extLst>
              <a:ext uri="{FF2B5EF4-FFF2-40B4-BE49-F238E27FC236}">
                <a16:creationId xmlns:a16="http://schemas.microsoft.com/office/drawing/2014/main" id="{9F794644-9D28-3437-BD74-0A8A0467B28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3CDF7AFB-6F29-4A89-9F2E-84C2B84E65AD}"/>
              </a:ext>
            </a:extLst>
          </xdr:cNvPr>
          <xdr:cNvCxnSpPr>
            <a:stCxn id="187" idx="1"/>
            <a:endCxn id="18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AB872ABF-01E9-372F-5640-AAE18D7D9ABF}"/>
              </a:ext>
            </a:extLst>
          </xdr:cNvPr>
          <xdr:cNvCxnSpPr>
            <a:stCxn id="187" idx="3"/>
            <a:endCxn id="18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338639</xdr:colOff>
      <xdr:row>26</xdr:row>
      <xdr:rowOff>48039</xdr:rowOff>
    </xdr:from>
    <xdr:to>
      <xdr:col>12</xdr:col>
      <xdr:colOff>46005</xdr:colOff>
      <xdr:row>26</xdr:row>
      <xdr:rowOff>143107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4081404" y="4126980"/>
          <a:ext cx="88366" cy="95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127552</xdr:colOff>
      <xdr:row>26</xdr:row>
      <xdr:rowOff>64128</xdr:rowOff>
    </xdr:from>
    <xdr:to>
      <xdr:col>9</xdr:col>
      <xdr:colOff>215918</xdr:colOff>
      <xdr:row>27</xdr:row>
      <xdr:rowOff>10110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3108317" y="4143069"/>
          <a:ext cx="88366" cy="1028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11359</xdr:colOff>
      <xdr:row>26</xdr:row>
      <xdr:rowOff>54664</xdr:rowOff>
    </xdr:from>
    <xdr:to>
      <xdr:col>7</xdr:col>
      <xdr:colOff>99725</xdr:colOff>
      <xdr:row>27</xdr:row>
      <xdr:rowOff>3959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2230124" y="4133605"/>
          <a:ext cx="88366" cy="1061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249286</xdr:colOff>
      <xdr:row>26</xdr:row>
      <xdr:rowOff>117226</xdr:rowOff>
    </xdr:from>
    <xdr:to>
      <xdr:col>17</xdr:col>
      <xdr:colOff>260312</xdr:colOff>
      <xdr:row>26</xdr:row>
      <xdr:rowOff>120658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D981E6D0-CF14-4261-8828-970A53F8BDBC}"/>
            </a:ext>
          </a:extLst>
        </xdr:cNvPr>
        <xdr:cNvCxnSpPr>
          <a:stCxn id="183" idx="6"/>
          <a:endCxn id="77" idx="2"/>
        </xdr:cNvCxnSpPr>
      </xdr:nvCxnSpPr>
      <xdr:spPr>
        <a:xfrm flipV="1">
          <a:off x="5898025" y="4043183"/>
          <a:ext cx="392026" cy="343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314741</xdr:colOff>
      <xdr:row>25</xdr:row>
      <xdr:rowOff>107673</xdr:rowOff>
    </xdr:from>
    <xdr:to>
      <xdr:col>6</xdr:col>
      <xdr:colOff>268759</xdr:colOff>
      <xdr:row>26</xdr:row>
      <xdr:rowOff>145087</xdr:rowOff>
    </xdr:to>
    <xdr:sp macro="" textlink="">
      <xdr:nvSpPr>
        <xdr:cNvPr id="216" name="Rectangle 215">
          <a:extLst>
            <a:ext uri="{FF2B5EF4-FFF2-40B4-BE49-F238E27FC236}">
              <a16:creationId xmlns:a16="http://schemas.microsoft.com/office/drawing/2014/main" id="{5E322726-6DE4-4745-9201-26B33A7F36B8}"/>
            </a:ext>
          </a:extLst>
        </xdr:cNvPr>
        <xdr:cNvSpPr/>
      </xdr:nvSpPr>
      <xdr:spPr>
        <a:xfrm>
          <a:off x="1772480" y="388454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16</xdr:col>
      <xdr:colOff>265043</xdr:colOff>
      <xdr:row>26</xdr:row>
      <xdr:rowOff>16564</xdr:rowOff>
    </xdr:from>
    <xdr:to>
      <xdr:col>17</xdr:col>
      <xdr:colOff>219061</xdr:colOff>
      <xdr:row>27</xdr:row>
      <xdr:rowOff>53979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E20B9A60-49F2-4019-AEC6-52144D76CCAB}"/>
            </a:ext>
          </a:extLst>
        </xdr:cNvPr>
        <xdr:cNvSpPr/>
      </xdr:nvSpPr>
      <xdr:spPr>
        <a:xfrm>
          <a:off x="5913782" y="394252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273039</xdr:colOff>
      <xdr:row>26</xdr:row>
      <xdr:rowOff>116243</xdr:rowOff>
    </xdr:from>
    <xdr:to>
      <xdr:col>10</xdr:col>
      <xdr:colOff>78540</xdr:colOff>
      <xdr:row>29</xdr:row>
      <xdr:rowOff>4001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2838658">
          <a:off x="3180520" y="4116458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9</xdr:col>
      <xdr:colOff>364437</xdr:colOff>
      <xdr:row>30</xdr:row>
      <xdr:rowOff>2</xdr:rowOff>
    </xdr:from>
    <xdr:to>
      <xdr:col>11</xdr:col>
      <xdr:colOff>99393</xdr:colOff>
      <xdr:row>32</xdr:row>
      <xdr:rowOff>33132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F2646D0A-8BBD-4B22-99A2-FFB1460A2188}"/>
            </a:ext>
          </a:extLst>
        </xdr:cNvPr>
        <xdr:cNvSpPr/>
      </xdr:nvSpPr>
      <xdr:spPr>
        <a:xfrm>
          <a:off x="3346176" y="4514024"/>
          <a:ext cx="496956" cy="33130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 editAs="oneCell">
    <xdr:from>
      <xdr:col>15</xdr:col>
      <xdr:colOff>377714</xdr:colOff>
      <xdr:row>47</xdr:row>
      <xdr:rowOff>41414</xdr:rowOff>
    </xdr:from>
    <xdr:to>
      <xdr:col>21</xdr:col>
      <xdr:colOff>326836</xdr:colOff>
      <xdr:row>55</xdr:row>
      <xdr:rowOff>91406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00282A-1381-8571-5A26-0C9A0FCD0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5453" y="6973957"/>
          <a:ext cx="2235122" cy="1375210"/>
        </a:xfrm>
        <a:prstGeom prst="rect">
          <a:avLst/>
        </a:prstGeom>
      </xdr:spPr>
    </xdr:pic>
    <xdr:clientData/>
  </xdr:twoCellAnchor>
  <xdr:twoCellAnchor>
    <xdr:from>
      <xdr:col>4</xdr:col>
      <xdr:colOff>331305</xdr:colOff>
      <xdr:row>26</xdr:row>
      <xdr:rowOff>41410</xdr:rowOff>
    </xdr:from>
    <xdr:to>
      <xdr:col>5</xdr:col>
      <xdr:colOff>38671</xdr:colOff>
      <xdr:row>26</xdr:row>
      <xdr:rowOff>139791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4656850F-66D4-42F3-9384-387218FF87CC}"/>
            </a:ext>
          </a:extLst>
        </xdr:cNvPr>
        <xdr:cNvGrpSpPr/>
      </xdr:nvGrpSpPr>
      <xdr:grpSpPr>
        <a:xfrm>
          <a:off x="1407070" y="4120351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3B45C8D7-BC9F-3F99-9106-F647DEB6D63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D1B7B6D-2C55-89AD-9645-FD8675E042D0}"/>
              </a:ext>
            </a:extLst>
          </xdr:cNvPr>
          <xdr:cNvCxnSpPr>
            <a:stCxn id="20" idx="1"/>
            <a:endCxn id="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B63D37EA-87DF-0D3B-59F8-5D203998E7B4}"/>
              </a:ext>
            </a:extLst>
          </xdr:cNvPr>
          <xdr:cNvCxnSpPr>
            <a:stCxn id="20" idx="3"/>
            <a:endCxn id="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26</xdr:row>
      <xdr:rowOff>24848</xdr:rowOff>
    </xdr:from>
    <xdr:to>
      <xdr:col>3</xdr:col>
      <xdr:colOff>88366</xdr:colOff>
      <xdr:row>26</xdr:row>
      <xdr:rowOff>123229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E0994C96-1360-4FCD-B953-09CD11F4341F}"/>
            </a:ext>
          </a:extLst>
        </xdr:cNvPr>
        <xdr:cNvGrpSpPr/>
      </xdr:nvGrpSpPr>
      <xdr:grpSpPr>
        <a:xfrm>
          <a:off x="694765" y="4103789"/>
          <a:ext cx="88366" cy="983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A4F32670-51BB-A89C-80E1-C6982B10DE6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75DFD8BA-77A3-B611-CC34-B2CF8E12E9F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A5DBBC6D-B51B-7A35-6F9E-4EE2E7C2D7DD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375488</xdr:colOff>
      <xdr:row>26</xdr:row>
      <xdr:rowOff>139791</xdr:rowOff>
    </xdr:from>
    <xdr:to>
      <xdr:col>16</xdr:col>
      <xdr:colOff>173861</xdr:colOff>
      <xdr:row>27</xdr:row>
      <xdr:rowOff>6354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675F6835-F7F2-44BD-B4FE-514C01C56ED6}"/>
            </a:ext>
          </a:extLst>
        </xdr:cNvPr>
        <xdr:cNvCxnSpPr>
          <a:stCxn id="20" idx="4"/>
          <a:endCxn id="183" idx="3"/>
        </xdr:cNvCxnSpPr>
      </xdr:nvCxnSpPr>
      <xdr:spPr>
        <a:xfrm>
          <a:off x="1452227" y="4065748"/>
          <a:ext cx="4370373" cy="15649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372717</xdr:colOff>
      <xdr:row>26</xdr:row>
      <xdr:rowOff>133666</xdr:rowOff>
    </xdr:from>
    <xdr:to>
      <xdr:col>4</xdr:col>
      <xdr:colOff>377376</xdr:colOff>
      <xdr:row>33</xdr:row>
      <xdr:rowOff>57978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B0F8BE4A-A9AF-49EF-95BF-CC80CEC2F5D9}"/>
            </a:ext>
          </a:extLst>
        </xdr:cNvPr>
        <xdr:cNvCxnSpPr/>
      </xdr:nvCxnSpPr>
      <xdr:spPr>
        <a:xfrm flipH="1">
          <a:off x="1449456" y="4059623"/>
          <a:ext cx="4659" cy="9596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173934</xdr:colOff>
      <xdr:row>26</xdr:row>
      <xdr:rowOff>115956</xdr:rowOff>
    </xdr:from>
    <xdr:to>
      <xdr:col>9</xdr:col>
      <xdr:colOff>178593</xdr:colOff>
      <xdr:row>33</xdr:row>
      <xdr:rowOff>40268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/>
      </xdr:nvCxnSpPr>
      <xdr:spPr>
        <a:xfrm flipH="1">
          <a:off x="3155673" y="4041913"/>
          <a:ext cx="4659" cy="95963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314740</xdr:colOff>
      <xdr:row>26</xdr:row>
      <xdr:rowOff>49695</xdr:rowOff>
    </xdr:from>
    <xdr:to>
      <xdr:col>6</xdr:col>
      <xdr:colOff>268758</xdr:colOff>
      <xdr:row>27</xdr:row>
      <xdr:rowOff>87110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DBB4C47A-6726-4B97-A7B5-7001B1C819B2}"/>
            </a:ext>
          </a:extLst>
        </xdr:cNvPr>
        <xdr:cNvSpPr/>
      </xdr:nvSpPr>
      <xdr:spPr>
        <a:xfrm rot="21447630">
          <a:off x="1772479" y="3975652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8</xdr:col>
      <xdr:colOff>16278</xdr:colOff>
      <xdr:row>26</xdr:row>
      <xdr:rowOff>49984</xdr:rowOff>
    </xdr:from>
    <xdr:to>
      <xdr:col>8</xdr:col>
      <xdr:colOff>351296</xdr:colOff>
      <xdr:row>27</xdr:row>
      <xdr:rowOff>87399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 rot="21447630">
          <a:off x="2617017" y="397594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223631</xdr:colOff>
      <xdr:row>26</xdr:row>
      <xdr:rowOff>74544</xdr:rowOff>
    </xdr:from>
    <xdr:to>
      <xdr:col>13</xdr:col>
      <xdr:colOff>177649</xdr:colOff>
      <xdr:row>27</xdr:row>
      <xdr:rowOff>111959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3344EDD-D6F0-48D9-9A3E-304F5A8A9074}"/>
            </a:ext>
          </a:extLst>
        </xdr:cNvPr>
        <xdr:cNvSpPr/>
      </xdr:nvSpPr>
      <xdr:spPr>
        <a:xfrm rot="21447630">
          <a:off x="4348370" y="4000501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10</xdr:col>
      <xdr:colOff>314738</xdr:colOff>
      <xdr:row>26</xdr:row>
      <xdr:rowOff>82826</xdr:rowOff>
    </xdr:from>
    <xdr:to>
      <xdr:col>11</xdr:col>
      <xdr:colOff>268756</xdr:colOff>
      <xdr:row>27</xdr:row>
      <xdr:rowOff>120241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21447630">
          <a:off x="3677477" y="400878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4</xdr:col>
      <xdr:colOff>281609</xdr:colOff>
      <xdr:row>27</xdr:row>
      <xdr:rowOff>132522</xdr:rowOff>
    </xdr:from>
    <xdr:to>
      <xdr:col>5</xdr:col>
      <xdr:colOff>92422</xdr:colOff>
      <xdr:row>30</xdr:row>
      <xdr:rowOff>18622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7EA8915-4CC9-4477-AEE1-6018C6025FC9}"/>
            </a:ext>
          </a:extLst>
        </xdr:cNvPr>
        <xdr:cNvSpPr/>
      </xdr:nvSpPr>
      <xdr:spPr>
        <a:xfrm rot="16200000">
          <a:off x="1291715" y="4274198"/>
          <a:ext cx="325079" cy="19181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91109</xdr:colOff>
      <xdr:row>29</xdr:row>
      <xdr:rowOff>91109</xdr:rowOff>
    </xdr:from>
    <xdr:to>
      <xdr:col>17</xdr:col>
      <xdr:colOff>233984</xdr:colOff>
      <xdr:row>30</xdr:row>
      <xdr:rowOff>99390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D8FCD7C9-1C2E-4C2B-A0E5-221137FB8E5F}"/>
            </a:ext>
          </a:extLst>
        </xdr:cNvPr>
        <xdr:cNvSpPr/>
      </xdr:nvSpPr>
      <xdr:spPr>
        <a:xfrm>
          <a:off x="6120848" y="4464326"/>
          <a:ext cx="142875" cy="149086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115956</xdr:colOff>
      <xdr:row>29</xdr:row>
      <xdr:rowOff>57978</xdr:rowOff>
    </xdr:from>
    <xdr:to>
      <xdr:col>17</xdr:col>
      <xdr:colOff>107674</xdr:colOff>
      <xdr:row>34</xdr:row>
      <xdr:rowOff>99390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97D337A-9E1B-41D1-9E74-D357397C2AA4}"/>
            </a:ext>
          </a:extLst>
        </xdr:cNvPr>
        <xdr:cNvSpPr/>
      </xdr:nvSpPr>
      <xdr:spPr>
        <a:xfrm>
          <a:off x="4621695" y="4431195"/>
          <a:ext cx="1515718" cy="778565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SPM SULLAM</a:t>
          </a:r>
        </a:p>
        <a:p>
          <a:pPr algn="ctr"/>
          <a:endParaRPr lang="en-ID" sz="600">
            <a:solidFill>
              <a:schemeClr val="tx1"/>
            </a:solidFill>
          </a:endParaRPr>
        </a:p>
        <a:p>
          <a:pPr algn="ctr"/>
          <a:endParaRPr lang="en-ID" sz="600">
            <a:solidFill>
              <a:schemeClr val="tx1"/>
            </a:solidFill>
          </a:endParaRPr>
        </a:p>
        <a:p>
          <a:pPr algn="ctr"/>
          <a:endParaRPr lang="en-ID" sz="600">
            <a:solidFill>
              <a:schemeClr val="tx1"/>
            </a:solidFill>
          </a:endParaRPr>
        </a:p>
        <a:p>
          <a:pPr algn="ctr"/>
          <a:r>
            <a:rPr lang="en-ID" sz="600">
              <a:solidFill>
                <a:schemeClr val="tx1"/>
              </a:solidFill>
            </a:rPr>
            <a:t>PONDOK</a:t>
          </a:r>
        </a:p>
        <a:p>
          <a:pPr algn="ctr"/>
          <a:r>
            <a:rPr lang="en-ID" sz="600">
              <a:solidFill>
                <a:schemeClr val="tx1"/>
              </a:solidFill>
            </a:rPr>
            <a:t>SULLAM</a:t>
          </a:r>
        </a:p>
      </xdr:txBody>
    </xdr:sp>
    <xdr:clientData/>
  </xdr:twoCellAnchor>
  <xdr:twoCellAnchor>
    <xdr:from>
      <xdr:col>12</xdr:col>
      <xdr:colOff>1822</xdr:colOff>
      <xdr:row>26</xdr:row>
      <xdr:rowOff>48039</xdr:rowOff>
    </xdr:from>
    <xdr:to>
      <xdr:col>16</xdr:col>
      <xdr:colOff>205103</xdr:colOff>
      <xdr:row>26</xdr:row>
      <xdr:rowOff>71467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1EC3DD7B-B5DC-4D2D-8D04-01A3A9A5DE39}"/>
            </a:ext>
          </a:extLst>
        </xdr:cNvPr>
        <xdr:cNvCxnSpPr>
          <a:stCxn id="191" idx="0"/>
          <a:endCxn id="183" idx="0"/>
        </xdr:cNvCxnSpPr>
      </xdr:nvCxnSpPr>
      <xdr:spPr>
        <a:xfrm>
          <a:off x="4126561" y="3973996"/>
          <a:ext cx="1727281" cy="2342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256761</xdr:colOff>
      <xdr:row>25</xdr:row>
      <xdr:rowOff>107674</xdr:rowOff>
    </xdr:from>
    <xdr:to>
      <xdr:col>8</xdr:col>
      <xdr:colOff>210779</xdr:colOff>
      <xdr:row>26</xdr:row>
      <xdr:rowOff>145088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F579CEC-A48C-42F5-9C58-91E0EA2F60B0}"/>
            </a:ext>
          </a:extLst>
        </xdr:cNvPr>
        <xdr:cNvSpPr/>
      </xdr:nvSpPr>
      <xdr:spPr>
        <a:xfrm>
          <a:off x="2476500" y="388454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281609</xdr:colOff>
      <xdr:row>27</xdr:row>
      <xdr:rowOff>24850</xdr:rowOff>
    </xdr:from>
    <xdr:to>
      <xdr:col>11</xdr:col>
      <xdr:colOff>235627</xdr:colOff>
      <xdr:row>28</xdr:row>
      <xdr:rowOff>62264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C8A14080-1755-4E60-AC12-2DF15072D0FF}"/>
            </a:ext>
          </a:extLst>
        </xdr:cNvPr>
        <xdr:cNvSpPr/>
      </xdr:nvSpPr>
      <xdr:spPr>
        <a:xfrm rot="19271706">
          <a:off x="3644348" y="4099893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12</xdr:col>
      <xdr:colOff>240195</xdr:colOff>
      <xdr:row>25</xdr:row>
      <xdr:rowOff>124239</xdr:rowOff>
    </xdr:from>
    <xdr:to>
      <xdr:col>13</xdr:col>
      <xdr:colOff>194213</xdr:colOff>
      <xdr:row>27</xdr:row>
      <xdr:rowOff>12567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8539D551-DE1D-4E80-B342-B5FD7FFED797}"/>
            </a:ext>
          </a:extLst>
        </xdr:cNvPr>
        <xdr:cNvSpPr/>
      </xdr:nvSpPr>
      <xdr:spPr>
        <a:xfrm>
          <a:off x="4364934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14</xdr:col>
      <xdr:colOff>339587</xdr:colOff>
      <xdr:row>25</xdr:row>
      <xdr:rowOff>124239</xdr:rowOff>
    </xdr:from>
    <xdr:to>
      <xdr:col>15</xdr:col>
      <xdr:colOff>293605</xdr:colOff>
      <xdr:row>27</xdr:row>
      <xdr:rowOff>12567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>
          <a:off x="5226326" y="3901109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179469</xdr:colOff>
      <xdr:row>26</xdr:row>
      <xdr:rowOff>61961</xdr:rowOff>
    </xdr:from>
    <xdr:to>
      <xdr:col>11</xdr:col>
      <xdr:colOff>351580</xdr:colOff>
      <xdr:row>29</xdr:row>
      <xdr:rowOff>12208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56734E72-0636-42E6-89AA-DCCA7359AA4A}"/>
            </a:ext>
          </a:extLst>
        </xdr:cNvPr>
        <xdr:cNvCxnSpPr>
          <a:stCxn id="66" idx="7"/>
          <a:endCxn id="191" idx="1"/>
        </xdr:cNvCxnSpPr>
      </xdr:nvCxnSpPr>
      <xdr:spPr>
        <a:xfrm flipV="1">
          <a:off x="3542208" y="3987918"/>
          <a:ext cx="553111" cy="397507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25930</xdr:colOff>
      <xdr:row>26</xdr:row>
      <xdr:rowOff>43586</xdr:rowOff>
    </xdr:from>
    <xdr:to>
      <xdr:col>9</xdr:col>
      <xdr:colOff>184724</xdr:colOff>
      <xdr:row>26</xdr:row>
      <xdr:rowOff>68458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DE934254-F54D-4811-9A5C-EDE914BC9CB3}"/>
            </a:ext>
          </a:extLst>
        </xdr:cNvPr>
        <xdr:cNvCxnSpPr/>
      </xdr:nvCxnSpPr>
      <xdr:spPr>
        <a:xfrm>
          <a:off x="709998" y="4009450"/>
          <a:ext cx="2444794" cy="2487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220247</xdr:colOff>
      <xdr:row>26</xdr:row>
      <xdr:rowOff>124651</xdr:rowOff>
    </xdr:from>
    <xdr:to>
      <xdr:col>10</xdr:col>
      <xdr:colOff>123764</xdr:colOff>
      <xdr:row>29</xdr:row>
      <xdr:rowOff>25197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5F0D0F02-A804-48FB-A626-6B1387C1446E}"/>
            </a:ext>
          </a:extLst>
        </xdr:cNvPr>
        <xdr:cNvCxnSpPr/>
      </xdr:nvCxnSpPr>
      <xdr:spPr>
        <a:xfrm flipH="1" flipV="1">
          <a:off x="3190315" y="4090515"/>
          <a:ext cx="284517" cy="355148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248478</xdr:colOff>
      <xdr:row>25</xdr:row>
      <xdr:rowOff>107674</xdr:rowOff>
    </xdr:from>
    <xdr:to>
      <xdr:col>4</xdr:col>
      <xdr:colOff>202496</xdr:colOff>
      <xdr:row>26</xdr:row>
      <xdr:rowOff>145088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EAE7B5FE-D5DF-476A-A6E3-A25AA95A9826}"/>
            </a:ext>
          </a:extLst>
        </xdr:cNvPr>
        <xdr:cNvSpPr/>
      </xdr:nvSpPr>
      <xdr:spPr>
        <a:xfrm>
          <a:off x="944217" y="3884544"/>
          <a:ext cx="335018" cy="18650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8</xdr:col>
      <xdr:colOff>306456</xdr:colOff>
      <xdr:row>23</xdr:row>
      <xdr:rowOff>8282</xdr:rowOff>
    </xdr:from>
    <xdr:to>
      <xdr:col>10</xdr:col>
      <xdr:colOff>41412</xdr:colOff>
      <xdr:row>26</xdr:row>
      <xdr:rowOff>8281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3E4CB9B3-217F-434E-B74C-DC852962248C}"/>
            </a:ext>
          </a:extLst>
        </xdr:cNvPr>
        <xdr:cNvSpPr/>
      </xdr:nvSpPr>
      <xdr:spPr>
        <a:xfrm>
          <a:off x="2907195" y="3486978"/>
          <a:ext cx="496956" cy="4472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CJ6-T</a:t>
          </a:r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11</xdr:col>
      <xdr:colOff>223631</xdr:colOff>
      <xdr:row>23</xdr:row>
      <xdr:rowOff>49696</xdr:rowOff>
    </xdr:from>
    <xdr:to>
      <xdr:col>12</xdr:col>
      <xdr:colOff>339587</xdr:colOff>
      <xdr:row>25</xdr:row>
      <xdr:rowOff>140804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C22DCEB5-8423-457E-A550-308D72C1FC42}"/>
            </a:ext>
          </a:extLst>
        </xdr:cNvPr>
        <xdr:cNvSpPr/>
      </xdr:nvSpPr>
      <xdr:spPr>
        <a:xfrm>
          <a:off x="3967370" y="3528392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C12-200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>
              <a:solidFill>
                <a:schemeClr val="tx1"/>
              </a:solidFill>
            </a:rPr>
            <a:t>2 CJ6-T</a:t>
          </a:r>
        </a:p>
      </xdr:txBody>
    </xdr:sp>
    <xdr:clientData/>
  </xdr:twoCellAnchor>
  <xdr:twoCellAnchor>
    <xdr:from>
      <xdr:col>13</xdr:col>
      <xdr:colOff>223630</xdr:colOff>
      <xdr:row>23</xdr:row>
      <xdr:rowOff>33130</xdr:rowOff>
    </xdr:from>
    <xdr:to>
      <xdr:col>14</xdr:col>
      <xdr:colOff>339586</xdr:colOff>
      <xdr:row>25</xdr:row>
      <xdr:rowOff>124238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83A602D-E4C3-4E95-832B-6C19226B8D36}"/>
            </a:ext>
          </a:extLst>
        </xdr:cNvPr>
        <xdr:cNvSpPr/>
      </xdr:nvSpPr>
      <xdr:spPr>
        <a:xfrm>
          <a:off x="4729369" y="3511826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>
              <a:solidFill>
                <a:schemeClr val="tx1"/>
              </a:solidFill>
            </a:rPr>
            <a:t>1 CJ5-T</a:t>
          </a:r>
        </a:p>
      </xdr:txBody>
    </xdr:sp>
    <xdr:clientData/>
  </xdr:twoCellAnchor>
  <xdr:twoCellAnchor>
    <xdr:from>
      <xdr:col>6</xdr:col>
      <xdr:colOff>173935</xdr:colOff>
      <xdr:row>23</xdr:row>
      <xdr:rowOff>57978</xdr:rowOff>
    </xdr:from>
    <xdr:to>
      <xdr:col>7</xdr:col>
      <xdr:colOff>289891</xdr:colOff>
      <xdr:row>25</xdr:row>
      <xdr:rowOff>149086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FBBCB28E-8BB9-4912-A5E1-7A64076937C3}"/>
            </a:ext>
          </a:extLst>
        </xdr:cNvPr>
        <xdr:cNvSpPr/>
      </xdr:nvSpPr>
      <xdr:spPr>
        <a:xfrm>
          <a:off x="2012674" y="3536674"/>
          <a:ext cx="496956" cy="389282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>
              <a:solidFill>
                <a:schemeClr val="tx1"/>
              </a:solidFill>
            </a:rPr>
            <a:t>1 CJ5-T</a:t>
          </a:r>
        </a:p>
      </xdr:txBody>
    </xdr:sp>
    <xdr:clientData/>
  </xdr:twoCellAnchor>
  <xdr:twoCellAnchor>
    <xdr:from>
      <xdr:col>2</xdr:col>
      <xdr:colOff>237295</xdr:colOff>
      <xdr:row>25</xdr:row>
      <xdr:rowOff>49695</xdr:rowOff>
    </xdr:from>
    <xdr:to>
      <xdr:col>3</xdr:col>
      <xdr:colOff>0</xdr:colOff>
      <xdr:row>26</xdr:row>
      <xdr:rowOff>74039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34" idx="2"/>
          <a:endCxn id="24" idx="2"/>
        </xdr:cNvCxnSpPr>
      </xdr:nvCxnSpPr>
      <xdr:spPr>
        <a:xfrm>
          <a:off x="436078" y="3826565"/>
          <a:ext cx="259661" cy="17343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157655</xdr:colOff>
      <xdr:row>22</xdr:row>
      <xdr:rowOff>118242</xdr:rowOff>
    </xdr:from>
    <xdr:to>
      <xdr:col>5</xdr:col>
      <xdr:colOff>273611</xdr:colOff>
      <xdr:row>25</xdr:row>
      <xdr:rowOff>118240</xdr:rowOff>
    </xdr:to>
    <xdr:sp macro="" textlink="">
      <xdr:nvSpPr>
        <xdr:cNvPr id="165" name="Rectangle 164">
          <a:extLst>
            <a:ext uri="{FF2B5EF4-FFF2-40B4-BE49-F238E27FC236}">
              <a16:creationId xmlns:a16="http://schemas.microsoft.com/office/drawing/2014/main" id="{245D6401-AD23-4974-840F-4B643E7E6800}"/>
            </a:ext>
          </a:extLst>
        </xdr:cNvPr>
        <xdr:cNvSpPr/>
      </xdr:nvSpPr>
      <xdr:spPr>
        <a:xfrm>
          <a:off x="1228396" y="3481552"/>
          <a:ext cx="496956" cy="45325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CJ6-T</a:t>
          </a:r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chemeClr val="tx1"/>
              </a:solidFill>
            </a:rPr>
            <a:t>1 CJ5-T</a:t>
          </a:r>
        </a:p>
      </xdr:txBody>
    </xdr:sp>
    <xdr:clientData/>
  </xdr:twoCellAnchor>
  <xdr:twoCellAnchor>
    <xdr:from>
      <xdr:col>2</xdr:col>
      <xdr:colOff>262758</xdr:colOff>
      <xdr:row>27</xdr:row>
      <xdr:rowOff>6569</xdr:rowOff>
    </xdr:from>
    <xdr:to>
      <xdr:col>3</xdr:col>
      <xdr:colOff>267042</xdr:colOff>
      <xdr:row>29</xdr:row>
      <xdr:rowOff>6569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A5DF7B2F-2010-44C5-8686-15056FB61D2A}"/>
            </a:ext>
          </a:extLst>
        </xdr:cNvPr>
        <xdr:cNvSpPr/>
      </xdr:nvSpPr>
      <xdr:spPr>
        <a:xfrm>
          <a:off x="459827" y="4125310"/>
          <a:ext cx="496956" cy="302173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1 CJ6-T</a:t>
          </a:r>
        </a:p>
      </xdr:txBody>
    </xdr:sp>
    <xdr:clientData/>
  </xdr:twoCellAnchor>
  <xdr:twoCellAnchor>
    <xdr:from>
      <xdr:col>15</xdr:col>
      <xdr:colOff>341586</xdr:colOff>
      <xdr:row>23</xdr:row>
      <xdr:rowOff>19706</xdr:rowOff>
    </xdr:from>
    <xdr:to>
      <xdr:col>17</xdr:col>
      <xdr:colOff>76542</xdr:colOff>
      <xdr:row>26</xdr:row>
      <xdr:rowOff>19705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5EDF21D7-F06D-4DCA-BE7B-6F3B95363D33}"/>
            </a:ext>
          </a:extLst>
        </xdr:cNvPr>
        <xdr:cNvSpPr/>
      </xdr:nvSpPr>
      <xdr:spPr>
        <a:xfrm>
          <a:off x="5603327" y="3534103"/>
          <a:ext cx="496956" cy="45325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chemeClr val="tx1"/>
              </a:solidFill>
            </a:rPr>
            <a:t>1 C9-200</a:t>
          </a:r>
        </a:p>
        <a:p>
          <a:pPr algn="l"/>
          <a:r>
            <a:rPr lang="en-US" sz="600">
              <a:solidFill>
                <a:schemeClr val="tx1"/>
              </a:solidFill>
            </a:rPr>
            <a:t>2</a:t>
          </a:r>
          <a:r>
            <a:rPr lang="en-US" sz="600" baseline="0">
              <a:solidFill>
                <a:schemeClr val="tx1"/>
              </a:solidFill>
            </a:rPr>
            <a:t> CJ5-T</a:t>
          </a:r>
        </a:p>
        <a:p>
          <a:pPr algn="l"/>
          <a:r>
            <a:rPr lang="en-US" sz="600" baseline="0">
              <a:solidFill>
                <a:schemeClr val="tx1"/>
              </a:solidFill>
            </a:rPr>
            <a:t>1 CJ6-T</a:t>
          </a:r>
          <a:endParaRPr lang="en-US" sz="600">
            <a:solidFill>
              <a:schemeClr val="tx1"/>
            </a:solidFill>
          </a:endParaRPr>
        </a:p>
        <a:p>
          <a:pPr algn="l"/>
          <a:r>
            <a:rPr lang="en-US" sz="600">
              <a:solidFill>
                <a:schemeClr val="tx1"/>
              </a:solidFill>
            </a:rPr>
            <a:t>1 CJ5-T</a:t>
          </a:r>
        </a:p>
      </xdr:txBody>
    </xdr:sp>
    <xdr:clientData/>
  </xdr:twoCellAnchor>
  <xdr:twoCellAnchor>
    <xdr:from>
      <xdr:col>17</xdr:col>
      <xdr:colOff>251346</xdr:colOff>
      <xdr:row>26</xdr:row>
      <xdr:rowOff>118883</xdr:rowOff>
    </xdr:from>
    <xdr:to>
      <xdr:col>17</xdr:col>
      <xdr:colOff>260312</xdr:colOff>
      <xdr:row>29</xdr:row>
      <xdr:rowOff>123588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2885745-5020-4742-8700-7E63AA51A881}"/>
            </a:ext>
          </a:extLst>
        </xdr:cNvPr>
        <xdr:cNvCxnSpPr>
          <a:stCxn id="169" idx="2"/>
          <a:endCxn id="77" idx="2"/>
        </xdr:cNvCxnSpPr>
      </xdr:nvCxnSpPr>
      <xdr:spPr>
        <a:xfrm flipV="1">
          <a:off x="6271146" y="4115573"/>
          <a:ext cx="8966" cy="46190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138775</xdr:colOff>
      <xdr:row>27</xdr:row>
      <xdr:rowOff>26659</xdr:rowOff>
    </xdr:from>
    <xdr:to>
      <xdr:col>17</xdr:col>
      <xdr:colOff>326585</xdr:colOff>
      <xdr:row>29</xdr:row>
      <xdr:rowOff>60888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9C3D3D4-5159-48B9-9AAE-0F8523ACA7F1}"/>
            </a:ext>
          </a:extLst>
        </xdr:cNvPr>
        <xdr:cNvSpPr/>
      </xdr:nvSpPr>
      <xdr:spPr>
        <a:xfrm rot="5035519">
          <a:off x="6085974" y="4191000"/>
          <a:ext cx="335018" cy="18781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17</xdr:col>
      <xdr:colOff>335017</xdr:colOff>
      <xdr:row>29</xdr:row>
      <xdr:rowOff>98534</xdr:rowOff>
    </xdr:from>
    <xdr:to>
      <xdr:col>18</xdr:col>
      <xdr:colOff>96892</xdr:colOff>
      <xdr:row>30</xdr:row>
      <xdr:rowOff>106815</xdr:rowOff>
    </xdr:to>
    <xdr:sp macro="" textlink="">
      <xdr:nvSpPr>
        <xdr:cNvPr id="14" name="Isosceles Triangle 13">
          <a:extLst>
            <a:ext uri="{FF2B5EF4-FFF2-40B4-BE49-F238E27FC236}">
              <a16:creationId xmlns:a16="http://schemas.microsoft.com/office/drawing/2014/main" id="{EC20A571-0420-47F2-8787-6BB19E7EECBB}"/>
            </a:ext>
          </a:extLst>
        </xdr:cNvPr>
        <xdr:cNvSpPr/>
      </xdr:nvSpPr>
      <xdr:spPr>
        <a:xfrm>
          <a:off x="6358758" y="4519448"/>
          <a:ext cx="142875" cy="15279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125016</xdr:colOff>
      <xdr:row>25</xdr:row>
      <xdr:rowOff>53578</xdr:rowOff>
    </xdr:from>
    <xdr:to>
      <xdr:col>17</xdr:col>
      <xdr:colOff>267891</xdr:colOff>
      <xdr:row>26</xdr:row>
      <xdr:rowOff>49953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3FF688D-7ECA-46CB-A357-20975CDAA29C}"/>
            </a:ext>
          </a:extLst>
        </xdr:cNvPr>
        <xdr:cNvSpPr/>
      </xdr:nvSpPr>
      <xdr:spPr>
        <a:xfrm>
          <a:off x="6143625" y="3940969"/>
          <a:ext cx="142875" cy="1511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217715</xdr:colOff>
      <xdr:row>9</xdr:row>
      <xdr:rowOff>27215</xdr:rowOff>
    </xdr:from>
    <xdr:to>
      <xdr:col>20</xdr:col>
      <xdr:colOff>231322</xdr:colOff>
      <xdr:row>48</xdr:row>
      <xdr:rowOff>72104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55D6B-CC8A-54FA-D44E-AEE2BEBE0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4" y="1646465"/>
          <a:ext cx="10423071" cy="641303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2" t="s">
        <v>1134</v>
      </c>
      <c r="C4" s="512"/>
      <c r="D4" s="512"/>
      <c r="E4" s="512"/>
      <c r="F4" s="512"/>
      <c r="G4" s="512"/>
      <c r="H4" s="51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3" t="s">
        <v>0</v>
      </c>
      <c r="C7" s="513" t="s">
        <v>1</v>
      </c>
      <c r="D7" s="514" t="s">
        <v>42</v>
      </c>
      <c r="E7" s="514" t="s">
        <v>43</v>
      </c>
      <c r="F7" s="514" t="s">
        <v>1135</v>
      </c>
      <c r="G7" s="515" t="s">
        <v>41</v>
      </c>
      <c r="H7" s="511" t="s">
        <v>1042</v>
      </c>
      <c r="I7" s="511" t="s">
        <v>1137</v>
      </c>
      <c r="J7" s="511" t="s">
        <v>1026</v>
      </c>
      <c r="K7" s="505" t="s">
        <v>1024</v>
      </c>
      <c r="L7" s="506"/>
    </row>
    <row r="8" spans="1:12" ht="15" customHeight="1">
      <c r="B8" s="513"/>
      <c r="C8" s="513"/>
      <c r="D8" s="514"/>
      <c r="E8" s="514"/>
      <c r="F8" s="514"/>
      <c r="G8" s="515"/>
      <c r="H8" s="511"/>
      <c r="I8" s="511"/>
      <c r="J8" s="511"/>
      <c r="K8" s="507"/>
      <c r="L8" s="508"/>
    </row>
    <row r="9" spans="1:12" ht="15" customHeight="1">
      <c r="B9" s="513"/>
      <c r="C9" s="513"/>
      <c r="D9" s="514"/>
      <c r="E9" s="514"/>
      <c r="F9" s="514"/>
      <c r="G9" s="515"/>
      <c r="H9" s="511"/>
      <c r="I9" s="511"/>
      <c r="J9" s="511"/>
      <c r="K9" s="509"/>
      <c r="L9" s="51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Trafo 1 Fasa CSP 50 kVA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27845400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FCO Polymer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848250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AAAC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</v>
      </c>
      <c r="G14" s="41">
        <f ca="1">IF(ISERROR(OFFSET('HARGA SATUAN'!$I$6,MATCH(C14,'HARGA SATUAN'!$C$7:$C$1492,0),0)),"",OFFSET('HARGA SATUAN'!$I$6,MATCH(C14,'HARGA SATUAN'!$C$7:$C$1492,0),0))</f>
        <v>14200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70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2</v>
      </c>
      <c r="G15" s="41">
        <f ca="1">IF(ISERROR(OFFSET('HARGA SATUAN'!$I$6,MATCH(C15,'HARGA SATUAN'!$C$7:$C$1492,0),0)),"",OFFSET('HARGA SATUAN'!$I$6,MATCH(C15,'HARGA SATUAN'!$C$7:$C$1492,0),0))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SUMIFS(RAB!$F$14:$F$59,RAB!$C$14:$C$59,C714)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SUMIFS(RAB!$F$14:$F$59,RAB!$C$14:$C$59,C715)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SUMIFS(RAB!$F$14:$F$59,RAB!$C$14:$C$59,C716)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SUMIFS(RAB!$F$14:$F$59,RAB!$C$14:$C$59,C717)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SUMIFS(RAB!$F$14:$F$59,RAB!$C$14:$C$59,C718)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SUMIFS(RAB!$F$14:$F$59,RAB!$C$14:$C$59,C719)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SUMIFS(RAB!$F$14:$F$59,RAB!$C$14:$C$59,C720)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SUMIFS(RAB!$F$14:$F$59,RAB!$C$14:$C$59,C721)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SUMIFS(RAB!$F$14:$F$59,RAB!$C$14:$C$59,C722)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SUMIFS(RAB!$F$14:$F$59,RAB!$C$14:$C$59,C723)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SUMIFS(RAB!$F$14:$F$59,RAB!$C$14:$C$59,C724)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SUMIFS(RAB!$F$14:$F$59,RAB!$C$14:$C$59,C725)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SUMIFS(RAB!$F$14:$F$59,RAB!$C$14:$C$59,C726)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SUMIFS(RAB!$F$14:$F$59,RAB!$C$14:$C$59,C727)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SUMIFS(RAB!$F$14:$F$59,RAB!$C$14:$C$59,C728)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SUMIFS(RAB!$F$14:$F$59,RAB!$C$14:$C$59,C729)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SUMIFS(RAB!$F$14:$F$59,RAB!$C$14:$C$59,C730)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SUMIFS(RAB!$F$14:$F$59,RAB!$C$14:$C$59,C731)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SUMIFS(RAB!$F$14:$F$59,RAB!$C$14:$C$59,C732)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SUMIFS(RAB!$F$14:$F$59,RAB!$C$14:$C$59,C733)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SUMIFS(RAB!$F$14:$F$59,RAB!$C$14:$C$59,C734)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SUMIFS(RAB!$F$14:$F$59,RAB!$C$14:$C$59,C735)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SUMIFS(RAB!$F$14:$F$59,RAB!$C$14:$C$59,C736)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SUMIFS(RAB!$F$14:$F$59,RAB!$C$14:$C$59,C737)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SUMIFS(RAB!$F$14:$F$59,RAB!$C$14:$C$59,C738)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SUMIFS(RAB!$F$14:$F$59,RAB!$C$14:$C$59,C739)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SUMIFS(RAB!$F$14:$F$59,RAB!$C$14:$C$59,C740)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SUMIFS(RAB!$F$14:$F$59,RAB!$C$14:$C$59,C741)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SUMIFS(RAB!$F$14:$F$59,RAB!$C$14:$C$59,C742)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SUMIFS(RAB!$F$14:$F$59,RAB!$C$14:$C$59,C743)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SUMIFS(RAB!$F$14:$F$59,RAB!$C$14:$C$59,C744)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SUMIFS(RAB!$F$14:$F$59,RAB!$C$14:$C$59,C745)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SUMIFS(RAB!$F$14:$F$59,RAB!$C$14:$C$59,C746)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SUMIFS(RAB!$F$14:$F$59,RAB!$C$14:$C$59,C747)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SUMIFS(RAB!$F$14:$F$59,RAB!$C$14:$C$59,C748)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SUMIFS(RAB!$F$14:$F$59,RAB!$C$14:$C$59,C749)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SUMIFS(RAB!$F$14:$F$59,RAB!$C$14:$C$59,C750)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SUMIFS(RAB!$F$14:$F$59,RAB!$C$14:$C$59,C751)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SUMIFS(RAB!$F$14:$F$59,RAB!$C$14:$C$59,C752)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SUMIFS(RAB!$F$14:$F$59,RAB!$C$14:$C$59,C753)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SUMIFS(RAB!$F$14:$F$59,RAB!$C$14:$C$59,C754)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SUMIFS(RAB!$F$14:$F$59,RAB!$C$14:$C$59,C755)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SUMIFS(RAB!$F$14:$F$59,RAB!$C$14:$C$59,C756)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SUMIFS(RAB!$F$14:$F$59,RAB!$C$14:$C$59,C757)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SUMIFS(RAB!$F$14:$F$59,RAB!$C$14:$C$59,C758)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SUMIFS(RAB!$F$14:$F$59,RAB!$C$14:$C$59,C759)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SUMIFS(RAB!$F$14:$F$59,RAB!$C$14:$C$59,C760)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SUMIFS(RAB!$F$14:$F$59,RAB!$C$14:$C$59,C761)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SUMIFS(RAB!$F$14:$F$59,RAB!$C$14:$C$59,C762)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SUMIFS(RAB!$F$14:$F$59,RAB!$C$14:$C$59,C763)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SUMIFS(RAB!$F$14:$F$59,RAB!$C$14:$C$59,C764)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SUMIFS(RAB!$F$14:$F$59,RAB!$C$14:$C$59,C765)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SUMIFS(RAB!$F$14:$F$59,RAB!$C$14:$C$59,C766)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SUMIFS(RAB!$F$14:$F$59,RAB!$C$14:$C$59,C767)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SUMIFS(RAB!$F$14:$F$59,RAB!$C$14:$C$59,C768)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SUMIFS(RAB!$F$14:$F$59,RAB!$C$14:$C$59,C769)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SUMIFS(RAB!$F$14:$F$59,RAB!$C$14:$C$59,C770)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SUMIFS(RAB!$F$14:$F$59,RAB!$C$14:$C$59,C771)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SUMIFS(RAB!$F$14:$F$59,RAB!$C$14:$C$59,C772)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SUMIFS(RAB!$F$14:$F$59,RAB!$C$14:$C$59,C773)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SUMIFS(RAB!$F$14:$F$59,RAB!$C$14:$C$59,C774)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SUMIFS(RAB!$F$14:$F$59,RAB!$C$14:$C$59,C775)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SUMIFS(RAB!$F$14:$F$59,RAB!$C$14:$C$59,C776)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SUMIFS(RAB!$F$14:$F$59,RAB!$C$14:$C$59,C777)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SUMIFS(RAB!$F$14:$F$59,RAB!$C$14:$C$59,C778)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SUMIFS(RAB!$F$14:$F$59,RAB!$C$14:$C$59,C779)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SUMIFS(RAB!$F$14:$F$59,RAB!$C$14:$C$59,C780)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SUMIFS(RAB!$F$14:$F$59,RAB!$C$14:$C$59,C781)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SUMIFS(RAB!$F$14:$F$59,RAB!$C$14:$C$59,C782)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SUMIFS(RAB!$F$14:$F$59,RAB!$C$14:$C$59,C783)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SUMIFS(RAB!$F$14:$F$59,RAB!$C$14:$C$59,C784)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SUMIFS(RAB!$F$14:$F$59,RAB!$C$14:$C$59,C785)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SUMIFS(RAB!$F$14:$F$59,RAB!$C$14:$C$59,C786)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SUMIFS(RAB!$F$14:$F$59,RAB!$C$14:$C$59,C787)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SUMIFS(RAB!$F$14:$F$59,RAB!$C$14:$C$59,C788)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SUMIFS(RAB!$F$14:$F$59,RAB!$C$14:$C$59,C789)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SUMIFS(RAB!$F$14:$F$59,RAB!$C$14:$C$59,C790)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SUMIFS(RAB!$F$14:$F$59,RAB!$C$14:$C$59,C791)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SUMIFS(RAB!$F$14:$F$59,RAB!$C$14:$C$59,C792)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SUMIFS(RAB!$F$14:$F$59,RAB!$C$14:$C$59,C793)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SUMIFS(RAB!$F$14:$F$59,RAB!$C$14:$C$59,C794)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SUMIFS(RAB!$F$14:$F$59,RAB!$C$14:$C$59,C795)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SUMIFS(RAB!$F$14:$F$59,RAB!$C$14:$C$59,C796)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SUMIFS(RAB!$F$14:$F$59,RAB!$C$14:$C$59,C797)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SUMIFS(RAB!$F$14:$F$59,RAB!$C$14:$C$59,C798)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SUMIFS(RAB!$F$14:$F$59,RAB!$C$14:$C$59,C799)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SUMIFS(RAB!$F$14:$F$59,RAB!$C$14:$C$59,C800)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SUMIFS(RAB!$F$14:$F$59,RAB!$C$14:$C$59,C801)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SUMIFS(RAB!$F$14:$F$59,RAB!$C$14:$C$59,C802)</f>
        <v>1</v>
      </c>
      <c r="E802" s="26">
        <f t="shared" ca="1" si="34"/>
        <v>1</v>
      </c>
      <c r="F802" s="26">
        <f ca="1">IF(D802=0,0,SUM($E$713:E802))</f>
        <v>1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SUMIFS(RAB!$F$14:$F$59,RAB!$C$14:$C$59,C803)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SUMIFS(RAB!$F$14:$F$59,RAB!$C$14:$C$59,C804)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SUMIFS(RAB!$F$14:$F$59,RAB!$C$14:$C$59,C805)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SUMIFS(RAB!$F$14:$F$59,RAB!$C$14:$C$59,C806)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SUMIFS(RAB!$F$14:$F$59,RAB!$C$14:$C$59,C807)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SUMIFS(RAB!$F$14:$F$59,RAB!$C$14:$C$59,C808)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SUMIFS(RAB!$F$14:$F$59,RAB!$C$14:$C$59,C809)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SUMIFS(RAB!$F$14:$F$59,RAB!$C$14:$C$59,C810)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SUMIFS(RAB!$F$14:$F$59,RAB!$C$14:$C$59,C811)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SUMIFS(RAB!$F$14:$F$59,RAB!$C$14:$C$59,C812)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SUMIFS(RAB!$F$14:$F$59,RAB!$C$14:$C$59,C813)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SUMIFS(RAB!$F$14:$F$59,RAB!$C$14:$C$59,C814)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SUMIFS(RAB!$F$14:$F$59,RAB!$C$14:$C$59,C815)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SUMIFS(RAB!$F$14:$F$59,RAB!$C$14:$C$59,C816)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SUMIFS(RAB!$F$14:$F$59,RAB!$C$14:$C$59,C817)</f>
        <v>1</v>
      </c>
      <c r="E817" s="26">
        <f t="shared" ca="1" si="34"/>
        <v>1</v>
      </c>
      <c r="F817" s="26">
        <f ca="1">IF(D817=0,0,SUM($E$713:E817))</f>
        <v>2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SUMIFS(RAB!$F$14:$F$59,RAB!$C$14:$C$59,C818)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SUMIFS(RAB!$F$14:$F$59,RAB!$C$14:$C$59,C819)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SUMIFS(RAB!$F$14:$F$59,RAB!$C$14:$C$59,C820)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SUMIFS(RAB!$F$14:$F$59,RAB!$C$14:$C$59,C821)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SUMIFS(RAB!$F$14:$F$59,RAB!$C$14:$C$59,C822)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SUMIFS(RAB!$F$14:$F$59,RAB!$C$14:$C$59,C823)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SUMIFS(RAB!$F$14:$F$59,RAB!$C$14:$C$59,C824)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SUMIFS(RAB!$F$14:$F$59,RAB!$C$14:$C$59,C825)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SUMIFS(RAB!$F$14:$F$59,RAB!$C$14:$C$59,C826)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SUMIFS(RAB!$F$14:$F$59,RAB!$C$14:$C$59,C827)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SUMIFS(RAB!$F$14:$F$59,RAB!$C$14:$C$59,C828)</f>
        <v>2</v>
      </c>
      <c r="E828" s="26">
        <f t="shared" ca="1" si="34"/>
        <v>1</v>
      </c>
      <c r="F828" s="26">
        <f ca="1">IF(D828=0,0,SUM($E$713:E828))</f>
        <v>3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SUMIFS(RAB!$F$14:$F$59,RAB!$C$14:$C$59,C829)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SUMIFS(RAB!$F$14:$F$59,RAB!$C$14:$C$59,C830)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SUMIFS(RAB!$F$14:$F$59,RAB!$C$14:$C$59,C831)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SUMIFS(RAB!$F$14:$F$59,RAB!$C$14:$C$59,C832)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SUMIFS(RAB!$F$14:$F$59,RAB!$C$14:$C$59,C833)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SUMIFS(RAB!$F$14:$F$59,RAB!$C$14:$C$59,C834)</f>
        <v>2</v>
      </c>
      <c r="E834" s="26">
        <f t="shared" ca="1" si="34"/>
        <v>1</v>
      </c>
      <c r="F834" s="26">
        <f ca="1">IF(D834=0,0,SUM($E$713:E834))</f>
        <v>4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SUMIFS(RAB!$F$14:$F$59,RAB!$C$14:$C$59,C835)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SUMIFS(RAB!$F$14:$F$59,RAB!$C$14:$C$59,C836)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SUMIFS(RAB!$F$14:$F$59,RAB!$C$14:$C$59,C837)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SUMIFS(RAB!$F$14:$F$59,RAB!$C$14:$C$59,C838)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SUMIFS(RAB!$F$14:$F$59,RAB!$C$14:$C$59,C839)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SUMIFS(RAB!$F$14:$F$59,RAB!$C$14:$C$59,C840)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SUMIFS(RAB!$F$14:$F$59,RAB!$C$14:$C$59,C841)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SUMIFS(RAB!$F$14:$F$59,RAB!$C$14:$C$59,C842)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SUMIFS(RAB!$F$14:$F$59,RAB!$C$14:$C$59,C843)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SUMIFS(RAB!$F$14:$F$59,RAB!$C$14:$C$59,C844)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SUMIFS(RAB!$F$14:$F$59,RAB!$C$14:$C$59,C845)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SUMIFS(RAB!$F$14:$F$59,RAB!$C$14:$C$59,C846)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SUMIFS(RAB!$F$14:$F$59,RAB!$C$14:$C$59,C847)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SUMIFS(RAB!$F$14:$F$59,RAB!$C$14:$C$59,C848)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SUMIFS(RAB!$F$14:$F$59,RAB!$C$14:$C$59,C849)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SUMIFS(RAB!$F$14:$F$59,RAB!$C$14:$C$59,C850)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SUMIFS(RAB!$F$14:$F$59,RAB!$C$14:$C$59,C851)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SUMIFS(RAB!$F$14:$F$59,RAB!$C$14:$C$59,C852)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SUMIFS(RAB!$F$14:$F$59,RAB!$C$14:$C$59,C853)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SUMIFS(RAB!$F$14:$F$59,RAB!$C$14:$C$59,C854)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SUMIFS(RAB!$F$14:$F$59,RAB!$C$14:$C$59,C855)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SUMIFS(RAB!$F$14:$F$59,RAB!$C$14:$C$59,C856)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SUMIFS(RAB!$F$14:$F$59,RAB!$C$14:$C$59,C857)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SUMIFS(RAB!$F$14:$F$59,RAB!$C$14:$C$59,C858)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SUMIFS(RAB!$F$14:$F$59,RAB!$C$14:$C$59,C859)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SUMIFS(RAB!$F$14:$F$59,RAB!$C$14:$C$59,C860)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SUMIFS(RAB!$F$14:$F$59,RAB!$C$14:$C$59,C861)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SUMIFS(RAB!$F$14:$F$59,RAB!$C$14:$C$59,C862)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SUMIFS(RAB!$F$14:$F$59,RAB!$C$14:$C$59,C863)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SUMIFS(RAB!$F$14:$F$59,RAB!$C$14:$C$59,C864)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SUMIFS(RAB!$F$14:$F$59,RAB!$C$14:$C$59,C865)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SUMIFS(RAB!$F$14:$F$59,RAB!$C$14:$C$59,C866)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SUMIFS(RAB!$F$14:$F$59,RAB!$C$14:$C$59,C867)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SUMIFS(RAB!$F$14:$F$59,RAB!$C$14:$C$59,C868)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SUMIFS(RAB!$F$14:$F$59,RAB!$C$14:$C$59,C869)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SUMIFS(RAB!$F$14:$F$59,RAB!$C$14:$C$59,C870)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SUMIFS(RAB!$F$14:$F$59,RAB!$C$14:$C$59,C871)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SUMIFS(RAB!$F$14:$F$59,RAB!$C$14:$C$59,C872)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SUMIFS(RAB!$F$14:$F$59,RAB!$C$14:$C$59,C873)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SUMIFS(RAB!$F$14:$F$59,RAB!$C$14:$C$59,C874)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SUMIFS(RAB!$F$14:$F$59,RAB!$C$14:$C$59,C875)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SUMIFS(RAB!$F$14:$F$59,RAB!$C$14:$C$59,C876)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SUMIFS(RAB!$F$14:$F$59,RAB!$C$14:$C$59,C877)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SUMIFS(RAB!$F$14:$F$59,RAB!$C$14:$C$59,C878)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SUMIFS(RAB!$F$14:$F$59,RAB!$C$14:$C$59,C879)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SUMIFS(RAB!$F$14:$F$59,RAB!$C$14:$C$59,C880)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SUMIFS(RAB!$F$14:$F$59,RAB!$C$14:$C$59,C881)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SUMIFS(RAB!$F$14:$F$59,RAB!$C$14:$C$59,C882)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SUMIFS(RAB!$F$14:$F$59,RAB!$C$14:$C$59,C883)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SUMIFS(RAB!$F$14:$F$59,RAB!$C$14:$C$59,C884)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SUMIFS(RAB!$F$14:$F$59,RAB!$C$14:$C$59,C885)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SUMIFS(RAB!$F$14:$F$59,RAB!$C$14:$C$59,C886)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SUMIFS(RAB!$F$14:$F$59,RAB!$C$14:$C$59,C887)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SUMIFS(RAB!$F$14:$F$59,RAB!$C$14:$C$59,C888)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SUMIFS(RAB!$F$14:$F$59,RAB!$C$14:$C$59,C889)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SUMIFS(RAB!$F$14:$F$59,RAB!$C$14:$C$59,C890)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SUMIFS(RAB!$F$14:$F$59,RAB!$C$14:$C$59,C891)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SUMIFS(RAB!$F$14:$F$59,RAB!$C$14:$C$59,C892)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SUMIFS(RAB!$F$14:$F$59,RAB!$C$14:$C$59,C893)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SUMIFS(RAB!$F$14:$F$59,RAB!$C$14:$C$59,C894)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SUMIFS(RAB!$F$14:$F$59,RAB!$C$14:$C$59,C895)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SUMIFS(RAB!$F$14:$F$59,RAB!$C$14:$C$59,C896)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SUMIFS(RAB!$F$14:$F$59,RAB!$C$14:$C$59,C897)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SUMIFS(RAB!$F$14:$F$59,RAB!$C$14:$C$59,C898)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SUMIFS(RAB!$F$14:$F$59,RAB!$C$14:$C$59,C899)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SUMIFS(RAB!$F$14:$F$59,RAB!$C$14:$C$59,C900)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SUMIFS(RAB!$F$14:$F$59,RAB!$C$14:$C$59,C901)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SUMIFS(RAB!$F$14:$F$59,RAB!$C$14:$C$59,C902)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SUMIFS(RAB!$F$14:$F$59,RAB!$C$14:$C$59,C903)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SUMIFS(RAB!$F$14:$F$59,RAB!$C$14:$C$59,C904)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SUMIFS(RAB!$F$14:$F$59,RAB!$C$14:$C$59,C905)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SUMIFS(RAB!$F$14:$F$59,RAB!$C$14:$C$59,C906)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SUMIFS(RAB!$F$14:$F$59,RAB!$C$14:$C$59,C907)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SUMIFS(RAB!$F$14:$F$59,RAB!$C$14:$C$59,C908)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SUMIFS(RAB!$F$14:$F$59,RAB!$C$14:$C$59,C909)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SUMIFS(RAB!$F$14:$F$59,RAB!$C$14:$C$59,C910)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SUMIFS(RAB!$F$14:$F$59,RAB!$C$14:$C$59,C911)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SUMIFS(RAB!$F$14:$F$59,RAB!$C$14:$C$59,C912)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SUMIFS(RAB!$F$14:$F$59,RAB!$C$14:$C$59,C913)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SUMIFS(RAB!$F$14:$F$59,RAB!$C$14:$C$59,C914)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SUMIFS(RAB!$F$14:$F$59,RAB!$C$14:$C$59,C915)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SUMIFS(RAB!$F$14:$F$59,RAB!$C$14:$C$59,C916)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SUMIFS(RAB!$F$14:$F$59,RAB!$C$14:$C$59,C917)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SUMIFS(RAB!$F$14:$F$59,RAB!$C$14:$C$59,C918)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SUMIFS(RAB!$F$14:$F$59,RAB!$C$14:$C$59,C919)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SUMIFS(RAB!$F$14:$F$59,RAB!$C$14:$C$59,C920)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SUMIFS(RAB!$F$14:$F$59,RAB!$C$14:$C$59,C921)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SUMIFS(RAB!$F$14:$F$59,RAB!$C$14:$C$59,C922)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SUMIFS(RAB!$F$14:$F$59,RAB!$C$14:$C$59,C923)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SUMIFS(RAB!$F$14:$F$59,RAB!$C$14:$C$59,C924)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SUMIFS(RAB!$F$14:$F$59,RAB!$C$14:$C$59,C925)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SUMIFS(RAB!$F$14:$F$59,RAB!$C$14:$C$59,C926)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SUMIFS(RAB!$F$14:$F$59,RAB!$C$14:$C$59,C927)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SUMIFS(RAB!$F$14:$F$59,RAB!$C$14:$C$59,C928)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SUMIFS(RAB!$F$14:$F$59,RAB!$C$14:$C$59,C929)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SUMIFS(RAB!$F$14:$F$59,RAB!$C$14:$C$59,C930)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SUMIFS(RAB!$F$14:$F$59,RAB!$C$14:$C$59,C931)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SUMIFS(RAB!$F$14:$F$59,RAB!$C$14:$C$59,C932)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SUMIFS(RAB!$F$14:$F$59,RAB!$C$14:$C$59,C933)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SUMIFS(RAB!$F$14:$F$59,RAB!$C$14:$C$59,C934)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SUMIFS(RAB!$F$14:$F$59,RAB!$C$14:$C$59,C935)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SUMIFS(RAB!$F$14:$F$59,RAB!$C$14:$C$59,C936)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SUMIFS(RAB!$F$14:$F$59,RAB!$C$14:$C$59,C937)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SUMIFS(RAB!$F$14:$F$59,RAB!$C$14:$C$59,C938)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SUMIFS(RAB!$F$14:$F$59,RAB!$C$14:$C$59,C939)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SUMIFS(RAB!$F$14:$F$59,RAB!$C$14:$C$59,C940)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SUMIFS(RAB!$F$14:$F$59,RAB!$C$14:$C$59,C941)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SUMIFS(RAB!$F$14:$F$59,RAB!$C$14:$C$59,C942)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SUMIFS(RAB!$F$14:$F$59,RAB!$C$14:$C$59,C943)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SUMIFS(RAB!$F$14:$F$59,RAB!$C$14:$C$59,C944)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SUMIFS(RAB!$F$14:$F$59,RAB!$C$14:$C$59,C945)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SUMIFS(RAB!$F$14:$F$59,RAB!$C$14:$C$59,C946)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SUMIFS(RAB!$F$14:$F$59,RAB!$C$14:$C$59,C947)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SUMIFS(RAB!$F$14:$F$59,RAB!$C$14:$C$59,C948)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SUMIFS(RAB!$F$14:$F$59,RAB!$C$14:$C$59,C949)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SUMIFS(RAB!$F$14:$F$59,RAB!$C$14:$C$59,C950)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SUMIFS(RAB!$F$14:$F$59,RAB!$C$14:$C$59,C951)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SUMIFS(RAB!$F$14:$F$59,RAB!$C$14:$C$59,C952)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SUMIFS(RAB!$F$14:$F$59,RAB!$C$14:$C$59,C953)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SUMIFS(RAB!$F$14:$F$59,RAB!$C$14:$C$59,C954)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SUMIFS(RAB!$F$14:$F$59,RAB!$C$14:$C$59,C955)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SUMIFS(RAB!$F$14:$F$59,RAB!$C$14:$C$59,C956)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SUMIFS(RAB!$F$14:$F$59,RAB!$C$14:$C$59,C957)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SUMIFS(RAB!$F$14:$F$59,RAB!$C$14:$C$59,C958)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SUMIFS(RAB!$F$14:$F$59,RAB!$C$14:$C$59,C959)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SUMIFS(RAB!$F$14:$F$59,RAB!$C$14:$C$59,C960)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SUMIFS(RAB!$F$14:$F$59,RAB!$C$14:$C$59,C961)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SUMIFS(RAB!$F$14:$F$59,RAB!$C$14:$C$59,C962)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SUMIFS(RAB!$F$14:$F$59,RAB!$C$14:$C$59,C963)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SUMIFS(RAB!$F$14:$F$59,RAB!$C$14:$C$59,C964)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SUMIFS(RAB!$F$14:$F$59,RAB!$C$14:$C$59,C965)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SUMIFS(RAB!$F$14:$F$59,RAB!$C$14:$C$59,C966)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SUMIFS(RAB!$F$14:$F$59,RAB!$C$14:$C$59,C967)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SUMIFS(RAB!$F$14:$F$59,RAB!$C$14:$C$59,C968)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SUMIFS(RAB!$F$14:$F$59,RAB!$C$14:$C$59,C969)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SUMIFS(RAB!$F$14:$F$59,RAB!$C$14:$C$59,C970)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SUMIFS(RAB!$F$14:$F$59,RAB!$C$14:$C$59,C971)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SUMIFS(RAB!$F$14:$F$59,RAB!$C$14:$C$59,C972)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SUMIFS(RAB!$F$14:$F$59,RAB!$C$14:$C$59,C973)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SUMIFS(RAB!$F$14:$F$59,RAB!$C$14:$C$59,C974)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SUMIFS(RAB!$F$14:$F$59,RAB!$C$14:$C$59,C975)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SUMIFS(RAB!$F$14:$F$59,RAB!$C$14:$C$59,C976)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SUMIFS(RAB!$F$14:$F$59,RAB!$C$14:$C$59,C977)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SUMIFS(RAB!$F$14:$F$59,RAB!$C$14:$C$59,C978)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SUMIFS(RAB!$F$14:$F$59,RAB!$C$14:$C$59,C979)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SUMIFS(RAB!$F$14:$F$59,RAB!$C$14:$C$59,C980)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SUMIFS(RAB!$F$14:$F$59,RAB!$C$14:$C$59,C981)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SUMIFS(RAB!$F$14:$F$59,RAB!$C$14:$C$59,C982)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SUMIFS(RAB!$F$14:$F$59,RAB!$C$14:$C$59,C983)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SUMIFS(RAB!$F$14:$F$59,RAB!$C$14:$C$59,C984)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SUMIFS(RAB!$F$14:$F$59,RAB!$C$14:$C$59,C985)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SUMIFS(RAB!$F$14:$F$59,RAB!$C$14:$C$59,C986)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SUMIFS(RAB!$F$14:$F$59,RAB!$C$14:$C$59,C987)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SUMIFS(RAB!$F$14:$F$59,RAB!$C$14:$C$59,C988)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SUMIFS(RAB!$F$14:$F$59,RAB!$C$14:$C$59,C989)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SUMIFS(RAB!$F$14:$F$59,RAB!$C$14:$C$59,C990)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SUMIFS(RAB!$F$14:$F$59,RAB!$C$14:$C$59,C991)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SUMIFS(RAB!$F$14:$F$59,RAB!$C$14:$C$59,C992)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SUMIFS(RAB!$F$14:$F$59,RAB!$C$14:$C$59,C993)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SUMIFS(RAB!$F$14:$F$59,RAB!$C$14:$C$59,C994)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SUMIFS(RAB!$F$14:$F$59,RAB!$C$14:$C$59,C995)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SUMIFS(RAB!$F$14:$F$59,RAB!$C$14:$C$59,C996)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SUMIFS(RAB!$F$14:$F$59,RAB!$C$14:$C$59,C997)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SUMIFS(RAB!$F$14:$F$59,RAB!$C$14:$C$59,C998)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SUMIFS(RAB!$F$14:$F$59,RAB!$C$14:$C$59,C999)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SUMIFS(RAB!$F$14:$F$59,RAB!$C$14:$C$59,C1000)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SUMIFS(RAB!$F$14:$F$59,RAB!$C$14:$C$59,C1001)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SUMIFS(RAB!$F$14:$F$59,RAB!$C$14:$C$59,C1002)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SUMIFS(RAB!$F$14:$F$59,RAB!$C$14:$C$59,C1003)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SUMIFS(RAB!$F$14:$F$59,RAB!$C$14:$C$59,C1004)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SUMIFS(RAB!$F$14:$F$59,RAB!$C$14:$C$59,C1005)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SUMIFS(RAB!$F$14:$F$59,RAB!$C$14:$C$59,C1006)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SUMIFS(RAB!$F$14:$F$59,RAB!$C$14:$C$59,C1007)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SUMIFS(RAB!$F$14:$F$59,RAB!$C$14:$C$59,C1008)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SUMIFS(RAB!$F$14:$F$59,RAB!$C$14:$C$59,C1009)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SUMIFS(RAB!$F$14:$F$59,RAB!$C$14:$C$59,C1010)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SUMIFS(RAB!$F$14:$F$59,RAB!$C$14:$C$59,C1011)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SUMIFS(RAB!$F$14:$F$59,RAB!$C$14:$C$59,C1012)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SUMIFS(RAB!$F$14:$F$59,RAB!$C$14:$C$59,C1013)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SUMIFS(RAB!$F$14:$F$59,RAB!$C$14:$C$59,C1014)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SUMIFS(RAB!$F$14:$F$59,RAB!$C$14:$C$59,C1015)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SUMIFS(RAB!$F$14:$F$59,RAB!$C$14:$C$59,C1016)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SUMIFS(RAB!$F$14:$F$59,RAB!$C$14:$C$59,C1017)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SUMIFS(RAB!$F$14:$F$59,RAB!$C$14:$C$59,C1018)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SUMIFS(RAB!$F$14:$F$59,RAB!$C$14:$C$59,C1019)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SUMIFS(RAB!$F$14:$F$59,RAB!$C$14:$C$59,C1020)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SUMIFS(RAB!$F$14:$F$59,RAB!$C$14:$C$59,C1021)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SUMIFS(RAB!$F$14:$F$59,RAB!$C$14:$C$59,C1022)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SUMIFS(RAB!$F$14:$F$59,RAB!$C$14:$C$59,C1023)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SUMIFS(RAB!$F$14:$F$59,RAB!$C$14:$C$59,C1024)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SUMIFS(RAB!$F$14:$F$59,RAB!$C$14:$C$59,C1025)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SUMIFS(RAB!$F$14:$F$59,RAB!$C$14:$C$59,C1026)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SUMIFS(RAB!$F$14:$F$59,RAB!$C$14:$C$59,C1027)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SUMIFS(RAB!$F$14:$F$59,RAB!$C$14:$C$59,C1028)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SUMIFS(RAB!$F$14:$F$59,RAB!$C$14:$C$59,C1029)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SUMIFS(RAB!$F$14:$F$59,RAB!$C$14:$C$59,C1030)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SUMIFS(RAB!$F$14:$F$59,RAB!$C$14:$C$59,C1031)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SUMIFS(RAB!$F$14:$F$59,RAB!$C$14:$C$59,C1032)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SUMIFS(RAB!$F$14:$F$59,RAB!$C$14:$C$59,C1033)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SUMIFS(RAB!$F$14:$F$59,RAB!$C$14:$C$59,C1034)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SUMIFS(RAB!$F$14:$F$59,RAB!$C$14:$C$59,C1035)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SUMIFS(RAB!$F$14:$F$59,RAB!$C$14:$C$59,C1036)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SUMIFS(RAB!$F$14:$F$59,RAB!$C$14:$C$59,C1037)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SUMIFS(RAB!$F$14:$F$59,RAB!$C$14:$C$59,C1038)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SUMIFS(RAB!$F$14:$F$59,RAB!$C$14:$C$59,C1039)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SUMIFS(RAB!$F$14:$F$59,RAB!$C$14:$C$59,C1040)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SUMIFS(RAB!$F$14:$F$59,RAB!$C$14:$C$59,C1041)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SUMIFS(RAB!$F$14:$F$59,RAB!$C$14:$C$59,C1042)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SUMIFS(RAB!$F$14:$F$59,RAB!$C$14:$C$59,C1043)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SUMIFS(RAB!$F$14:$F$59,RAB!$C$14:$C$59,C1044)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SUMIFS(RAB!$F$14:$F$59,RAB!$C$14:$C$59,C1045)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SUMIFS(RAB!$F$14:$F$59,RAB!$C$14:$C$59,C1046)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SUMIFS(RAB!$F$14:$F$59,RAB!$C$14:$C$59,C1047)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SUMIFS(RAB!$F$14:$F$59,RAB!$C$14:$C$59,C1048)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SUMIFS(RAB!$F$14:$F$59,RAB!$C$14:$C$59,C1049)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SUMIFS(RAB!$F$14:$F$59,RAB!$C$14:$C$59,C1050)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SUMIFS(RAB!$F$14:$F$59,RAB!$C$14:$C$59,C1051)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SUMIFS(RAB!$F$14:$F$59,RAB!$C$14:$C$59,C1052)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SUMIFS(RAB!$F$14:$F$59,RAB!$C$14:$C$59,C1053)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SUMIFS(RAB!$F$14:$F$59,RAB!$C$14:$C$59,C1054)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SUMIFS(RAB!$F$14:$F$59,RAB!$C$14:$C$59,C1055)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SUMIFS(RAB!$F$14:$F$59,RAB!$C$14:$C$59,C1056)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SUMIFS(RAB!$F$14:$F$59,RAB!$C$14:$C$59,C1057)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SUMIFS(RAB!$F$14:$F$59,RAB!$C$14:$C$59,C1058)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SUMIFS(RAB!$F$14:$F$59,RAB!$C$14:$C$59,C1059)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SUMIFS(RAB!$F$14:$F$59,RAB!$C$14:$C$59,C1060)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SUMIFS(RAB!$F$14:$F$59,RAB!$C$14:$C$59,C1061)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SUMIFS(RAB!$F$14:$F$59,RAB!$C$14:$C$59,C1062)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SUMIFS(RAB!$F$14:$F$59,RAB!$C$14:$C$59,C1063)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SUMIFS(RAB!$F$14:$F$59,RAB!$C$14:$C$59,C1064)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SUMIFS(RAB!$F$14:$F$59,RAB!$C$14:$C$59,C1065)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SUMIFS(RAB!$F$14:$F$59,RAB!$C$14:$C$59,C1066)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SUMIFS(RAB!$F$14:$F$59,RAB!$C$14:$C$59,C1067)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SUMIFS(RAB!$F$14:$F$59,RAB!$C$14:$C$59,C1068)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SUMIFS(RAB!$F$14:$F$59,RAB!$C$14:$C$59,C1069)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SUMIFS(RAB!$F$14:$F$59,RAB!$C$14:$C$59,C1070)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SUMIFS(RAB!$F$14:$F$59,RAB!$C$14:$C$59,C1071)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SUMIFS(RAB!$F$14:$F$59,RAB!$C$14:$C$59,C1072)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SUMIFS(RAB!$F$14:$F$59,RAB!$C$14:$C$59,C1073)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SUMIFS(RAB!$F$14:$F$59,RAB!$C$14:$C$59,C1074)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SUMIFS(RAB!$F$14:$F$59,RAB!$C$14:$C$59,C1075)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SUMIFS(RAB!$F$14:$F$59,RAB!$C$14:$C$59,C1076)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SUMIFS(RAB!$F$14:$F$59,RAB!$C$14:$C$59,C1077)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SUMIFS(RAB!$F$14:$F$59,RAB!$C$14:$C$59,C1078)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SUMIFS(RAB!$F$14:$F$59,RAB!$C$14:$C$59,C1079)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SUMIFS(RAB!$F$14:$F$59,RAB!$C$14:$C$59,C1080)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SUMIFS(RAB!$F$14:$F$59,RAB!$C$14:$C$59,C1081)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SUMIFS(RAB!$F$14:$F$59,RAB!$C$14:$C$59,C1082)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SUMIFS(RAB!$F$14:$F$59,RAB!$C$14:$C$59,C1083)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SUMIFS(RAB!$F$14:$F$59,RAB!$C$14:$C$59,C1084)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SUMIFS(RAB!$F$14:$F$59,RAB!$C$14:$C$59,C1085)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SUMIFS(RAB!$F$14:$F$59,RAB!$C$14:$C$59,C1086)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SUMIFS(RAB!$F$14:$F$59,RAB!$C$14:$C$59,C1087)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SUMIFS(RAB!$F$14:$F$59,RAB!$C$14:$C$59,C1088)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SUMIFS(RAB!$F$14:$F$59,RAB!$C$14:$C$59,C1089)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SUMIFS(RAB!$F$14:$F$59,RAB!$C$14:$C$59,C1090)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SUMIFS(RAB!$F$14:$F$59,RAB!$C$14:$C$59,C1091)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SUMIFS(RAB!$F$14:$F$59,RAB!$C$14:$C$59,C1092)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SUMIFS(RAB!$F$14:$F$59,RAB!$C$14:$C$59,C1093)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SUMIFS(RAB!$F$14:$F$59,RAB!$C$14:$C$59,C1094)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SUMIFS(RAB!$F$14:$F$59,RAB!$C$14:$C$59,C1095)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SUMIFS(RAB!$F$14:$F$59,RAB!$C$14:$C$59,C1096)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SUMIFS(RAB!$F$14:$F$59,RAB!$C$14:$C$59,C1097)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SUMIFS(RAB!$F$14:$F$59,RAB!$C$14:$C$59,C1098)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SUMIFS(RAB!$F$14:$F$59,RAB!$C$14:$C$59,C1099)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SUMIFS(RAB!$F$14:$F$59,RAB!$C$14:$C$59,C1100)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SUMIFS(RAB!$F$14:$F$59,RAB!$C$14:$C$59,C1101)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SUMIFS(RAB!$F$14:$F$59,RAB!$C$14:$C$59,C1102)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SUMIFS(RAB!$F$14:$F$59,RAB!$C$14:$C$59,C1103)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SUMIFS(RAB!$F$14:$F$59,RAB!$C$14:$C$59,C1104)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SUMIFS(RAB!$F$14:$F$59,RAB!$C$14:$C$59,C1105)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SUMIFS(RAB!$F$14:$F$59,RAB!$C$14:$C$59,C1106)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SUMIFS(RAB!$F$14:$F$59,RAB!$C$14:$C$59,C1107)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SUMIFS(RAB!$F$14:$F$59,RAB!$C$14:$C$59,C1108)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SUMIFS(RAB!$F$14:$F$59,RAB!$C$14:$C$59,C1109)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SUMIFS(RAB!$F$14:$F$59,RAB!$C$14:$C$59,C1110)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SUMIFS(RAB!$F$14:$F$59,RAB!$C$14:$C$59,C1111)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SUMIFS(RAB!$F$14:$F$59,RAB!$C$14:$C$59,C1112)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SUMIFS(RAB!$F$14:$F$59,RAB!$C$14:$C$59,C1113)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SUMIFS(RAB!$F$14:$F$59,RAB!$C$14:$C$59,C1114)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SUMIFS(RAB!$F$14:$F$59,RAB!$C$14:$C$59,C1115)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SUMIFS(RAB!$F$14:$F$59,RAB!$C$14:$C$59,C1116)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SUMIFS(RAB!$F$14:$F$59,RAB!$C$14:$C$59,C1117)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SUMIFS(RAB!$F$14:$F$59,RAB!$C$14:$C$59,C1118)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SUMIFS(RAB!$F$14:$F$59,RAB!$C$14:$C$59,C1119)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SUMIFS(RAB!$F$14:$F$59,RAB!$C$14:$C$59,C1120)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SUMIFS(RAB!$F$14:$F$59,RAB!$C$14:$C$59,C1121)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SUMIFS(RAB!$F$14:$F$59,RAB!$C$14:$C$59,C1122)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SUMIFS(RAB!$F$14:$F$59,RAB!$C$14:$C$59,C1123)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SUMIFS(RAB!$F$14:$F$59,RAB!$C$14:$C$59,C1124)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SUMIFS(RAB!$F$14:$F$59,RAB!$C$14:$C$59,C1125)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SUMIFS(RAB!$F$14:$F$59,RAB!$C$14:$C$59,C1126)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SUMIFS(RAB!$F$14:$F$59,RAB!$C$14:$C$59,C1127)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SUMIFS(RAB!$F$14:$F$59,RAB!$C$14:$C$59,C1128)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SUMIFS(RAB!$F$14:$F$59,RAB!$C$14:$C$59,C1129)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SUMIFS(RAB!$F$14:$F$59,RAB!$C$14:$C$59,C1130)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SUMIFS(RAB!$F$14:$F$59,RAB!$C$14:$C$59,C1131)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SUMIFS(RAB!$F$14:$F$59,RAB!$C$14:$C$59,C1132)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SUMIFS(RAB!$F$14:$F$59,RAB!$C$14:$C$59,C1133)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SUMIFS(RAB!$F$14:$F$59,RAB!$C$14:$C$59,C1134)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SUMIFS(RAB!$F$14:$F$59,RAB!$C$14:$C$59,C1135)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SUMIFS(RAB!$F$14:$F$59,RAB!$C$14:$C$59,C1136)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SUMIFS(RAB!$F$14:$F$59,RAB!$C$14:$C$59,C1137)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SUMIFS(RAB!$F$14:$F$59,RAB!$C$14:$C$59,C1138)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SUMIFS(RAB!$F$14:$F$59,RAB!$C$14:$C$59,C1139)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SUMIFS(RAB!$F$14:$F$59,RAB!$C$14:$C$59,C1140)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SUMIFS(RAB!$F$14:$F$59,RAB!$C$14:$C$59,C1141)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SUMIFS(RAB!$F$14:$F$59,RAB!$C$14:$C$59,C1142)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SUMIFS(RAB!$F$14:$F$59,RAB!$C$14:$C$59,C1143)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SUMIFS(RAB!$F$14:$F$59,RAB!$C$14:$C$59,C1144)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SUMIFS(RAB!$F$14:$F$59,RAB!$C$14:$C$59,C1145)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SUMIFS(RAB!$F$14:$F$59,RAB!$C$14:$C$59,C1146)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SUMIFS(RAB!$F$14:$F$59,RAB!$C$14:$C$59,C1147)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SUMIFS(RAB!$F$14:$F$59,RAB!$C$14:$C$59,C1148)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SUMIFS(RAB!$F$14:$F$59,RAB!$C$14:$C$59,C1149)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SUMIFS(RAB!$F$14:$F$59,RAB!$C$14:$C$59,C1150)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SUMIFS(RAB!$F$14:$F$59,RAB!$C$14:$C$59,C1151)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SUMIFS(RAB!$F$14:$F$59,RAB!$C$14:$C$59,C1152)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SUMIFS(RAB!$F$14:$F$59,RAB!$C$14:$C$59,C1153)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SUMIFS(RAB!$F$14:$F$59,RAB!$C$14:$C$59,C1154)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SUMIFS(RAB!$F$14:$F$59,RAB!$C$14:$C$59,C1155)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SUMIFS(RAB!$F$14:$F$59,RAB!$C$14:$C$59,C1156)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SUMIFS(RAB!$F$14:$F$59,RAB!$C$14:$C$59,C1157)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SUMIFS(RAB!$F$14:$F$59,RAB!$C$14:$C$59,C1158)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SUMIFS(RAB!$F$14:$F$59,RAB!$C$14:$C$59,C1159)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SUMIFS(RAB!$F$14:$F$59,RAB!$C$14:$C$59,C1160)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SUMIFS(RAB!$F$14:$F$59,RAB!$C$14:$C$59,C1161)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SUMIFS(RAB!$F$14:$F$59,RAB!$C$14:$C$59,C1162)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SUMIFS(RAB!$F$14:$F$59,RAB!$C$14:$C$59,C1163)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SUMIFS(RAB!$F$14:$F$59,RAB!$C$14:$C$59,C1164)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SUMIFS(RAB!$F$14:$F$59,RAB!$C$14:$C$59,C1165)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SUMIFS(RAB!$F$14:$F$59,RAB!$C$14:$C$59,C1166)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SUMIFS(RAB!$F$14:$F$59,RAB!$C$14:$C$59,C1167)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SUMIFS(RAB!$F$14:$F$59,RAB!$C$14:$C$59,C1168)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SUMIFS(RAB!$F$14:$F$59,RAB!$C$14:$C$59,C1169)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SUMIFS(RAB!$F$14:$F$59,RAB!$C$14:$C$59,C1170)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SUMIFS(RAB!$F$14:$F$59,RAB!$C$14:$C$59,C1171)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SUMIFS(RAB!$F$14:$F$59,RAB!$C$14:$C$59,C1172)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SUMIFS(RAB!$F$14:$F$59,RAB!$C$14:$C$59,C1173)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SUMIFS(RAB!$F$14:$F$59,RAB!$C$14:$C$59,C1174)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SUMIFS(RAB!$F$14:$F$59,RAB!$C$14:$C$59,C1175)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SUMIFS(RAB!$F$14:$F$59,RAB!$C$14:$C$59,C1176)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SUMIFS(RAB!$F$14:$F$59,RAB!$C$14:$C$59,C1177)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SUMIFS(RAB!$F$14:$F$59,RAB!$C$14:$C$59,C1178)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SUMIFS(RAB!$F$14:$F$59,RAB!$C$14:$C$59,C1179)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SUMIFS(RAB!$F$14:$F$59,RAB!$C$14:$C$59,C1180)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SUMIFS(RAB!$F$14:$F$59,RAB!$C$14:$C$59,C1181)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SUMIFS(RAB!$F$14:$F$59,RAB!$C$14:$C$59,C1182)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SUMIFS(RAB!$F$14:$F$59,RAB!$C$14:$C$59,C1183)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SUMIFS(RAB!$F$14:$F$59,RAB!$C$14:$C$59,C1184)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SUMIFS(RAB!$F$14:$F$59,RAB!$C$14:$C$59,C1185)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SUMIFS(RAB!$F$14:$F$59,RAB!$C$14:$C$59,C1186)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SUMIFS(RAB!$F$14:$F$59,RAB!$C$14:$C$59,C1187)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SUMIFS(RAB!$F$14:$F$59,RAB!$C$14:$C$59,C1188)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SUMIFS(RAB!$F$14:$F$59,RAB!$C$14:$C$59,C1189)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SUMIFS(RAB!$F$14:$F$59,RAB!$C$14:$C$59,C1190)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SUMIFS(RAB!$F$14:$F$59,RAB!$C$14:$C$59,C1191)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SUMIFS(RAB!$F$14:$F$59,RAB!$C$14:$C$59,C1192)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SUMIFS(RAB!$F$14:$F$59,RAB!$C$14:$C$59,C1193)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SUMIFS(RAB!$F$14:$F$59,RAB!$C$14:$C$59,C1194)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SUMIFS(RAB!$F$14:$F$59,RAB!$C$14:$C$59,C1195)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SUMIFS(RAB!$F$14:$F$59,RAB!$C$14:$C$59,C1196)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SUMIFS(RAB!$F$14:$F$59,RAB!$C$14:$C$59,C1197)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SUMIFS(RAB!$F$14:$F$59,RAB!$C$14:$C$59,C1198)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SUMIFS(RAB!$F$14:$F$59,RAB!$C$14:$C$59,C1199)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SUMIFS(RAB!$F$14:$F$59,RAB!$C$14:$C$59,C1200)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SUMIFS(RAB!$F$14:$F$59,RAB!$C$14:$C$59,C1201)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SUMIFS(RAB!$F$14:$F$59,RAB!$C$14:$C$59,C1202)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SUMIFS(RAB!$F$14:$F$59,RAB!$C$14:$C$59,C1203)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SUMIFS(RAB!$F$14:$F$59,RAB!$C$14:$C$59,C1204)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SUMIFS(RAB!$F$14:$F$59,RAB!$C$14:$C$59,C1205)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SUMIFS(RAB!$F$14:$F$59,RAB!$C$14:$C$59,C1206)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SUMIFS(RAB!$F$14:$F$59,RAB!$C$14:$C$59,C1207)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SUMIFS(RAB!$F$14:$F$59,RAB!$C$14:$C$59,C1208)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SUMIFS(RAB!$F$14:$F$59,RAB!$C$14:$C$59,C1209)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SUMIFS(RAB!$F$14:$F$59,RAB!$C$14:$C$59,C1210)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SUMIFS(RAB!$F$14:$F$59,RAB!$C$14:$C$59,C1211)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SUMIFS(RAB!$F$14:$F$59,RAB!$C$14:$C$59,C1212)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SUMIFS(RAB!$F$14:$F$59,RAB!$C$14:$C$59,C1213)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SUMIFS(RAB!$F$14:$F$59,RAB!$C$14:$C$59,C1214)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SUMIFS(RAB!$F$14:$F$59,RAB!$C$14:$C$59,C1215)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SUMIFS(RAB!$F$14:$F$59,RAB!$C$14:$C$59,C1216)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SUMIFS(RAB!$F$14:$F$59,RAB!$C$14:$C$59,C1217)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SUMIFS(RAB!$F$14:$F$59,RAB!$C$14:$C$59,C1218)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SUMIFS(RAB!$F$14:$F$59,RAB!$C$14:$C$59,C1219)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SUMIFS(RAB!$F$14:$F$59,RAB!$C$14:$C$59,C1220)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SUMIFS(RAB!$F$14:$F$59,RAB!$C$14:$C$59,C1221)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SUMIFS(RAB!$F$14:$F$59,RAB!$C$14:$C$59,C1222)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SUMIFS(RAB!$F$14:$F$59,RAB!$C$14:$C$59,C1223)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SUMIFS(RAB!$F$14:$F$59,RAB!$C$14:$C$59,C1224)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SUMIFS(RAB!$F$14:$F$59,RAB!$C$14:$C$59,C1225)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SUMIFS(RAB!$F$14:$F$59,RAB!$C$14:$C$59,C1226)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SUMIFS(RAB!$F$14:$F$59,RAB!$C$14:$C$59,C1227)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SUMIFS(RAB!$F$14:$F$59,RAB!$C$14:$C$59,C1228)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SUMIFS(RAB!$F$14:$F$59,RAB!$C$14:$C$59,C1229)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SUMIFS(RAB!$F$14:$F$59,RAB!$C$14:$C$59,C1230)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SUMIFS(RAB!$F$14:$F$59,RAB!$C$14:$C$59,C1231)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SUMIFS(RAB!$F$14:$F$59,RAB!$C$14:$C$59,C1232)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SUMIFS(RAB!$F$14:$F$59,RAB!$C$14:$C$59,C1233)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SUMIFS(RAB!$F$14:$F$59,RAB!$C$14:$C$59,C1234)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SUMIFS(RAB!$F$14:$F$59,RAB!$C$14:$C$59,C1235)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SUMIFS(RAB!$F$14:$F$59,RAB!$C$14:$C$59,C1236)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SUMIFS(RAB!$F$14:$F$59,RAB!$C$14:$C$59,C1237)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SUMIFS(RAB!$F$14:$F$59,RAB!$C$14:$C$59,C1238)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SUMIFS(RAB!$F$14:$F$59,RAB!$C$14:$C$59,C1239)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SUMIFS(RAB!$F$14:$F$59,RAB!$C$14:$C$59,C1240)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SUMIFS(RAB!$F$14:$F$59,RAB!$C$14:$C$59,C1241)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SUMIFS(RAB!$F$14:$F$59,RAB!$C$14:$C$59,C1242)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SUMIFS(RAB!$F$14:$F$59,RAB!$C$14:$C$59,C1243)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SUMIFS(RAB!$F$14:$F$59,RAB!$C$14:$C$59,C1244)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SUMIFS(RAB!$F$14:$F$59,RAB!$C$14:$C$59,C1245)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SUMIFS(RAB!$F$14:$F$59,RAB!$C$14:$C$59,C1246)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SUMIFS(RAB!$F$14:$F$59,RAB!$C$14:$C$59,C1247)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SUMIFS(RAB!$F$14:$F$59,RAB!$C$14:$C$59,C1248)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SUMIFS(RAB!$F$14:$F$59,RAB!$C$14:$C$59,C1249)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SUMIFS(RAB!$F$14:$F$59,RAB!$C$14:$C$59,C1250)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SUMIFS(RAB!$F$14:$F$59,RAB!$C$14:$C$59,C1251)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SUMIFS(RAB!$F$14:$F$59,RAB!$C$14:$C$59,C1252)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SUMIFS(RAB!$F$14:$F$59,RAB!$C$14:$C$59,C1253)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SUMIFS(RAB!$F$14:$F$59,RAB!$C$14:$C$59,C1254)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SUMIFS(RAB!$F$14:$F$59,RAB!$C$14:$C$59,C1255)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SUMIFS(RAB!$F$14:$F$59,RAB!$C$14:$C$59,C1256)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SUMIFS(RAB!$F$14:$F$59,RAB!$C$14:$C$59,C1257)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SUMIFS(RAB!$F$14:$F$59,RAB!$C$14:$C$59,C1258)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SUMIFS(RAB!$F$14:$F$59,RAB!$C$14:$C$59,C1259)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SUMIFS(RAB!$F$14:$F$59,RAB!$C$14:$C$59,C1260)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SUMIFS(RAB!$F$14:$F$59,RAB!$C$14:$C$59,C1261)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SUMIFS(RAB!$F$14:$F$59,RAB!$C$14:$C$59,C1262)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SUMIFS(RAB!$F$14:$F$59,RAB!$C$14:$C$59,C1263)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SUMIFS(RAB!$F$14:$F$59,RAB!$C$14:$C$59,C1264)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SUMIFS(RAB!$F$14:$F$59,RAB!$C$14:$C$59,C1265)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SUMIFS(RAB!$F$14:$F$59,RAB!$C$14:$C$59,C1266)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SUMIFS(RAB!$F$14:$F$59,RAB!$C$14:$C$59,C1267)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SUMIFS(RAB!$F$14:$F$59,RAB!$C$14:$C$59,C1268)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SUMIFS(RAB!$F$14:$F$59,RAB!$C$14:$C$59,C1269)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SUMIFS(RAB!$F$14:$F$59,RAB!$C$14:$C$59,C1270)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SUMIFS(RAB!$F$14:$F$59,RAB!$C$14:$C$59,C1271)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SUMIFS(RAB!$F$14:$F$59,RAB!$C$14:$C$59,C1272)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SUMIFS(RAB!$F$14:$F$59,RAB!$C$14:$C$59,C1273)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SUMIFS(RAB!$F$14:$F$59,RAB!$C$14:$C$59,C1274)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SUMIFS(RAB!$F$14:$F$59,RAB!$C$14:$C$59,C1275)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SUMIFS(RAB!$F$14:$F$59,RAB!$C$14:$C$59,C1276)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SUMIFS(RAB!$F$14:$F$59,RAB!$C$14:$C$59,C1277)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SUMIFS(RAB!$F$14:$F$59,RAB!$C$14:$C$59,C1278)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SUMIFS(RAB!$F$14:$F$59,RAB!$C$14:$C$59,C1279)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SUMIFS(RAB!$F$14:$F$59,RAB!$C$14:$C$59,C1280)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SUMIFS(RAB!$F$14:$F$59,RAB!$C$14:$C$59,C1281)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SUMIFS(RAB!$F$14:$F$59,RAB!$C$14:$C$59,C1282)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SUMIFS(RAB!$F$14:$F$59,RAB!$C$14:$C$59,C1283)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SUMIFS(RAB!$F$14:$F$59,RAB!$C$14:$C$59,C1284)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SUMIFS(RAB!$F$14:$F$59,RAB!$C$14:$C$59,C1285)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SUMIFS(RAB!$F$14:$F$59,RAB!$C$14:$C$59,C1286)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SUMIFS(RAB!$F$14:$F$59,RAB!$C$14:$C$59,C1287)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SUMIFS(RAB!$F$14:$F$59,RAB!$C$14:$C$59,C1288)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SUMIFS(RAB!$F$14:$F$59,RAB!$C$14:$C$59,C1289)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SUMIFS(RAB!$F$14:$F$59,RAB!$C$14:$C$59,C1290)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SUMIFS(RAB!$F$14:$F$59,RAB!$C$14:$C$59,C1291)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SUMIFS(RAB!$F$14:$F$59,RAB!$C$14:$C$59,C1292)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SUMIFS(RAB!$F$14:$F$59,RAB!$C$14:$C$59,C1293)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SUMIFS(RAB!$F$14:$F$59,RAB!$C$14:$C$59,C1294)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SUMIFS(RAB!$F$14:$F$59,RAB!$C$14:$C$59,C1295)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SUMIFS(RAB!$F$14:$F$59,RAB!$C$14:$C$59,C1296)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SUMIFS(RAB!$F$14:$F$59,RAB!$C$14:$C$59,C1297)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SUMIFS(RAB!$F$14:$F$59,RAB!$C$14:$C$59,C1298)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SUMIFS(RAB!$F$14:$F$59,RAB!$C$14:$C$59,C1299)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SUMIFS(RAB!$F$14:$F$59,RAB!$C$14:$C$59,C1300)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SUMIFS(RAB!$F$14:$F$59,RAB!$C$14:$C$59,C1301)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SUMIFS(RAB!$F$14:$F$59,RAB!$C$14:$C$59,C1302)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SUMIFS(RAB!$F$14:$F$59,RAB!$C$14:$C$59,C1303)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SUMIFS(RAB!$F$14:$F$59,RAB!$C$14:$C$59,C1304)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SUMIFS(RAB!$F$14:$F$59,RAB!$C$14:$C$59,C1305)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SUMIFS(RAB!$F$14:$F$59,RAB!$C$14:$C$59,C1306)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SUMIFS(RAB!$F$14:$F$59,RAB!$C$14:$C$59,C1307)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SUMIFS(RAB!$F$14:$F$59,RAB!$C$14:$C$59,C1308)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SUMIFS(RAB!$F$14:$F$59,RAB!$C$14:$C$59,C1309)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SUMIFS(RAB!$F$14:$F$59,RAB!$C$14:$C$59,C1310)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SUMIFS(RAB!$F$14:$F$59,RAB!$C$14:$C$59,C1311)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SUMIFS(RAB!$F$14:$F$59,RAB!$C$14:$C$59,C1312)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SUMIFS(RAB!$F$14:$F$59,RAB!$C$14:$C$59,C1313)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SUMIFS(RAB!$F$14:$F$59,RAB!$C$14:$C$59,C1314)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SUMIFS(RAB!$F$14:$F$59,RAB!$C$14:$C$59,C1315)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SUMIFS(RAB!$F$14:$F$59,RAB!$C$14:$C$59,C1316)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SUMIFS(RAB!$F$14:$F$59,RAB!$C$14:$C$59,C1317)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SUMIFS(RAB!$F$14:$F$59,RAB!$C$14:$C$59,C1318)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SUMIFS(RAB!$F$14:$F$59,RAB!$C$14:$C$59,C1319)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SUMIFS(RAB!$F$14:$F$59,RAB!$C$14:$C$59,C1320)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1127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5" t="str">
        <f>RAB!G6</f>
        <v>PONPES SULLAM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WEDING,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39" t="s">
        <v>41</v>
      </c>
      <c r="H11" s="538" t="s">
        <v>3</v>
      </c>
      <c r="I11" s="538"/>
      <c r="J11" s="538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28"/>
      <c r="E12" s="528"/>
      <c r="F12" s="528"/>
      <c r="G12" s="540"/>
      <c r="H12" s="530" t="s">
        <v>46</v>
      </c>
      <c r="I12" s="530" t="s">
        <v>5</v>
      </c>
      <c r="J12" s="528" t="s">
        <v>47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28"/>
      <c r="E13" s="528"/>
      <c r="F13" s="528"/>
      <c r="G13" s="541"/>
      <c r="H13" s="531"/>
      <c r="I13" s="531"/>
      <c r="J13" s="528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6" t="s">
        <v>1008</v>
      </c>
      <c r="D38" s="526"/>
      <c r="E38" s="526"/>
      <c r="F38" s="526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7" t="s">
        <v>462</v>
      </c>
      <c r="D39" s="527"/>
      <c r="E39" s="527"/>
      <c r="F39" s="527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6" t="s">
        <v>463</v>
      </c>
      <c r="D40" s="516"/>
      <c r="E40" s="516"/>
      <c r="F40" s="51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9" t="e">
        <f ca="1">"Terbilang : ( "&amp;L42&amp;" Rupiah )"</f>
        <v>#NAME?</v>
      </c>
      <c r="C41" s="520"/>
      <c r="D41" s="520"/>
      <c r="E41" s="520"/>
      <c r="F41" s="520"/>
      <c r="G41" s="520"/>
      <c r="H41" s="520"/>
      <c r="I41" s="520"/>
      <c r="J41" s="520"/>
      <c r="K41" s="521"/>
      <c r="L41" s="44"/>
      <c r="R41" s="58"/>
      <c r="S41" s="58"/>
      <c r="T41" s="58"/>
    </row>
    <row r="42" spans="1:20" s="36" customFormat="1">
      <c r="A42" s="30"/>
      <c r="B42" s="522"/>
      <c r="C42" s="523"/>
      <c r="D42" s="523"/>
      <c r="E42" s="523"/>
      <c r="F42" s="523"/>
      <c r="G42" s="523"/>
      <c r="H42" s="523"/>
      <c r="I42" s="523"/>
      <c r="J42" s="523"/>
      <c r="K42" s="52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7"/>
      <c r="I45" s="517"/>
      <c r="J45" s="518"/>
      <c r="K45" s="51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7"/>
      <c r="I46" s="517"/>
      <c r="J46" s="518"/>
      <c r="K46" s="51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7"/>
      <c r="I47" s="517"/>
      <c r="J47" s="518"/>
      <c r="K47" s="51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7"/>
      <c r="I52" s="517"/>
      <c r="J52" s="518"/>
      <c r="K52" s="51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SUMIFS(RAB!$F$14:$F$59,RAB!$C$14:$C$59,'REKAP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SUMIFS(RAB!$F$14:$F$59,RAB!$C$14:$C$59,'REKAP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SUMIFS(RAB!$F$14:$F$59,RAB!$C$14:$C$59,'REKAP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SUMIFS(RAB!$F$14:$F$59,RAB!$C$14:$C$59,'REKAP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SUMIFS(RAB!$F$14:$F$59,RAB!$C$14:$C$59,'REKAP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SUMIFS(RAB!$F$14:$F$59,RAB!$C$14:$C$59,'REKAP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SUMIFS(RAB!$F$14:$F$59,RAB!$C$14:$C$59,'REKAP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SUMIFS(RAB!$F$14:$F$59,RAB!$C$14:$C$59,'REKAP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SUMIFS(RAB!$F$14:$F$59,RAB!$C$14:$C$59,'REKAP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SUMIFS(RAB!$F$14:$F$59,RAB!$C$14:$C$59,'REKAP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SUMIFS(RAB!$F$14:$F$59,RAB!$C$14:$C$59,'REKAP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SUMIFS(RAB!$F$14:$F$59,RAB!$C$14:$C$59,'REKAP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SUMIFS(RAB!$F$14:$F$59,RAB!$C$14:$C$59,'REKAP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SUMIFS(RAB!$F$14:$F$59,RAB!$C$14:$C$59,'REKAP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SUMIFS(RAB!$F$14:$F$59,RAB!$C$14:$C$59,'REKAP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SUMIFS(RAB!$F$14:$F$59,RAB!$C$14:$C$59,'REKAP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SUMIFS(RAB!$F$14:$F$59,RAB!$C$14:$C$59,'REKAP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SUMIFS(RAB!$F$14:$F$59,RAB!$C$14:$C$59,'REKAP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SUMIFS(RAB!$F$14:$F$59,RAB!$C$14:$C$59,'REKAP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SUMIFS(RAB!$F$14:$F$59,RAB!$C$14:$C$59,'REKAP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2" t="s">
        <v>1034</v>
      </c>
      <c r="C4" s="532"/>
      <c r="D4" s="532"/>
      <c r="E4" s="532"/>
      <c r="F4" s="532"/>
      <c r="G4" s="532"/>
      <c r="H4" s="532"/>
      <c r="I4" s="532"/>
      <c r="J4" s="532"/>
      <c r="K4" s="53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25" t="str">
        <f>RAB!G6</f>
        <v>PONPES SULLAM</v>
      </c>
      <c r="H6" s="525"/>
      <c r="I6" s="525"/>
      <c r="J6" s="525"/>
      <c r="K6" s="52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WEDING, KEC BONANG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3" t="s">
        <v>0</v>
      </c>
      <c r="C11" s="535" t="s">
        <v>1</v>
      </c>
      <c r="D11" s="538" t="s">
        <v>42</v>
      </c>
      <c r="E11" s="538" t="s">
        <v>43</v>
      </c>
      <c r="F11" s="538" t="s">
        <v>2</v>
      </c>
      <c r="G11" s="539" t="s">
        <v>41</v>
      </c>
      <c r="H11" s="538" t="s">
        <v>3</v>
      </c>
      <c r="I11" s="538"/>
      <c r="J11" s="538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4"/>
      <c r="C12" s="536"/>
      <c r="D12" s="528"/>
      <c r="E12" s="528"/>
      <c r="F12" s="528"/>
      <c r="G12" s="540"/>
      <c r="H12" s="530" t="s">
        <v>46</v>
      </c>
      <c r="I12" s="530" t="s">
        <v>5</v>
      </c>
      <c r="J12" s="528" t="s">
        <v>47</v>
      </c>
      <c r="K12" s="52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4"/>
      <c r="C13" s="537"/>
      <c r="D13" s="528"/>
      <c r="E13" s="528"/>
      <c r="F13" s="528"/>
      <c r="G13" s="541"/>
      <c r="H13" s="531"/>
      <c r="I13" s="531"/>
      <c r="J13" s="528"/>
      <c r="K13" s="52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Trafo 1 Fasa CSP 50 kVA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27845400</v>
      </c>
      <c r="H16" s="42">
        <f t="shared" ca="1" si="1"/>
        <v>27845400</v>
      </c>
      <c r="I16" s="42">
        <f t="shared" ca="1" si="2"/>
        <v>0</v>
      </c>
      <c r="J16" s="42">
        <f t="shared" ca="1" si="3"/>
        <v>0</v>
      </c>
      <c r="K16" s="43">
        <f t="shared" ca="1" si="0"/>
        <v>27845400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FCO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848250</v>
      </c>
      <c r="H17" s="42">
        <f t="shared" ca="1" si="1"/>
        <v>848250</v>
      </c>
      <c r="I17" s="42">
        <f t="shared" ca="1" si="2"/>
        <v>0</v>
      </c>
      <c r="J17" s="42">
        <f t="shared" ca="1" si="3"/>
        <v>0</v>
      </c>
      <c r="K17" s="43">
        <f t="shared" ca="1" si="0"/>
        <v>848250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</v>
      </c>
      <c r="G18" s="41">
        <f ca="1">IF(ISERROR(OFFSET('HARGA SATUAN'!$I$6,MATCH(C18,'HARGA SATUAN'!$C$7:$C$1492,0),0)),"",OFFSET('HARGA SATUAN'!$I$6,MATCH(C18,'HARGA SATUAN'!$C$7:$C$1492,0),0))</f>
        <v>14200</v>
      </c>
      <c r="H18" s="42">
        <f t="shared" ca="1" si="1"/>
        <v>28400</v>
      </c>
      <c r="I18" s="42">
        <f t="shared" ca="1" si="2"/>
        <v>0</v>
      </c>
      <c r="J18" s="42">
        <f t="shared" ca="1" si="3"/>
        <v>0</v>
      </c>
      <c r="K18" s="43">
        <f t="shared" ca="1" si="0"/>
        <v>28400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2</v>
      </c>
      <c r="G19" s="41">
        <f ca="1">IF(ISERROR(OFFSET('HARGA SATUAN'!$I$6,MATCH(C19,'HARGA SATUAN'!$C$7:$C$1492,0),0)),"",OFFSET('HARGA SATUAN'!$I$6,MATCH(C19,'HARGA SATUAN'!$C$7:$C$1492,0),0))</f>
        <v>53300</v>
      </c>
      <c r="H19" s="42">
        <f t="shared" ca="1" si="1"/>
        <v>106600</v>
      </c>
      <c r="I19" s="42">
        <f t="shared" ca="1" si="2"/>
        <v>0</v>
      </c>
      <c r="J19" s="42">
        <f t="shared" ca="1" si="3"/>
        <v>0</v>
      </c>
      <c r="K19" s="43">
        <f t="shared" ca="1" si="0"/>
        <v>106600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6" t="s">
        <v>1008</v>
      </c>
      <c r="D168" s="526"/>
      <c r="E168" s="526"/>
      <c r="F168" s="526"/>
      <c r="G168" s="77" t="s">
        <v>9</v>
      </c>
      <c r="H168" s="55">
        <f ca="1">SUM(H14:H167)</f>
        <v>28828650</v>
      </c>
      <c r="I168" s="55">
        <f ca="1">SUM(I14:I167)</f>
        <v>0</v>
      </c>
      <c r="J168" s="55">
        <f ca="1">SUM(J14:J167)</f>
        <v>0</v>
      </c>
      <c r="K168" s="55">
        <f ca="1">SUM(K14:K167)</f>
        <v>28828650</v>
      </c>
      <c r="L168" s="44"/>
      <c r="R168" s="99"/>
      <c r="S168" s="99"/>
      <c r="T168" s="99"/>
    </row>
    <row r="169" spans="1:20" s="36" customFormat="1">
      <c r="A169" s="30"/>
      <c r="B169" s="56"/>
      <c r="C169" s="527" t="s">
        <v>462</v>
      </c>
      <c r="D169" s="527"/>
      <c r="E169" s="527"/>
      <c r="F169" s="527"/>
      <c r="G169" s="59" t="s">
        <v>9</v>
      </c>
      <c r="H169" s="60">
        <f ca="1">H168*0.1</f>
        <v>2882865</v>
      </c>
      <c r="I169" s="60">
        <f ca="1">I168*0.1</f>
        <v>0</v>
      </c>
      <c r="J169" s="60">
        <f ca="1">J168*0.1</f>
        <v>0</v>
      </c>
      <c r="K169" s="60">
        <f ca="1">K168*0.1</f>
        <v>2882865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6" t="s">
        <v>463</v>
      </c>
      <c r="D170" s="516"/>
      <c r="E170" s="516"/>
      <c r="F170" s="516"/>
      <c r="G170" s="61" t="s">
        <v>9</v>
      </c>
      <c r="H170" s="78">
        <f ca="1">SUM(H168:H169)</f>
        <v>31711515</v>
      </c>
      <c r="I170" s="78">
        <f ca="1">SUM(I168:I169)</f>
        <v>0</v>
      </c>
      <c r="J170" s="61">
        <f ca="1">SUM(J168:J169)</f>
        <v>0</v>
      </c>
      <c r="K170" s="61">
        <f ca="1">SUM(K168:K169)</f>
        <v>31711515</v>
      </c>
      <c r="L170" s="44"/>
      <c r="R170" s="99"/>
      <c r="S170" s="99"/>
      <c r="T170" s="99"/>
    </row>
    <row r="171" spans="1:20" s="36" customFormat="1">
      <c r="A171" s="30"/>
      <c r="B171" s="519" t="e">
        <f ca="1">"Terbilang : ( "&amp;L172&amp;" Rupiah )"</f>
        <v>#NAME?</v>
      </c>
      <c r="C171" s="520"/>
      <c r="D171" s="520"/>
      <c r="E171" s="520"/>
      <c r="F171" s="520"/>
      <c r="G171" s="520"/>
      <c r="H171" s="520"/>
      <c r="I171" s="520"/>
      <c r="J171" s="520"/>
      <c r="K171" s="521"/>
      <c r="L171" s="44"/>
      <c r="R171" s="58"/>
      <c r="S171" s="58"/>
      <c r="T171" s="58"/>
    </row>
    <row r="172" spans="1:20" s="36" customFormat="1">
      <c r="A172" s="30"/>
      <c r="B172" s="522"/>
      <c r="C172" s="523"/>
      <c r="D172" s="523"/>
      <c r="E172" s="523"/>
      <c r="F172" s="523"/>
      <c r="G172" s="523"/>
      <c r="H172" s="523"/>
      <c r="I172" s="523"/>
      <c r="J172" s="523"/>
      <c r="K172" s="52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7"/>
      <c r="I175" s="517"/>
      <c r="J175" s="518"/>
      <c r="K175" s="51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7"/>
      <c r="I176" s="517"/>
      <c r="J176" s="518"/>
      <c r="K176" s="51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7"/>
      <c r="I177" s="517"/>
      <c r="J177" s="518"/>
      <c r="K177" s="51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7"/>
      <c r="I182" s="517"/>
      <c r="J182" s="518"/>
      <c r="K182" s="51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SUMIFS(RAB!$F$14:$F$59,RAB!$C$14:$C$59,C224)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SUMIFS(RAB!$F$14:$F$59,RAB!$C$14:$C$59,C225)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SUMIFS(RAB!$F$14:$F$59,RAB!$C$14:$C$59,C226)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SUMIFS(RAB!$F$14:$F$59,RAB!$C$14:$C$59,C227)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SUMIFS(RAB!$F$14:$F$59,RAB!$C$14:$C$59,C228)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SUMIFS(RAB!$F$14:$F$59,RAB!$C$14:$C$59,C229)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SUMIFS(RAB!$F$14:$F$59,RAB!$C$14:$C$59,C230)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SUMIFS(RAB!$F$14:$F$59,RAB!$C$14:$C$59,C231)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SUMIFS(RAB!$F$14:$F$59,RAB!$C$14:$C$59,C232)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SUMIFS(RAB!$F$14:$F$59,RAB!$C$14:$C$59,C233)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SUMIFS(RAB!$F$14:$F$59,RAB!$C$14:$C$59,C234)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SUMIFS(RAB!$F$14:$F$59,RAB!$C$14:$C$59,C235)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SUMIFS(RAB!$F$14:$F$59,RAB!$C$14:$C$59,C236)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SUMIFS(RAB!$F$14:$F$59,RAB!$C$14:$C$59,C237)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SUMIFS(RAB!$F$14:$F$59,RAB!$C$14:$C$59,C238)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SUMIFS(RAB!$F$14:$F$59,RAB!$C$14:$C$59,C239)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SUMIFS(RAB!$F$14:$F$59,RAB!$C$14:$C$59,C240)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SUMIFS(RAB!$F$14:$F$59,RAB!$C$14:$C$59,C241)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SUMIFS(RAB!$F$14:$F$59,RAB!$C$14:$C$59,C242)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SUMIFS(RAB!$F$14:$F$59,RAB!$C$14:$C$59,C243)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SUMIFS(RAB!$F$14:$F$59,RAB!$C$14:$C$59,C244)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SUMIFS(RAB!$F$14:$F$59,RAB!$C$14:$C$59,C245)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SUMIFS(RAB!$F$14:$F$59,RAB!$C$14:$C$59,C246)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SUMIFS(RAB!$F$14:$F$59,RAB!$C$14:$C$59,C247)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SUMIFS(RAB!$F$14:$F$59,RAB!$C$14:$C$59,C248)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SUMIFS(RAB!$F$14:$F$59,RAB!$C$14:$C$59,C249)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SUMIFS(RAB!$F$14:$F$59,RAB!$C$14:$C$59,C250)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SUMIFS(RAB!$F$14:$F$59,RAB!$C$14:$C$59,C251)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SUMIFS(RAB!$F$14:$F$59,RAB!$C$14:$C$59,C252)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SUMIFS(RAB!$F$14:$F$59,RAB!$C$14:$C$59,C253)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SUMIFS(RAB!$F$14:$F$59,RAB!$C$14:$C$59,C254)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SUMIFS(RAB!$F$14:$F$59,RAB!$C$14:$C$59,C255)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SUMIFS(RAB!$F$14:$F$59,RAB!$C$14:$C$59,C256)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SUMIFS(RAB!$F$14:$F$59,RAB!$C$14:$C$59,C257)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SUMIFS(RAB!$F$14:$F$59,RAB!$C$14:$C$59,C258)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SUMIFS(RAB!$F$14:$F$59,RAB!$C$14:$C$59,C259)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SUMIFS(RAB!$F$14:$F$59,RAB!$C$14:$C$59,C260)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SUMIFS(RAB!$F$14:$F$59,RAB!$C$14:$C$59,C261)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SUMIFS(RAB!$F$14:$F$59,RAB!$C$14:$C$59,C262)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SUMIFS(RAB!$F$14:$F$59,RAB!$C$14:$C$59,C263)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SUMIFS(RAB!$F$14:$F$59,RAB!$C$14:$C$59,C264)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SUMIFS(RAB!$F$14:$F$59,RAB!$C$14:$C$59,C265)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SUMIFS(RAB!$F$14:$F$59,RAB!$C$14:$C$59,C266)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SUMIFS(RAB!$F$14:$F$59,RAB!$C$14:$C$59,C267)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SUMIFS(RAB!$F$14:$F$59,RAB!$C$14:$C$59,C268)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SUMIFS(RAB!$F$14:$F$59,RAB!$C$14:$C$59,C269)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SUMIFS(RAB!$F$14:$F$59,RAB!$C$14:$C$59,C270)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SUMIFS(RAB!$F$14:$F$59,RAB!$C$14:$C$59,C271)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SUMIFS(RAB!$F$14:$F$59,RAB!$C$14:$C$59,C272)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SUMIFS(RAB!$F$14:$F$59,RAB!$C$14:$C$59,C273)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SUMIFS(RAB!$F$14:$F$59,RAB!$C$14:$C$59,C274)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SUMIFS(RAB!$F$14:$F$59,RAB!$C$14:$C$59,C275)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SUMIFS(RAB!$F$14:$F$59,RAB!$C$14:$C$59,C276)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SUMIFS(RAB!$F$14:$F$59,RAB!$C$14:$C$59,C277)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SUMIFS(RAB!$F$14:$F$59,RAB!$C$14:$C$59,C278)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SUMIFS(RAB!$F$14:$F$59,RAB!$C$14:$C$59,C279)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SUMIFS(RAB!$F$14:$F$59,RAB!$C$14:$C$59,C280)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SUMIFS(RAB!$F$14:$F$59,RAB!$C$14:$C$59,C281)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SUMIFS(RAB!$F$14:$F$59,RAB!$C$14:$C$59,C282)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SUMIFS(RAB!$F$14:$F$59,RAB!$C$14:$C$59,C283)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SUMIFS(RAB!$F$14:$F$59,RAB!$C$14:$C$59,C284)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SUMIFS(RAB!$F$14:$F$59,RAB!$C$14:$C$59,C285)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SUMIFS(RAB!$F$14:$F$59,RAB!$C$14:$C$59,C286)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SUMIFS(RAB!$F$14:$F$59,RAB!$C$14:$C$59,C287)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SUMIFS(RAB!$F$14:$F$59,RAB!$C$14:$C$59,C288)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SUMIFS(RAB!$F$14:$F$59,RAB!$C$14:$C$59,C289)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SUMIFS(RAB!$F$14:$F$59,RAB!$C$14:$C$59,C290)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SUMIFS(RAB!$F$14:$F$59,RAB!$C$14:$C$59,C291)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SUMIFS(RAB!$F$14:$F$59,RAB!$C$14:$C$59,C292)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SUMIFS(RAB!$F$14:$F$59,RAB!$C$14:$C$59,C293)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SUMIFS(RAB!$F$14:$F$59,RAB!$C$14:$C$59,C294)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SUMIFS(RAB!$F$14:$F$59,RAB!$C$14:$C$59,C295)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SUMIFS(RAB!$F$14:$F$59,RAB!$C$14:$C$59,C296)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SUMIFS(RAB!$F$14:$F$59,RAB!$C$14:$C$59,C297)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SUMIFS(RAB!$F$14:$F$59,RAB!$C$14:$C$59,C298)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SUMIFS(RAB!$F$14:$F$59,RAB!$C$14:$C$59,C299)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SUMIFS(RAB!$F$14:$F$59,RAB!$C$14:$C$59,C300)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SUMIFS(RAB!$F$14:$F$59,RAB!$C$14:$C$59,C301)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SUMIFS(RAB!$F$14:$F$59,RAB!$C$14:$C$59,C302)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SUMIFS(RAB!$F$14:$F$59,RAB!$C$14:$C$59,C303)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SUMIFS(RAB!$F$14:$F$59,RAB!$C$14:$C$59,C304)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SUMIFS(RAB!$F$14:$F$59,RAB!$C$14:$C$59,C305)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SUMIFS(RAB!$F$14:$F$59,RAB!$C$14:$C$59,C306)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SUMIFS(RAB!$F$14:$F$59,RAB!$C$14:$C$59,C307)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SUMIFS(RAB!$F$14:$F$59,RAB!$C$14:$C$59,C308)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SUMIFS(RAB!$F$14:$F$59,RAB!$C$14:$C$59,C309)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SUMIFS(RAB!$F$14:$F$59,RAB!$C$14:$C$59,C310)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SUMIFS(RAB!$F$14:$F$59,RAB!$C$14:$C$59,C311)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SUMIFS(RAB!$F$14:$F$59,RAB!$C$14:$C$59,C312)</f>
        <v>1</v>
      </c>
      <c r="E312" s="24">
        <f t="shared" ca="1" si="22"/>
        <v>1</v>
      </c>
      <c r="F312" s="24">
        <f ca="1">IF(D312=0,0,SUM($E$223:E312))</f>
        <v>1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SUMIFS(RAB!$F$14:$F$59,RAB!$C$14:$C$59,C313)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SUMIFS(RAB!$F$14:$F$59,RAB!$C$14:$C$59,C314)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SUMIFS(RAB!$F$14:$F$59,RAB!$C$14:$C$59,C315)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SUMIFS(RAB!$F$14:$F$59,RAB!$C$14:$C$59,C316)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SUMIFS(RAB!$F$14:$F$59,RAB!$C$14:$C$59,C317)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SUMIFS(RAB!$F$14:$F$59,RAB!$C$14:$C$59,C318)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SUMIFS(RAB!$F$14:$F$59,RAB!$C$14:$C$59,C319)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SUMIFS(RAB!$F$14:$F$59,RAB!$C$14:$C$59,C320)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SUMIFS(RAB!$F$14:$F$59,RAB!$C$14:$C$59,C321)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SUMIFS(RAB!$F$14:$F$59,RAB!$C$14:$C$59,C322)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SUMIFS(RAB!$F$14:$F$59,RAB!$C$14:$C$59,C323)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SUMIFS(RAB!$F$14:$F$59,RAB!$C$14:$C$59,C324)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SUMIFS(RAB!$F$14:$F$59,RAB!$C$14:$C$59,C325)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SUMIFS(RAB!$F$14:$F$59,RAB!$C$14:$C$59,C326)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SUMIFS(RAB!$F$14:$F$59,RAB!$C$14:$C$59,C327)</f>
        <v>1</v>
      </c>
      <c r="E327" s="24">
        <f t="shared" ca="1" si="22"/>
        <v>1</v>
      </c>
      <c r="F327" s="24">
        <f ca="1">IF(D327=0,0,SUM($E$223:E327))</f>
        <v>2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SUMIFS(RAB!$F$14:$F$59,RAB!$C$14:$C$59,C328)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SUMIFS(RAB!$F$14:$F$59,RAB!$C$14:$C$59,C329)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SUMIFS(RAB!$F$14:$F$59,RAB!$C$14:$C$59,C330)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SUMIFS(RAB!$F$14:$F$59,RAB!$C$14:$C$59,C331)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SUMIFS(RAB!$F$14:$F$59,RAB!$C$14:$C$59,C332)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SUMIFS(RAB!$F$14:$F$59,RAB!$C$14:$C$59,C333)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SUMIFS(RAB!$F$14:$F$59,RAB!$C$14:$C$59,C334)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SUMIFS(RAB!$F$14:$F$59,RAB!$C$14:$C$59,C335)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SUMIFS(RAB!$F$14:$F$59,RAB!$C$14:$C$59,C336)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SUMIFS(RAB!$F$14:$F$59,RAB!$C$14:$C$59,C337)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SUMIFS(RAB!$F$14:$F$59,RAB!$C$14:$C$59,C338)</f>
        <v>2</v>
      </c>
      <c r="E338" s="24">
        <f t="shared" ca="1" si="22"/>
        <v>1</v>
      </c>
      <c r="F338" s="24">
        <f ca="1">IF(D338=0,0,SUM($E$223:E338))</f>
        <v>3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SUMIFS(RAB!$F$14:$F$59,RAB!$C$14:$C$59,C339)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SUMIFS(RAB!$F$14:$F$59,RAB!$C$14:$C$59,C340)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SUMIFS(RAB!$F$14:$F$59,RAB!$C$14:$C$59,C341)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SUMIFS(RAB!$F$14:$F$59,RAB!$C$14:$C$59,C342)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SUMIFS(RAB!$F$14:$F$59,RAB!$C$14:$C$59,C343)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SUMIFS(RAB!$F$14:$F$59,RAB!$C$14:$C$59,C344)</f>
        <v>2</v>
      </c>
      <c r="E344" s="24">
        <f t="shared" ca="1" si="22"/>
        <v>1</v>
      </c>
      <c r="F344" s="24">
        <f ca="1">IF(D344=0,0,SUM($E$223:E344))</f>
        <v>4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SUMIFS(RAB!$F$14:$F$59,RAB!$C$14:$C$59,C345)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SUMIFS(RAB!$F$14:$F$59,RAB!$C$14:$C$59,C346)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SUMIFS(RAB!$F$14:$F$59,RAB!$C$14:$C$59,C347)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SUMIFS(RAB!$F$14:$F$59,RAB!$C$14:$C$59,C348)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SUMIFS(RAB!$F$14:$F$59,RAB!$C$14:$C$59,C349)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SUMIFS(RAB!$F$14:$F$59,RAB!$C$14:$C$59,C350)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SUMIFS(RAB!$F$14:$F$59,RAB!$C$14:$C$59,C351)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SUMIFS(RAB!$F$14:$F$59,RAB!$C$14:$C$59,C352)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SUMIFS(RAB!$F$14:$F$59,RAB!$C$14:$C$59,C353)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SUMIFS(RAB!$F$14:$F$59,RAB!$C$14:$C$59,C354)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SUMIFS(RAB!$F$14:$F$59,RAB!$C$14:$C$59,C355)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SUMIFS(RAB!$F$14:$F$59,RAB!$C$14:$C$59,C356)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SUMIFS(RAB!$F$14:$F$59,RAB!$C$14:$C$59,C357)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SUMIFS(RAB!$F$14:$F$59,RAB!$C$14:$C$59,C358)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SUMIFS(RAB!$F$14:$F$59,RAB!$C$14:$C$59,C359)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SUMIFS(RAB!$F$14:$F$59,RAB!$C$14:$C$59,C360)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SUMIFS(RAB!$F$14:$F$59,RAB!$C$14:$C$59,C361)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SUMIFS(RAB!$F$14:$F$59,RAB!$C$14:$C$59,C362)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SUMIFS(RAB!$F$14:$F$59,RAB!$C$14:$C$59,C363)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SUMIFS(RAB!$F$14:$F$59,RAB!$C$14:$C$59,C364)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SUMIFS(RAB!$F$14:$F$59,RAB!$C$14:$C$59,C365)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SUMIFS(RAB!$F$14:$F$59,RAB!$C$14:$C$59,C366)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SUMIFS(RAB!$F$14:$F$59,RAB!$C$14:$C$59,C367)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SUMIFS(RAB!$F$14:$F$59,RAB!$C$14:$C$59,C368)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SUMIFS(RAB!$F$14:$F$59,RAB!$C$14:$C$59,C369)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SUMIFS(RAB!$F$14:$F$59,RAB!$C$14:$C$59,C370)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SUMIFS(RAB!$F$14:$F$59,RAB!$C$14:$C$59,C371)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SUMIFS(RAB!$F$14:$F$59,RAB!$C$14:$C$59,C372)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SUMIFS(RAB!$F$14:$F$59,RAB!$C$14:$C$59,C373)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7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4" t="s">
        <v>41</v>
      </c>
      <c r="C2" s="54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5" t="s">
        <v>23</v>
      </c>
      <c r="C4" s="546" t="s">
        <v>1012</v>
      </c>
      <c r="D4" s="546" t="s">
        <v>42</v>
      </c>
      <c r="E4" s="545" t="s">
        <v>43</v>
      </c>
      <c r="F4" s="108" t="s">
        <v>1609</v>
      </c>
      <c r="G4" s="108" t="s">
        <v>1608</v>
      </c>
      <c r="H4" s="54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5"/>
      <c r="C5" s="546"/>
      <c r="D5" s="546"/>
      <c r="E5" s="545"/>
      <c r="F5" s="93"/>
      <c r="G5" s="93"/>
      <c r="H5" s="543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1" t="s">
        <v>1454</v>
      </c>
      <c r="C2" s="551"/>
      <c r="D2" s="551"/>
      <c r="E2" s="55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56" t="s">
        <v>1532</v>
      </c>
      <c r="C4" s="557"/>
      <c r="D4" s="557"/>
      <c r="E4" s="558"/>
      <c r="F4" s="442"/>
      <c r="G4" s="442"/>
      <c r="H4" s="443"/>
      <c r="I4" s="583" t="s">
        <v>1533</v>
      </c>
      <c r="J4" s="584"/>
      <c r="K4" s="584"/>
      <c r="L4" s="585"/>
    </row>
    <row r="5" spans="1:12" ht="34.5" customHeight="1">
      <c r="A5" s="204"/>
      <c r="B5" s="445" t="s">
        <v>1379</v>
      </c>
      <c r="C5" s="277" t="s">
        <v>9</v>
      </c>
      <c r="D5" s="552" t="str">
        <f>DATA!D14</f>
        <v>PONPES SULLAM</v>
      </c>
      <c r="E5" s="553"/>
      <c r="F5" s="208"/>
      <c r="G5" s="208"/>
      <c r="I5" s="446" t="s">
        <v>1379</v>
      </c>
      <c r="J5" s="277" t="s">
        <v>9</v>
      </c>
      <c r="K5" s="586" t="str">
        <f>D5</f>
        <v>PONPES SULLAM</v>
      </c>
      <c r="L5" s="587"/>
    </row>
    <row r="6" spans="1:12" ht="31.5" customHeight="1">
      <c r="A6" s="204"/>
      <c r="B6" s="445" t="s">
        <v>1529</v>
      </c>
      <c r="C6" s="277" t="s">
        <v>9</v>
      </c>
      <c r="D6" s="561">
        <f>DATA!D17*1000</f>
        <v>5500</v>
      </c>
      <c r="E6" s="562"/>
      <c r="F6" s="208"/>
      <c r="G6" s="208"/>
      <c r="I6" s="446" t="s">
        <v>1530</v>
      </c>
      <c r="J6" s="277" t="s">
        <v>9</v>
      </c>
      <c r="K6" s="588">
        <f>DATA!D20*1000</f>
        <v>11000</v>
      </c>
      <c r="L6" s="589"/>
    </row>
    <row r="7" spans="1:12" ht="30.75" customHeight="1">
      <c r="A7" s="204"/>
      <c r="B7" s="445" t="s">
        <v>1441</v>
      </c>
      <c r="C7" s="277" t="s">
        <v>9</v>
      </c>
      <c r="D7" s="559">
        <f>DATA!D18</f>
        <v>1</v>
      </c>
      <c r="E7" s="560"/>
      <c r="F7" s="444" t="s">
        <v>1453</v>
      </c>
      <c r="I7" s="446" t="s">
        <v>1441</v>
      </c>
      <c r="J7" s="277" t="s">
        <v>9</v>
      </c>
      <c r="K7" s="590">
        <f>DATA!D21</f>
        <v>1</v>
      </c>
      <c r="L7" s="591"/>
    </row>
    <row r="8" spans="1:12" ht="51" customHeight="1">
      <c r="A8" s="204"/>
      <c r="B8" s="445" t="s">
        <v>1442</v>
      </c>
      <c r="C8" s="277" t="s">
        <v>9</v>
      </c>
      <c r="D8" s="559">
        <f>DATA!D19</f>
        <v>220</v>
      </c>
      <c r="E8" s="560"/>
      <c r="F8" s="444" t="s">
        <v>1453</v>
      </c>
      <c r="G8" s="439">
        <v>220</v>
      </c>
      <c r="I8" s="446" t="s">
        <v>1442</v>
      </c>
      <c r="J8" s="277" t="s">
        <v>9</v>
      </c>
      <c r="K8" s="590">
        <f>DATA!D22</f>
        <v>220</v>
      </c>
      <c r="L8" s="591"/>
    </row>
    <row r="9" spans="1:12" ht="30" customHeight="1" thickBot="1">
      <c r="A9" s="204"/>
      <c r="B9" s="451" t="s">
        <v>1541</v>
      </c>
      <c r="C9" s="441" t="s">
        <v>9</v>
      </c>
      <c r="D9" s="554">
        <f>IF(D7=1,D6/(380/3^0.5),(D6/(380*3^0.5)))</f>
        <v>25.069156425339013</v>
      </c>
      <c r="E9" s="555"/>
      <c r="F9" s="207"/>
      <c r="G9" s="440">
        <v>380</v>
      </c>
      <c r="I9" s="452" t="s">
        <v>1541</v>
      </c>
      <c r="J9" s="441" t="s">
        <v>9</v>
      </c>
      <c r="K9" s="592">
        <f>IF(K7=1,K6/(380/3^0.5),(K6/(380*3^0.5)))</f>
        <v>50.138312850678027</v>
      </c>
      <c r="L9" s="59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63"/>
      <c r="E12" s="564"/>
      <c r="F12" s="208"/>
      <c r="G12" s="208"/>
      <c r="I12" s="468" t="s">
        <v>1534</v>
      </c>
      <c r="J12" s="469" t="s">
        <v>9</v>
      </c>
      <c r="K12" s="563"/>
      <c r="L12" s="564"/>
    </row>
    <row r="13" spans="1:12" ht="31.5" customHeight="1">
      <c r="A13" s="204"/>
      <c r="B13" s="476" t="s">
        <v>1380</v>
      </c>
      <c r="C13" s="456" t="s">
        <v>9</v>
      </c>
      <c r="D13" s="567"/>
      <c r="E13" s="568"/>
      <c r="F13" s="208"/>
      <c r="G13" s="208"/>
      <c r="I13" s="470" t="s">
        <v>1380</v>
      </c>
      <c r="J13" s="456" t="s">
        <v>9</v>
      </c>
      <c r="K13" s="567"/>
      <c r="L13" s="568"/>
    </row>
    <row r="14" spans="1:12" ht="30.75" customHeight="1">
      <c r="A14" s="204"/>
      <c r="B14" s="476" t="s">
        <v>1535</v>
      </c>
      <c r="C14" s="456" t="s">
        <v>9</v>
      </c>
      <c r="D14" s="575"/>
      <c r="E14" s="576"/>
      <c r="F14" s="444" t="s">
        <v>1453</v>
      </c>
      <c r="G14" s="448">
        <v>50</v>
      </c>
      <c r="I14" s="470" t="s">
        <v>1535</v>
      </c>
      <c r="J14" s="456" t="s">
        <v>9</v>
      </c>
      <c r="K14" s="577"/>
      <c r="L14" s="57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9">
        <v>0</v>
      </c>
      <c r="E16" s="580"/>
      <c r="F16" s="444"/>
      <c r="G16" s="448">
        <v>160</v>
      </c>
      <c r="I16" s="470" t="s">
        <v>1537</v>
      </c>
      <c r="J16" s="456" t="s">
        <v>9</v>
      </c>
      <c r="K16" s="581">
        <f>K9</f>
        <v>50.138312850678027</v>
      </c>
      <c r="L16" s="582"/>
    </row>
    <row r="17" spans="1:12" ht="34.5" customHeight="1">
      <c r="A17" s="204"/>
      <c r="B17" s="476" t="s">
        <v>1538</v>
      </c>
      <c r="C17" s="456" t="s">
        <v>9</v>
      </c>
      <c r="D17" s="569">
        <f>IF(D15=1,D14/(20/3^0.5),(D14/(20*3^0.5)))</f>
        <v>0</v>
      </c>
      <c r="E17" s="570"/>
      <c r="F17" s="444" t="s">
        <v>1453</v>
      </c>
      <c r="G17" s="449">
        <v>200</v>
      </c>
      <c r="I17" s="470" t="s">
        <v>1538</v>
      </c>
      <c r="J17" s="456" t="s">
        <v>9</v>
      </c>
      <c r="K17" s="573">
        <f>IF(K15=1,K14/(20/3^0.5),(K14/(20*3^0.5)))</f>
        <v>0</v>
      </c>
      <c r="L17" s="574"/>
    </row>
    <row r="18" spans="1:12" ht="34.5" customHeight="1">
      <c r="A18" s="204"/>
      <c r="B18" s="476" t="s">
        <v>1539</v>
      </c>
      <c r="C18" s="456" t="s">
        <v>9</v>
      </c>
      <c r="D18" s="569">
        <f>IF(D15=1,D14/(380/3^0.5),(D14/(380*3^0.5)))*1000</f>
        <v>0</v>
      </c>
      <c r="E18" s="570"/>
      <c r="F18" s="444" t="s">
        <v>1453</v>
      </c>
      <c r="G18" s="449">
        <v>250</v>
      </c>
      <c r="I18" s="470" t="s">
        <v>1539</v>
      </c>
      <c r="J18" s="456" t="s">
        <v>9</v>
      </c>
      <c r="K18" s="573">
        <f>IF(K15=1,K14/(380/3^0.5),(K14/(380*3^0.5)))*1000</f>
        <v>0</v>
      </c>
      <c r="L18" s="574"/>
    </row>
    <row r="19" spans="1:12" ht="30" customHeight="1">
      <c r="A19" s="204"/>
      <c r="B19" s="477" t="s">
        <v>1531</v>
      </c>
      <c r="C19" s="455" t="s">
        <v>9</v>
      </c>
      <c r="D19" s="569">
        <f>IF(D15=1,D14/(380/3^0.5),(D14/(380*3^0.5)))</f>
        <v>0</v>
      </c>
      <c r="E19" s="570"/>
      <c r="F19" s="207"/>
      <c r="G19" s="440"/>
      <c r="I19" s="472" t="s">
        <v>1531</v>
      </c>
      <c r="J19" s="455" t="s">
        <v>9</v>
      </c>
      <c r="K19" s="573">
        <f>IF(K15=1,K14/(380/3^0.5),(K14/(380*3^0.5)))</f>
        <v>0</v>
      </c>
      <c r="L19" s="574"/>
    </row>
    <row r="20" spans="1:12" ht="30" customHeight="1" thickBot="1">
      <c r="A20" s="204"/>
      <c r="B20" s="478" t="s">
        <v>1540</v>
      </c>
      <c r="C20" s="474" t="s">
        <v>9</v>
      </c>
      <c r="D20" s="565" t="e">
        <f>D16/D18</f>
        <v>#DIV/0!</v>
      </c>
      <c r="E20" s="566"/>
      <c r="F20" s="207"/>
      <c r="G20" s="440"/>
      <c r="I20" s="473" t="s">
        <v>1531</v>
      </c>
      <c r="J20" s="474" t="s">
        <v>9</v>
      </c>
      <c r="K20" s="571" t="e">
        <f>K16/K18</f>
        <v>#DIV/0!</v>
      </c>
      <c r="L20" s="572"/>
    </row>
    <row r="21" spans="1:12" ht="9.75" customHeight="1">
      <c r="A21" s="204"/>
      <c r="B21" s="463" t="s">
        <v>1540</v>
      </c>
      <c r="C21" s="464" t="s">
        <v>9</v>
      </c>
      <c r="D21" s="550">
        <v>1</v>
      </c>
      <c r="E21" s="550"/>
      <c r="F21" s="465"/>
      <c r="G21" s="466"/>
      <c r="H21" s="467"/>
      <c r="I21" s="463" t="s">
        <v>1531</v>
      </c>
      <c r="J21" s="464" t="s">
        <v>9</v>
      </c>
      <c r="K21" s="550">
        <v>1</v>
      </c>
      <c r="L21" s="55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47"/>
      <c r="C24" s="548"/>
      <c r="D24" s="548"/>
      <c r="E24" s="549"/>
      <c r="I24" s="547"/>
      <c r="J24" s="548"/>
      <c r="K24" s="548"/>
      <c r="L24" s="549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4"/>
      <c r="C1" s="594"/>
      <c r="D1" s="59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RAB!K65</f>
        <v>35758654.439999998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715173.08879999991</v>
      </c>
    </row>
    <row r="12" spans="2:11" ht="9" customHeight="1">
      <c r="B12" s="595"/>
      <c r="C12" s="595"/>
      <c r="D12" s="595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1634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5.5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596" t="s">
        <v>1357</v>
      </c>
      <c r="C3" s="596"/>
      <c r="D3" s="596"/>
      <c r="E3" s="596"/>
      <c r="F3" s="305" t="str">
        <f>DATA!D14</f>
        <v>PONPES SULLAM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7" t="s">
        <v>1349</v>
      </c>
      <c r="C5" s="597" t="s">
        <v>1358</v>
      </c>
      <c r="D5" s="598" t="s">
        <v>1359</v>
      </c>
      <c r="E5" s="598" t="s">
        <v>1360</v>
      </c>
      <c r="F5" s="597" t="s">
        <v>1361</v>
      </c>
      <c r="G5" s="597"/>
      <c r="H5" s="597"/>
      <c r="I5" s="597"/>
      <c r="J5" s="597"/>
      <c r="K5" s="597" t="s">
        <v>1362</v>
      </c>
      <c r="L5" s="597"/>
      <c r="M5" s="307"/>
      <c r="N5" s="601" t="s">
        <v>1363</v>
      </c>
      <c r="O5" s="598" t="s">
        <v>1364</v>
      </c>
      <c r="P5" s="598" t="s">
        <v>1365</v>
      </c>
      <c r="Q5" s="598" t="s">
        <v>1366</v>
      </c>
      <c r="R5" s="308"/>
      <c r="S5" s="309"/>
      <c r="T5" s="599" t="s">
        <v>1367</v>
      </c>
      <c r="U5" s="310"/>
    </row>
    <row r="6" spans="1:21" ht="20.100000000000001" customHeight="1">
      <c r="B6" s="597"/>
      <c r="C6" s="597"/>
      <c r="D6" s="597"/>
      <c r="E6" s="59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2"/>
      <c r="O6" s="597"/>
      <c r="P6" s="597"/>
      <c r="Q6" s="597"/>
      <c r="R6" s="308"/>
      <c r="S6" s="309"/>
      <c r="T6" s="597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35.758654440000001</v>
      </c>
      <c r="G7" s="318">
        <f ca="1">DATA!$D$11/1000000</f>
        <v>0.71517308879999986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38.424818961377497</v>
      </c>
      <c r="K7" s="319">
        <f>DATA!D9/1000000</f>
        <v>5.3295000000000003</v>
      </c>
      <c r="L7" s="316">
        <f>((D7*DATA!$D$23)/1000000)+((E7*DATA!$D$24)/1000000)</f>
        <v>2.542672</v>
      </c>
      <c r="M7" s="316">
        <f>K7+L7</f>
        <v>7.8721720000000008</v>
      </c>
      <c r="N7" s="316">
        <f ca="1">M7-J7</f>
        <v>-30.552646961377498</v>
      </c>
      <c r="O7" s="314">
        <v>1</v>
      </c>
      <c r="P7" s="316">
        <f ca="1">O7*N7</f>
        <v>-30.552646961377498</v>
      </c>
      <c r="Q7" s="316">
        <f ca="1">P7</f>
        <v>-30.552646961377498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0.71517308879999986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3.6416602376662448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0.17234776233375504</v>
      </c>
      <c r="O8" s="315">
        <f>1/(1+'[93]Asumsi I'!$C$3)^(KKF!A8)</f>
        <v>0.89285714285714279</v>
      </c>
      <c r="P8" s="316">
        <f ca="1">O8*N8</f>
        <v>0.15388193065513842</v>
      </c>
      <c r="Q8" s="316">
        <f ca="1">Q7+P8</f>
        <v>-30.398765030722359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0.71517308879999986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3.6416602376662448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0.17234776233375504</v>
      </c>
      <c r="O9" s="322">
        <f>1/(1+'[93]Asumsi I'!$C$3)^(KKF!A9)</f>
        <v>0.79719387755102034</v>
      </c>
      <c r="P9" s="316">
        <f t="shared" ref="P9:P32" ca="1" si="7">O9*N9</f>
        <v>0.13739458094208787</v>
      </c>
      <c r="Q9" s="316">
        <f ca="1">Q8+P9</f>
        <v>-30.261370449780269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0.71517308879999986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3.6416602376662448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0.17234776233375504</v>
      </c>
      <c r="O10" s="315">
        <f>1/(1+'[93]Asumsi I'!$C$3)^(KKF!A10)</f>
        <v>0.71178024781341087</v>
      </c>
      <c r="P10" s="316">
        <f t="shared" ca="1" si="7"/>
        <v>0.12267373298400701</v>
      </c>
      <c r="Q10" s="316">
        <f t="shared" ref="Q10:Q30" ca="1" si="9">Q9+P10</f>
        <v>-30.138696716796261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0.71517308879999986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3.6416602376662448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0.17234776233375504</v>
      </c>
      <c r="O11" s="315">
        <f>1/(1+'[93]Asumsi I'!$C$3)^(KKF!A11)</f>
        <v>0.63551807840483121</v>
      </c>
      <c r="P11" s="316">
        <f t="shared" ca="1" si="7"/>
        <v>0.10953011873572055</v>
      </c>
      <c r="Q11" s="316">
        <f t="shared" ca="1" si="9"/>
        <v>-30.029166598060542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0.71517308879999986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3.6416602376662448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0.17234776233375504</v>
      </c>
      <c r="O12" s="315">
        <f>1/(1+'[93]Asumsi I'!$C$3)^(KKF!A12)</f>
        <v>0.56742685571859919</v>
      </c>
      <c r="P12" s="316">
        <f t="shared" ca="1" si="7"/>
        <v>9.7794748871179046E-2</v>
      </c>
      <c r="Q12" s="316">
        <f t="shared" ca="1" si="9"/>
        <v>-29.931371849189361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0.71517308879999986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3.6416602376662448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0.17234776233375504</v>
      </c>
      <c r="O13" s="315">
        <f>1/(1+'[93]Asumsi I'!$C$3)^(KKF!A13)</f>
        <v>0.50663112117732068</v>
      </c>
      <c r="P13" s="316">
        <f t="shared" ca="1" si="7"/>
        <v>8.7316740063552709E-2</v>
      </c>
      <c r="Q13" s="316">
        <f t="shared" ca="1" si="9"/>
        <v>-29.844055109125808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0.71517308879999986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3.6416602376662448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0.17234776233375504</v>
      </c>
      <c r="O14" s="315">
        <f>1/(1+'[93]Asumsi I'!$C$3)^(KKF!A14)</f>
        <v>0.45234921533689343</v>
      </c>
      <c r="P14" s="316">
        <f t="shared" ca="1" si="7"/>
        <v>7.7961375056743484E-2</v>
      </c>
      <c r="Q14" s="316">
        <f t="shared" ca="1" si="9"/>
        <v>-29.766093734069063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0.71517308879999986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3.6416602376662448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0.17234776233375504</v>
      </c>
      <c r="O15" s="315">
        <f>1/(1+'[93]Asumsi I'!$C$3)^(KKF!A15)</f>
        <v>0.4038832279793691</v>
      </c>
      <c r="P15" s="316">
        <f t="shared" ca="1" si="7"/>
        <v>6.9608370586378115E-2</v>
      </c>
      <c r="Q15" s="316">
        <f t="shared" ca="1" si="9"/>
        <v>-29.696485363482687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0.71517308879999986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3.6416602376662448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0.17234776233375504</v>
      </c>
      <c r="O16" s="315">
        <f>1/(1+'[93]Asumsi I'!$C$3)^(KKF!A16)</f>
        <v>0.36061002498157957</v>
      </c>
      <c r="P16" s="316">
        <f t="shared" ca="1" si="7"/>
        <v>6.2150330880694743E-2</v>
      </c>
      <c r="Q16" s="316">
        <f t="shared" ca="1" si="9"/>
        <v>-29.634335032601992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0.71517308879999986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3.6416602376662448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0.17234776233375504</v>
      </c>
      <c r="O17" s="315">
        <f>1/(1+'[93]Asumsi I'!$C$3)^(KKF!A17)</f>
        <v>0.32197323659069599</v>
      </c>
      <c r="P17" s="316">
        <f t="shared" ca="1" si="7"/>
        <v>5.5491366857763152E-2</v>
      </c>
      <c r="Q17" s="316">
        <f t="shared" ca="1" si="9"/>
        <v>-29.57884366574423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0.71517308879999986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3.6416602376662448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0.17234776233375504</v>
      </c>
      <c r="O18" s="315">
        <f>1/(1+'[93]Asumsi I'!$C$3)^(KKF!A18)</f>
        <v>0.28747610409883567</v>
      </c>
      <c r="P18" s="316">
        <f t="shared" ca="1" si="7"/>
        <v>4.9545863265859955E-2</v>
      </c>
      <c r="Q18" s="316">
        <f t="shared" ca="1" si="9"/>
        <v>-29.529297802478371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0.71517308879999986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3.6416602376662448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0.17234776233375504</v>
      </c>
      <c r="O19" s="315">
        <f>1/(1+'[93]Asumsi I'!$C$3)^(KKF!A19)</f>
        <v>0.25667509294538904</v>
      </c>
      <c r="P19" s="316">
        <f t="shared" ca="1" si="7"/>
        <v>4.4237377915946396E-2</v>
      </c>
      <c r="Q19" s="316">
        <f t="shared" ca="1" si="9"/>
        <v>-29.485060424562427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0.71517308879999986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3.6416602376662448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0.17234776233375504</v>
      </c>
      <c r="O20" s="315">
        <f>1/(1+'[93]Asumsi I'!$C$3)^(KKF!A20)</f>
        <v>0.22917419012981158</v>
      </c>
      <c r="P20" s="316">
        <f t="shared" ca="1" si="7"/>
        <v>3.9497658853523555E-2</v>
      </c>
      <c r="Q20" s="316">
        <f t="shared" ca="1" si="9"/>
        <v>-29.445562765708903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0.71517308879999986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3.6416602376662448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0.17234776233375504</v>
      </c>
      <c r="O21" s="315">
        <f>1/(1+'[93]Asumsi I'!$C$3)^(KKF!A21)</f>
        <v>0.20461981261590317</v>
      </c>
      <c r="P21" s="316">
        <f t="shared" ca="1" si="7"/>
        <v>3.5265766833503173E-2</v>
      </c>
      <c r="Q21" s="316">
        <f t="shared" ca="1" si="9"/>
        <v>-29.410296998875399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0.71517308879999986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3.6416602376662448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0.17234776233375504</v>
      </c>
      <c r="O22" s="315">
        <f>1/(1+'[93]Asumsi I'!$C$3)^(KKF!A22)</f>
        <v>0.18269626126419927</v>
      </c>
      <c r="P22" s="316">
        <f t="shared" ca="1" si="7"/>
        <v>3.148729181562783E-2</v>
      </c>
      <c r="Q22" s="316">
        <f t="shared" ca="1" si="9"/>
        <v>-29.378809707059773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0.71517308879999986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3.6416602376662448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0.17234776233375504</v>
      </c>
      <c r="O23" s="315">
        <f>1/(1+'[93]Asumsi I'!$C$3)^(KKF!A23)</f>
        <v>0.16312166184303503</v>
      </c>
      <c r="P23" s="316">
        <f t="shared" ca="1" si="7"/>
        <v>2.811365340681056E-2</v>
      </c>
      <c r="Q23" s="316">
        <f t="shared" ca="1" si="9"/>
        <v>-29.350696053652964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0.71517308879999986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3.6416602376662448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0.17234776233375504</v>
      </c>
      <c r="O24" s="315">
        <f>1/(1+'[93]Asumsi I'!$C$3)^(KKF!A24)</f>
        <v>0.14564434093128129</v>
      </c>
      <c r="P24" s="316">
        <f t="shared" ca="1" si="7"/>
        <v>2.5101476256080859E-2</v>
      </c>
      <c r="Q24" s="316">
        <f t="shared" ca="1" si="9"/>
        <v>-29.325594577396885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0.71517308879999986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3.6416602376662448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0.17234776233375504</v>
      </c>
      <c r="O25" s="315">
        <f>1/(1+'[93]Asumsi I'!$C$3)^(KKF!A25)</f>
        <v>0.13003959011721541</v>
      </c>
      <c r="P25" s="316">
        <f t="shared" ca="1" si="7"/>
        <v>2.2412032371500763E-2</v>
      </c>
      <c r="Q25" s="316">
        <f t="shared" ca="1" si="9"/>
        <v>-29.303182545025383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0.71517308879999986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3.6416602376662448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0.17234776233375504</v>
      </c>
      <c r="O26" s="315">
        <f>1/(1+'[93]Asumsi I'!$C$3)^(KKF!A26)</f>
        <v>0.1161067768903709</v>
      </c>
      <c r="P26" s="316">
        <f t="shared" ca="1" si="7"/>
        <v>2.0010743188839965E-2</v>
      </c>
      <c r="Q26" s="316">
        <f t="shared" ca="1" si="9"/>
        <v>-29.283171801836541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0.71517308879999986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3.6416602376662448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0.17234776233375504</v>
      </c>
      <c r="O27" s="315">
        <f>1/(1+'[93]Asumsi I'!$C$3)^(KKF!A27)</f>
        <v>0.1036667650806883</v>
      </c>
      <c r="P27" s="316">
        <f t="shared" ca="1" si="7"/>
        <v>1.7866734990035684E-2</v>
      </c>
      <c r="Q27" s="316">
        <f t="shared" ca="1" si="9"/>
        <v>-29.265305066846505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0.71517308879999986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3.6416602376662448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0.17234776233375504</v>
      </c>
      <c r="O28" s="315">
        <f>1/(1+'[93]Asumsi I'!$C$3)^(KKF!A28)</f>
        <v>9.2559611679185971E-2</v>
      </c>
      <c r="P28" s="316">
        <f t="shared" ca="1" si="7"/>
        <v>1.5952441955389002E-2</v>
      </c>
      <c r="Q28" s="316">
        <f t="shared" ca="1" si="9"/>
        <v>-29.249352624891117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0.71517308879999986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3.6416602376662448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0.17234776233375504</v>
      </c>
      <c r="O29" s="315">
        <f>1/(1+'[93]Asumsi I'!$C$3)^(KKF!A29)</f>
        <v>8.2642510427844609E-2</v>
      </c>
      <c r="P29" s="316">
        <f t="shared" ca="1" si="7"/>
        <v>1.4243251745883034E-2</v>
      </c>
      <c r="Q29" s="316">
        <f t="shared" ca="1" si="9"/>
        <v>-29.235109373145235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0.71517308879999986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3.6416602376662448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0.17234776233375504</v>
      </c>
      <c r="O30" s="315">
        <f>1/(1+'[93]Asumsi I'!$C$3)^(KKF!A30)</f>
        <v>7.3787955739146982E-2</v>
      </c>
      <c r="P30" s="316">
        <f t="shared" ca="1" si="7"/>
        <v>1.271718905882414E-2</v>
      </c>
      <c r="Q30" s="316">
        <f t="shared" ca="1" si="9"/>
        <v>-29.222392184086409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0.71517308879999986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3.6416602376662448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0.17234776233375504</v>
      </c>
      <c r="O31" s="315">
        <f>1/(1+'[93]Asumsi I'!$C$3)^(KKF!A31)</f>
        <v>6.5882103338524081E-2</v>
      </c>
      <c r="P31" s="316">
        <f t="shared" ca="1" si="7"/>
        <v>1.1354633088235838E-2</v>
      </c>
      <c r="Q31" s="316">
        <f ca="1">Q30+P31</f>
        <v>-29.211037550998174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0.71517308879999986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3.6416602376662448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0.17234776233375504</v>
      </c>
      <c r="O32" s="315">
        <f>1/(1+'[93]Asumsi I'!$C$3)^(KKF!A32)</f>
        <v>5.8823306552253637E-2</v>
      </c>
      <c r="P32" s="316">
        <f t="shared" ca="1" si="7"/>
        <v>1.0138065257353425E-2</v>
      </c>
      <c r="Q32" s="316">
        <f ca="1">Q31+P32</f>
        <v>-29.20089948574082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0" t="s">
        <v>1374</v>
      </c>
      <c r="G33" s="600"/>
      <c r="H33" s="600"/>
      <c r="I33" s="324"/>
      <c r="J33" s="325">
        <f ca="1">SUM(J7:J32)</f>
        <v>129.46632490303361</v>
      </c>
      <c r="K33" s="600" t="s">
        <v>1375</v>
      </c>
      <c r="L33" s="600"/>
      <c r="M33" s="325">
        <f>SUM(M7:M32)</f>
        <v>103.22237200000002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222.94933476981868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0.79729128078139611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-26.072231683697158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-0.11542867758473541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80"/>
  <sheetViews>
    <sheetView showGridLines="0" zoomScale="70" zoomScaleNormal="70" zoomScaleSheetLayoutView="70" workbookViewId="0">
      <pane ySplit="13" topLeftCell="A32" activePane="bottomLeft" state="frozen"/>
      <selection activeCell="H1093" sqref="H1093"/>
      <selection pane="bottomLeft" activeCell="I7" sqref="I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3" t="s">
        <v>1036</v>
      </c>
      <c r="P3" s="603"/>
      <c r="Q3" s="346"/>
      <c r="T3" s="344"/>
      <c r="U3" s="345" t="s">
        <v>1041</v>
      </c>
      <c r="V3" s="344"/>
    </row>
    <row r="4" spans="1:22" ht="15.75" customHeight="1">
      <c r="B4" s="604" t="s">
        <v>1023</v>
      </c>
      <c r="C4" s="604"/>
      <c r="D4" s="604"/>
      <c r="E4" s="604"/>
      <c r="F4" s="604"/>
      <c r="G4" s="604"/>
      <c r="H4" s="604"/>
      <c r="I4" s="604"/>
      <c r="J4" s="604"/>
      <c r="K4" s="604"/>
      <c r="O4" s="603"/>
      <c r="P4" s="60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0" t="str">
        <f>DATA!D14</f>
        <v>PONPES SULLAM</v>
      </c>
      <c r="H6" s="620"/>
      <c r="I6" s="620"/>
      <c r="J6" s="620"/>
      <c r="K6" s="62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06" t="s">
        <v>0</v>
      </c>
      <c r="C11" s="608" t="s">
        <v>1</v>
      </c>
      <c r="D11" s="611" t="s">
        <v>42</v>
      </c>
      <c r="E11" s="611" t="s">
        <v>43</v>
      </c>
      <c r="F11" s="611" t="s">
        <v>2</v>
      </c>
      <c r="G11" s="613" t="s">
        <v>41</v>
      </c>
      <c r="H11" s="611" t="s">
        <v>3</v>
      </c>
      <c r="I11" s="611"/>
      <c r="J11" s="611"/>
      <c r="K11" s="63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07"/>
      <c r="C12" s="609"/>
      <c r="D12" s="612"/>
      <c r="E12" s="612"/>
      <c r="F12" s="612"/>
      <c r="G12" s="614"/>
      <c r="H12" s="616" t="s">
        <v>46</v>
      </c>
      <c r="I12" s="616" t="s">
        <v>5</v>
      </c>
      <c r="J12" s="612" t="s">
        <v>47</v>
      </c>
      <c r="K12" s="63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07"/>
      <c r="C13" s="610"/>
      <c r="D13" s="612"/>
      <c r="E13" s="612"/>
      <c r="F13" s="612"/>
      <c r="G13" s="615"/>
      <c r="H13" s="617"/>
      <c r="I13" s="617"/>
      <c r="J13" s="612"/>
      <c r="K13" s="63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1636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56" ca="1" si="12">IF(OR(D18="MDU",D18="MDU-KD"),(IF($O$3="RAB NON MDU","PLN KD",G18*F18)),0)</f>
        <v>0</v>
      </c>
      <c r="I18" s="361">
        <f t="shared" ref="I18:I56" ca="1" si="13">IF(D18="HDW",G18*F18,0)</f>
        <v>0</v>
      </c>
      <c r="J18" s="361">
        <f t="shared" ref="J18:J56" ca="1" si="14">IF(D18="JASA",G18*F18,0)</f>
        <v>0</v>
      </c>
      <c r="K18" s="362">
        <f t="shared" ref="K18:K56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12"/>
        <v>0</v>
      </c>
      <c r="I20" s="361">
        <f t="shared" ca="1" si="13"/>
        <v>0</v>
      </c>
      <c r="J20" s="361">
        <f t="shared" ca="1" si="14"/>
        <v>0</v>
      </c>
      <c r="K20" s="362">
        <f t="shared" ca="1" si="15"/>
        <v>0</v>
      </c>
    </row>
    <row r="21" spans="1:22">
      <c r="B21" s="707" t="s">
        <v>1035</v>
      </c>
      <c r="C21" s="708" t="s">
        <v>1641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23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</row>
    <row r="22" spans="1:22">
      <c r="B22" s="707">
        <v>1</v>
      </c>
      <c r="C22" s="709" t="s">
        <v>532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710">
        <f>F21*1</f>
        <v>1</v>
      </c>
      <c r="G22" s="360">
        <f ca="1">IF(ISERROR(OFFSET('HARGA SATUAN'!$I$6,MATCH(RAB!C22,'HARGA SATUAN'!$C$7:$C$1492,0),0)),0,OFFSET('HARGA SATUAN'!$I$6,MATCH(RAB!C22,'HARGA SATUAN'!$C$7:$C$1492,0),0))</f>
        <v>27845400</v>
      </c>
      <c r="H22" s="361">
        <f t="shared" ca="1" si="12"/>
        <v>27845400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27845400</v>
      </c>
    </row>
    <row r="23" spans="1:22">
      <c r="B23" s="502">
        <v>2</v>
      </c>
      <c r="C23" s="709" t="s">
        <v>1642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710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1:22">
      <c r="B24" s="502"/>
      <c r="C24" s="709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710">
        <f>F21*2</f>
        <v>2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12"/>
        <v>28400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28400</v>
      </c>
    </row>
    <row r="25" spans="1:22">
      <c r="B25" s="707"/>
      <c r="C25" s="109" t="s">
        <v>1402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710">
        <f>F21*2</f>
        <v>2</v>
      </c>
      <c r="G25" s="360">
        <f ca="1">IF(ISERROR(OFFSET('HARGA SATUAN'!$I$6,MATCH(RAB!C25,'HARGA SATUAN'!$C$7:$C$1492,0),0)),0,OFFSET('HARGA SATUAN'!$I$6,MATCH(RAB!C25,'HARGA SATUAN'!$C$7:$C$1492,0),0))</f>
        <v>53300</v>
      </c>
      <c r="H25" s="361">
        <f t="shared" ca="1" si="12"/>
        <v>106600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106600</v>
      </c>
    </row>
    <row r="26" spans="1:22">
      <c r="B26" s="707">
        <v>3</v>
      </c>
      <c r="C26" s="709" t="s">
        <v>207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710">
        <f>F21*1</f>
        <v>1</v>
      </c>
      <c r="G26" s="360">
        <f ca="1">IF(ISERROR(OFFSET('HARGA SATUAN'!$I$6,MATCH(RAB!C26,'HARGA SATUAN'!$C$7:$C$1492,0),0)),0,OFFSET('HARGA SATUAN'!$I$6,MATCH(RAB!C26,'HARGA SATUAN'!$C$7:$C$1492,0),0))</f>
        <v>87000</v>
      </c>
      <c r="H26" s="361">
        <f t="shared" ca="1" si="12"/>
        <v>0</v>
      </c>
      <c r="I26" s="361">
        <f t="shared" ca="1" si="13"/>
        <v>87000</v>
      </c>
      <c r="J26" s="361">
        <f t="shared" ca="1" si="14"/>
        <v>0</v>
      </c>
      <c r="K26" s="362">
        <f t="shared" ca="1" si="15"/>
        <v>87000</v>
      </c>
    </row>
    <row r="27" spans="1:22">
      <c r="B27" s="707">
        <v>4</v>
      </c>
      <c r="C27" s="709" t="s">
        <v>176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710">
        <f>F21*2</f>
        <v>2</v>
      </c>
      <c r="G27" s="360">
        <f ca="1">IF(ISERROR(OFFSET('HARGA SATUAN'!$I$6,MATCH(RAB!C27,'HARGA SATUAN'!$C$7:$C$1492,0),0)),0,OFFSET('HARGA SATUAN'!$I$6,MATCH(RAB!C27,'HARGA SATUAN'!$C$7:$C$1492,0),0))</f>
        <v>404600</v>
      </c>
      <c r="H27" s="361">
        <f t="shared" ca="1" si="12"/>
        <v>0</v>
      </c>
      <c r="I27" s="361">
        <f t="shared" ca="1" si="13"/>
        <v>809200</v>
      </c>
      <c r="J27" s="361">
        <f t="shared" ca="1" si="14"/>
        <v>0</v>
      </c>
      <c r="K27" s="362">
        <f t="shared" ca="1" si="15"/>
        <v>809200</v>
      </c>
    </row>
    <row r="28" spans="1:22">
      <c r="B28" s="707">
        <v>5</v>
      </c>
      <c r="C28" s="709" t="s">
        <v>184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710">
        <f>F21*3</f>
        <v>3</v>
      </c>
      <c r="G28" s="360">
        <f ca="1">IF(ISERROR(OFFSET('HARGA SATUAN'!$I$6,MATCH(RAB!C28,'HARGA SATUAN'!$C$7:$C$1492,0),0)),0,OFFSET('HARGA SATUAN'!$I$6,MATCH(RAB!C28,'HARGA SATUAN'!$C$7:$C$1492,0),0))</f>
        <v>15900</v>
      </c>
      <c r="H28" s="361">
        <f t="shared" ca="1" si="12"/>
        <v>0</v>
      </c>
      <c r="I28" s="361">
        <f t="shared" ca="1" si="13"/>
        <v>47700</v>
      </c>
      <c r="J28" s="361">
        <f t="shared" ca="1" si="14"/>
        <v>0</v>
      </c>
      <c r="K28" s="362">
        <f t="shared" ca="1" si="15"/>
        <v>47700</v>
      </c>
    </row>
    <row r="29" spans="1:22">
      <c r="B29" s="707">
        <v>6</v>
      </c>
      <c r="C29" s="709" t="s">
        <v>187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710">
        <f>F21*2</f>
        <v>2</v>
      </c>
      <c r="G29" s="360">
        <f ca="1">IF(ISERROR(OFFSET('HARGA SATUAN'!$I$6,MATCH(RAB!C29,'HARGA SATUAN'!$C$7:$C$1492,0),0)),0,OFFSET('HARGA SATUAN'!$I$6,MATCH(RAB!C29,'HARGA SATUAN'!$C$7:$C$1492,0),0))</f>
        <v>17100</v>
      </c>
      <c r="H29" s="361">
        <f t="shared" ca="1" si="12"/>
        <v>0</v>
      </c>
      <c r="I29" s="361">
        <f t="shared" ca="1" si="13"/>
        <v>34200</v>
      </c>
      <c r="J29" s="361">
        <f t="shared" ca="1" si="14"/>
        <v>0</v>
      </c>
      <c r="K29" s="362">
        <f t="shared" ca="1" si="15"/>
        <v>34200</v>
      </c>
    </row>
    <row r="30" spans="1:22">
      <c r="B30" s="707">
        <v>7</v>
      </c>
      <c r="C30" s="109" t="s">
        <v>1569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710">
        <f>F21*4</f>
        <v>4</v>
      </c>
      <c r="G30" s="360">
        <f ca="1">IF(ISERROR(OFFSET('HARGA SATUAN'!$I$6,MATCH(RAB!C30,'HARGA SATUAN'!$C$7:$C$1492,0),0)),0,OFFSET('HARGA SATUAN'!$I$6,MATCH(RAB!C30,'HARGA SATUAN'!$C$7:$C$1492,0),0))</f>
        <v>49000</v>
      </c>
      <c r="H30" s="361">
        <f t="shared" ca="1" si="12"/>
        <v>0</v>
      </c>
      <c r="I30" s="361">
        <f t="shared" ca="1" si="13"/>
        <v>196000</v>
      </c>
      <c r="J30" s="361">
        <f t="shared" ca="1" si="14"/>
        <v>0</v>
      </c>
      <c r="K30" s="362">
        <f t="shared" ca="1" si="15"/>
        <v>196000</v>
      </c>
    </row>
    <row r="31" spans="1:22">
      <c r="B31" s="707">
        <v>8</v>
      </c>
      <c r="C31" s="709" t="s">
        <v>149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Set</v>
      </c>
      <c r="F31" s="710">
        <f>F21*1</f>
        <v>1</v>
      </c>
      <c r="G31" s="360">
        <f ca="1">IF(ISERROR(OFFSET('HARGA SATUAN'!$I$6,MATCH(RAB!C31,'HARGA SATUAN'!$C$7:$C$1492,0),0)),0,OFFSET('HARGA SATUAN'!$I$6,MATCH(RAB!C31,'HARGA SATUAN'!$C$7:$C$1492,0),0))</f>
        <v>67800</v>
      </c>
      <c r="H31" s="361">
        <f t="shared" ca="1" si="12"/>
        <v>0</v>
      </c>
      <c r="I31" s="361">
        <f t="shared" ca="1" si="13"/>
        <v>67800</v>
      </c>
      <c r="J31" s="361">
        <f t="shared" ca="1" si="14"/>
        <v>0</v>
      </c>
      <c r="K31" s="362">
        <f t="shared" ca="1" si="15"/>
        <v>67800</v>
      </c>
    </row>
    <row r="32" spans="1:22">
      <c r="B32" s="707">
        <v>9</v>
      </c>
      <c r="C32" s="709" t="s">
        <v>32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710">
        <f>F21*2</f>
        <v>2</v>
      </c>
      <c r="G32" s="360">
        <f ca="1">IF(ISERROR(OFFSET('HARGA SATUAN'!$I$6,MATCH(RAB!C32,'HARGA SATUAN'!$C$7:$C$1492,0),0)),0,OFFSET('HARGA SATUAN'!$I$6,MATCH(RAB!C32,'HARGA SATUAN'!$C$7:$C$1492,0),0))</f>
        <v>30000</v>
      </c>
      <c r="H32" s="361">
        <f t="shared" ca="1" si="12"/>
        <v>0</v>
      </c>
      <c r="I32" s="361">
        <f t="shared" ca="1" si="13"/>
        <v>60000</v>
      </c>
      <c r="J32" s="361">
        <f t="shared" ca="1" si="14"/>
        <v>0</v>
      </c>
      <c r="K32" s="362">
        <f t="shared" ca="1" si="15"/>
        <v>60000</v>
      </c>
    </row>
    <row r="33" spans="2:11">
      <c r="B33" s="707">
        <v>10</v>
      </c>
      <c r="C33" s="709" t="s">
        <v>781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710">
        <f>F21*1</f>
        <v>1</v>
      </c>
      <c r="G33" s="360">
        <f ca="1">IF(ISERROR(OFFSET('HARGA SATUAN'!$I$6,MATCH(RAB!C33,'HARGA SATUAN'!$C$7:$C$1492,0),0)),0,OFFSET('HARGA SATUAN'!$I$6,MATCH(RAB!C33,'HARGA SATUAN'!$C$7:$C$1492,0),0))</f>
        <v>346400</v>
      </c>
      <c r="H33" s="361">
        <f t="shared" ca="1" si="12"/>
        <v>0</v>
      </c>
      <c r="I33" s="361">
        <f t="shared" ca="1" si="13"/>
        <v>0</v>
      </c>
      <c r="J33" s="361">
        <f t="shared" ca="1" si="14"/>
        <v>346400</v>
      </c>
      <c r="K33" s="362">
        <f t="shared" ca="1" si="15"/>
        <v>346400</v>
      </c>
    </row>
    <row r="34" spans="2:11">
      <c r="B34" s="494"/>
      <c r="C34" s="497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2"/>
        <v>0</v>
      </c>
      <c r="I34" s="361">
        <f t="shared" ca="1" si="13"/>
        <v>0</v>
      </c>
      <c r="J34" s="361">
        <f t="shared" ca="1" si="14"/>
        <v>0</v>
      </c>
      <c r="K34" s="362">
        <f t="shared" ca="1" si="15"/>
        <v>0</v>
      </c>
    </row>
    <row r="35" spans="2:11">
      <c r="B35" s="502" t="s">
        <v>1035</v>
      </c>
      <c r="C35" s="711" t="s">
        <v>1618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v>2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2"/>
        <v>0</v>
      </c>
      <c r="I35" s="361">
        <f t="shared" ca="1" si="13"/>
        <v>0</v>
      </c>
      <c r="J35" s="361">
        <f t="shared" ca="1" si="14"/>
        <v>0</v>
      </c>
      <c r="K35" s="362">
        <f t="shared" ca="1" si="15"/>
        <v>0</v>
      </c>
    </row>
    <row r="36" spans="2:11">
      <c r="B36" s="502">
        <v>1</v>
      </c>
      <c r="C36" s="503" t="s">
        <v>29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F35*1</f>
        <v>2</v>
      </c>
      <c r="G36" s="360">
        <f ca="1">IF(ISERROR(OFFSET('HARGA SATUAN'!$I$6,MATCH(RAB!C36,'HARGA SATUAN'!$C$7:$C$1492,0),0)),0,OFFSET('HARGA SATUAN'!$I$6,MATCH(RAB!C36,'HARGA SATUAN'!$C$7:$C$1492,0),0))</f>
        <v>185200</v>
      </c>
      <c r="H36" s="361">
        <f t="shared" ca="1" si="12"/>
        <v>0</v>
      </c>
      <c r="I36" s="361">
        <f t="shared" ca="1" si="13"/>
        <v>370400</v>
      </c>
      <c r="J36" s="361">
        <f t="shared" ca="1" si="14"/>
        <v>0</v>
      </c>
      <c r="K36" s="362">
        <f t="shared" ca="1" si="15"/>
        <v>370400</v>
      </c>
    </row>
    <row r="37" spans="2:11">
      <c r="B37" s="707">
        <v>2</v>
      </c>
      <c r="C37" s="708" t="s">
        <v>30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F35*1</f>
        <v>2</v>
      </c>
      <c r="G37" s="360">
        <f ca="1">IF(ISERROR(OFFSET('HARGA SATUAN'!$I$6,MATCH(RAB!C37,'HARGA SATUAN'!$C$7:$C$1492,0),0)),0,OFFSET('HARGA SATUAN'!$I$6,MATCH(RAB!C37,'HARGA SATUAN'!$C$7:$C$1492,0),0))</f>
        <v>47459</v>
      </c>
      <c r="H37" s="361">
        <f t="shared" ca="1" si="12"/>
        <v>0</v>
      </c>
      <c r="I37" s="361">
        <f t="shared" ca="1" si="13"/>
        <v>94918</v>
      </c>
      <c r="J37" s="361">
        <f t="shared" ca="1" si="14"/>
        <v>0</v>
      </c>
      <c r="K37" s="362">
        <f t="shared" ca="1" si="15"/>
        <v>94918</v>
      </c>
    </row>
    <row r="38" spans="2:11">
      <c r="B38" s="707">
        <v>3</v>
      </c>
      <c r="C38" s="708" t="s">
        <v>31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F35*1</f>
        <v>2</v>
      </c>
      <c r="G38" s="360">
        <f ca="1">IF(ISERROR(OFFSET('HARGA SATUAN'!$I$6,MATCH(RAB!C38,'HARGA SATUAN'!$C$7:$C$1492,0),0)),0,OFFSET('HARGA SATUAN'!$I$6,MATCH(RAB!C38,'HARGA SATUAN'!$C$7:$C$1492,0),0))</f>
        <v>4880</v>
      </c>
      <c r="H38" s="361">
        <f t="shared" ca="1" si="12"/>
        <v>0</v>
      </c>
      <c r="I38" s="361">
        <f t="shared" ca="1" si="13"/>
        <v>9760</v>
      </c>
      <c r="J38" s="361">
        <f t="shared" ca="1" si="14"/>
        <v>0</v>
      </c>
      <c r="K38" s="362">
        <f t="shared" ca="1" si="15"/>
        <v>9760</v>
      </c>
    </row>
    <row r="39" spans="2:11">
      <c r="B39" s="707">
        <v>4</v>
      </c>
      <c r="C39" s="708" t="s">
        <v>32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F35*10</f>
        <v>20</v>
      </c>
      <c r="G39" s="360">
        <f ca="1">IF(ISERROR(OFFSET('HARGA SATUAN'!$I$6,MATCH(RAB!C39,'HARGA SATUAN'!$C$7:$C$1492,0),0)),0,OFFSET('HARGA SATUAN'!$I$6,MATCH(RAB!C39,'HARGA SATUAN'!$C$7:$C$1492,0),0))</f>
        <v>30000</v>
      </c>
      <c r="H39" s="361">
        <f t="shared" ca="1" si="12"/>
        <v>0</v>
      </c>
      <c r="I39" s="361">
        <f t="shared" ca="1" si="13"/>
        <v>600000</v>
      </c>
      <c r="J39" s="361">
        <f t="shared" ca="1" si="14"/>
        <v>0</v>
      </c>
      <c r="K39" s="362">
        <f t="shared" ca="1" si="15"/>
        <v>600000</v>
      </c>
    </row>
    <row r="40" spans="2:11">
      <c r="B40" s="707">
        <v>5</v>
      </c>
      <c r="C40" s="708" t="s">
        <v>33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F35*2</f>
        <v>4</v>
      </c>
      <c r="G40" s="360">
        <f ca="1">IF(ISERROR(OFFSET('HARGA SATUAN'!$I$6,MATCH(RAB!C40,'HARGA SATUAN'!$C$7:$C$1492,0),0)),0,OFFSET('HARGA SATUAN'!$I$6,MATCH(RAB!C40,'HARGA SATUAN'!$C$7:$C$1492,0),0))</f>
        <v>9500</v>
      </c>
      <c r="H40" s="361">
        <f t="shared" ca="1" si="12"/>
        <v>0</v>
      </c>
      <c r="I40" s="361">
        <f t="shared" ca="1" si="13"/>
        <v>38000</v>
      </c>
      <c r="J40" s="361">
        <f t="shared" ca="1" si="14"/>
        <v>0</v>
      </c>
      <c r="K40" s="362">
        <f t="shared" ca="1" si="15"/>
        <v>38000</v>
      </c>
    </row>
    <row r="41" spans="2:11">
      <c r="B41" s="707">
        <v>6</v>
      </c>
      <c r="C41" s="708" t="s">
        <v>34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F35*5.5</f>
        <v>11</v>
      </c>
      <c r="G41" s="360">
        <f ca="1">IF(ISERROR(OFFSET('HARGA SATUAN'!$I$6,MATCH(RAB!C41,'HARGA SATUAN'!$C$7:$C$1492,0),0)),0,OFFSET('HARGA SATUAN'!$I$6,MATCH(RAB!C41,'HARGA SATUAN'!$C$7:$C$1492,0),0))</f>
        <v>6100</v>
      </c>
      <c r="H41" s="361">
        <f t="shared" ca="1" si="12"/>
        <v>0</v>
      </c>
      <c r="I41" s="361">
        <f t="shared" ca="1" si="13"/>
        <v>67100</v>
      </c>
      <c r="J41" s="361">
        <f t="shared" ca="1" si="14"/>
        <v>0</v>
      </c>
      <c r="K41" s="362">
        <f t="shared" ca="1" si="15"/>
        <v>67100</v>
      </c>
    </row>
    <row r="42" spans="2:11">
      <c r="B42" s="707">
        <v>7</v>
      </c>
      <c r="C42" s="708" t="s">
        <v>35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F35*6</f>
        <v>12</v>
      </c>
      <c r="G42" s="360">
        <f ca="1">IF(ISERROR(OFFSET('HARGA SATUAN'!$I$6,MATCH(RAB!C42,'HARGA SATUAN'!$C$7:$C$1492,0),0)),0,OFFSET('HARGA SATUAN'!$I$6,MATCH(RAB!C42,'HARGA SATUAN'!$C$7:$C$1492,0),0))</f>
        <v>2300</v>
      </c>
      <c r="H42" s="361">
        <f t="shared" ca="1" si="12"/>
        <v>0</v>
      </c>
      <c r="I42" s="361">
        <f t="shared" ca="1" si="13"/>
        <v>27600</v>
      </c>
      <c r="J42" s="361">
        <f t="shared" ca="1" si="14"/>
        <v>0</v>
      </c>
      <c r="K42" s="362">
        <f t="shared" ca="1" si="15"/>
        <v>27600</v>
      </c>
    </row>
    <row r="43" spans="2:11">
      <c r="B43" s="707">
        <v>8</v>
      </c>
      <c r="C43" s="708" t="s">
        <v>1643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501">
        <f>F35*4.8</f>
        <v>9.6</v>
      </c>
      <c r="G43" s="360">
        <f ca="1">IF(ISERROR(OFFSET('HARGA SATUAN'!$I$6,MATCH(RAB!C43,'HARGA SATUAN'!$C$7:$C$1492,0),0)),0,OFFSET('HARGA SATUAN'!$I$6,MATCH(RAB!C43,'HARGA SATUAN'!$C$7:$C$1492,0),0))</f>
        <v>23310</v>
      </c>
      <c r="H43" s="361">
        <f t="shared" ca="1" si="12"/>
        <v>0</v>
      </c>
      <c r="I43" s="361">
        <f t="shared" ca="1" si="13"/>
        <v>223776</v>
      </c>
      <c r="J43" s="361">
        <f t="shared" ca="1" si="14"/>
        <v>0</v>
      </c>
      <c r="K43" s="362">
        <f t="shared" ca="1" si="15"/>
        <v>223776</v>
      </c>
    </row>
    <row r="44" spans="2:11">
      <c r="B44" s="707">
        <v>9</v>
      </c>
      <c r="C44" s="708" t="s">
        <v>736</v>
      </c>
      <c r="D44" s="358" t="str">
        <f ca="1">IF(ISERROR(OFFSET('HARGA SATUAN'!$D$6,MATCH(RAB!C44,'HARGA SATUAN'!$C$7:$C$1492,0),0)),"",OFFSET('HARGA SATUAN'!$D$6,MATCH(RAB!C44,'HARGA SATUAN'!$C$7:$C$1492,0),0))</f>
        <v>JASA</v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501">
        <f>F35*1</f>
        <v>2</v>
      </c>
      <c r="G44" s="360">
        <f ca="1">IF(ISERROR(OFFSET('HARGA SATUAN'!$I$6,MATCH(RAB!C44,'HARGA SATUAN'!$C$7:$C$1492,0),0)),0,OFFSET('HARGA SATUAN'!$I$6,MATCH(RAB!C44,'HARGA SATUAN'!$C$7:$C$1492,0),0))</f>
        <v>65400</v>
      </c>
      <c r="H44" s="361">
        <f t="shared" ca="1" si="12"/>
        <v>0</v>
      </c>
      <c r="I44" s="361">
        <f t="shared" ca="1" si="13"/>
        <v>0</v>
      </c>
      <c r="J44" s="361">
        <f t="shared" ca="1" si="14"/>
        <v>130800</v>
      </c>
      <c r="K44" s="362">
        <f t="shared" ca="1" si="15"/>
        <v>130800</v>
      </c>
    </row>
    <row r="45" spans="2:11">
      <c r="B45" s="494"/>
      <c r="C45" s="497"/>
      <c r="D45" s="358" t="str">
        <f ca="1">IF(ISERROR(OFFSET('HARGA SATUAN'!$D$6,MATCH(RAB!C45,'HARGA SATUAN'!$C$7:$C$1492,0),0)),"",OFFSET('HARGA SATUAN'!$D$6,MATCH(RAB!C45,'HARGA SATUAN'!$C$7:$C$1492,0),0))</f>
        <v/>
      </c>
      <c r="E45" s="359" t="str">
        <f ca="1">IF(B45="+","Unit",IF(ISERROR(OFFSET('HARGA SATUAN'!$E$6,MATCH(RAB!C45,'HARGA SATUAN'!$C$7:$C$1492,0),0)),"",OFFSET('HARGA SATUAN'!$E$6,MATCH(RAB!C45,'HARGA SATUAN'!$C$7:$C$1492,0),0)))</f>
        <v/>
      </c>
      <c r="F45" s="368"/>
      <c r="G45" s="360">
        <f ca="1">IF(ISERROR(OFFSET('HARGA SATUAN'!$I$6,MATCH(RAB!C45,'HARGA SATUAN'!$C$7:$C$1492,0),0)),0,OFFSET('HARGA SATUAN'!$I$6,MATCH(RAB!C45,'HARGA SATUAN'!$C$7:$C$1492,0),0))</f>
        <v>0</v>
      </c>
      <c r="H45" s="361">
        <f t="shared" ca="1" si="12"/>
        <v>0</v>
      </c>
      <c r="I45" s="361">
        <f t="shared" ca="1" si="13"/>
        <v>0</v>
      </c>
      <c r="J45" s="361">
        <f t="shared" ca="1" si="14"/>
        <v>0</v>
      </c>
      <c r="K45" s="362">
        <f t="shared" ca="1" si="15"/>
        <v>0</v>
      </c>
    </row>
    <row r="46" spans="2:11">
      <c r="B46" s="707" t="s">
        <v>1035</v>
      </c>
      <c r="C46" s="708" t="s">
        <v>1644</v>
      </c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712">
        <v>1</v>
      </c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ref="H46:H59" ca="1" si="16">IF(OR(D46="MDU",D46="MDU-KD"),(IF($O$3="RAB NON MDU","PLN KD",G46*F46)),0)</f>
        <v>0</v>
      </c>
      <c r="I46" s="361">
        <f t="shared" ref="I46:I59" ca="1" si="17">IF(D46="HDW",G46*F46,0)</f>
        <v>0</v>
      </c>
      <c r="J46" s="361">
        <f t="shared" ref="J46:J59" ca="1" si="18">IF(D46="JASA",G46*F46,0)</f>
        <v>0</v>
      </c>
      <c r="K46" s="362">
        <f t="shared" ref="K46:K59" ca="1" si="19">SUM(H46:J46)</f>
        <v>0</v>
      </c>
    </row>
    <row r="47" spans="2:11">
      <c r="B47" s="707">
        <v>1</v>
      </c>
      <c r="C47" s="708" t="s">
        <v>535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712">
        <f>F46*1</f>
        <v>1</v>
      </c>
      <c r="G47" s="360">
        <f ca="1">IF(ISERROR(OFFSET('HARGA SATUAN'!$I$6,MATCH(RAB!C47,'HARGA SATUAN'!$C$7:$C$1492,0),0)),0,OFFSET('HARGA SATUAN'!$I$6,MATCH(RAB!C47,'HARGA SATUAN'!$C$7:$C$1492,0),0))</f>
        <v>848250</v>
      </c>
      <c r="H47" s="361">
        <f t="shared" ca="1" si="16"/>
        <v>848250</v>
      </c>
      <c r="I47" s="361">
        <f t="shared" ca="1" si="17"/>
        <v>0</v>
      </c>
      <c r="J47" s="361">
        <f t="shared" ca="1" si="18"/>
        <v>0</v>
      </c>
      <c r="K47" s="362">
        <f t="shared" ca="1" si="19"/>
        <v>848250</v>
      </c>
    </row>
    <row r="48" spans="2:11">
      <c r="B48" s="707">
        <v>2</v>
      </c>
      <c r="C48" s="109" t="s">
        <v>62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712">
        <f>F46*1</f>
        <v>1</v>
      </c>
      <c r="G48" s="360">
        <f ca="1">IF(ISERROR(OFFSET('HARGA SATUAN'!$I$6,MATCH(RAB!C48,'HARGA SATUAN'!$C$7:$C$1492,0),0)),0,OFFSET('HARGA SATUAN'!$I$6,MATCH(RAB!C48,'HARGA SATUAN'!$C$7:$C$1492,0),0))</f>
        <v>32500</v>
      </c>
      <c r="H48" s="361">
        <f t="shared" ca="1" si="16"/>
        <v>0</v>
      </c>
      <c r="I48" s="361">
        <f t="shared" ca="1" si="17"/>
        <v>32500</v>
      </c>
      <c r="J48" s="361">
        <f t="shared" ca="1" si="18"/>
        <v>0</v>
      </c>
      <c r="K48" s="362">
        <f t="shared" ca="1" si="19"/>
        <v>32500</v>
      </c>
    </row>
    <row r="49" spans="2:11">
      <c r="B49" s="707">
        <v>3</v>
      </c>
      <c r="C49" s="708" t="s">
        <v>187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712">
        <f>F46*1</f>
        <v>1</v>
      </c>
      <c r="G49" s="360">
        <f ca="1">IF(ISERROR(OFFSET('HARGA SATUAN'!$I$6,MATCH(RAB!C49,'HARGA SATUAN'!$C$7:$C$1492,0),0)),0,OFFSET('HARGA SATUAN'!$I$6,MATCH(RAB!C49,'HARGA SATUAN'!$C$7:$C$1492,0),0))</f>
        <v>17100</v>
      </c>
      <c r="H49" s="361">
        <f t="shared" ca="1" si="16"/>
        <v>0</v>
      </c>
      <c r="I49" s="361">
        <f t="shared" ca="1" si="17"/>
        <v>17100</v>
      </c>
      <c r="J49" s="361">
        <f t="shared" ca="1" si="18"/>
        <v>0</v>
      </c>
      <c r="K49" s="362">
        <f t="shared" ca="1" si="19"/>
        <v>17100</v>
      </c>
    </row>
    <row r="50" spans="2:11">
      <c r="B50" s="707">
        <v>4</v>
      </c>
      <c r="C50" s="109" t="s">
        <v>174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712">
        <f>F46*1</f>
        <v>1</v>
      </c>
      <c r="G50" s="360">
        <f ca="1">IF(ISERROR(OFFSET('HARGA SATUAN'!$I$6,MATCH(RAB!C50,'HARGA SATUAN'!$C$7:$C$1492,0),0)),0,OFFSET('HARGA SATUAN'!$I$6,MATCH(RAB!C50,'HARGA SATUAN'!$C$7:$C$1492,0),0))</f>
        <v>67700</v>
      </c>
      <c r="H50" s="361">
        <f t="shared" ca="1" si="16"/>
        <v>0</v>
      </c>
      <c r="I50" s="361">
        <f t="shared" ca="1" si="17"/>
        <v>67700</v>
      </c>
      <c r="J50" s="361">
        <f t="shared" ca="1" si="18"/>
        <v>0</v>
      </c>
      <c r="K50" s="362">
        <f t="shared" ca="1" si="19"/>
        <v>67700</v>
      </c>
    </row>
    <row r="51" spans="2:11">
      <c r="B51" s="707">
        <v>5</v>
      </c>
      <c r="C51" s="708" t="s">
        <v>747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712">
        <f>F46*1</f>
        <v>1</v>
      </c>
      <c r="G51" s="360">
        <f ca="1">IF(ISERROR(OFFSET('HARGA SATUAN'!$I$6,MATCH(RAB!C51,'HARGA SATUAN'!$C$7:$C$1492,0),0)),0,OFFSET('HARGA SATUAN'!$I$6,MATCH(RAB!C51,'HARGA SATUAN'!$C$7:$C$1492,0),0))</f>
        <v>58400</v>
      </c>
      <c r="H51" s="361">
        <f t="shared" ca="1" si="16"/>
        <v>0</v>
      </c>
      <c r="I51" s="361">
        <f t="shared" ca="1" si="17"/>
        <v>0</v>
      </c>
      <c r="J51" s="361">
        <f t="shared" ca="1" si="18"/>
        <v>58400</v>
      </c>
      <c r="K51" s="362">
        <f t="shared" ca="1" si="19"/>
        <v>58400</v>
      </c>
    </row>
    <row r="52" spans="2:11">
      <c r="B52" s="494"/>
      <c r="C52" s="497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68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6"/>
        <v>0</v>
      </c>
      <c r="I52" s="361">
        <f t="shared" ca="1" si="17"/>
        <v>0</v>
      </c>
      <c r="J52" s="361">
        <f t="shared" ca="1" si="18"/>
        <v>0</v>
      </c>
      <c r="K52" s="362">
        <f t="shared" ca="1" si="19"/>
        <v>0</v>
      </c>
    </row>
    <row r="53" spans="2:11">
      <c r="B53" s="494"/>
      <c r="C53" s="497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6"/>
        <v>0</v>
      </c>
      <c r="I53" s="361">
        <f t="shared" ca="1" si="17"/>
        <v>0</v>
      </c>
      <c r="J53" s="361">
        <f t="shared" ca="1" si="18"/>
        <v>0</v>
      </c>
      <c r="K53" s="362">
        <f t="shared" ca="1" si="19"/>
        <v>0</v>
      </c>
    </row>
    <row r="54" spans="2:11">
      <c r="B54" s="494"/>
      <c r="C54" s="497"/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368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495" t="s">
        <v>1615</v>
      </c>
      <c r="C55" s="500" t="s">
        <v>1619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368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16"/>
        <v>0</v>
      </c>
      <c r="I55" s="361">
        <f t="shared" ca="1" si="17"/>
        <v>0</v>
      </c>
      <c r="J55" s="361">
        <f t="shared" ca="1" si="18"/>
        <v>0</v>
      </c>
      <c r="K55" s="362">
        <f t="shared" ca="1" si="19"/>
        <v>0</v>
      </c>
    </row>
    <row r="56" spans="2:11">
      <c r="B56" s="495"/>
      <c r="C56" s="496"/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/>
      </c>
      <c r="F56" s="368"/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16"/>
        <v>0</v>
      </c>
      <c r="I56" s="361">
        <f t="shared" ca="1" si="17"/>
        <v>0</v>
      </c>
      <c r="J56" s="361">
        <f t="shared" ca="1" si="18"/>
        <v>0</v>
      </c>
      <c r="K56" s="362">
        <f t="shared" ca="1" si="19"/>
        <v>0</v>
      </c>
    </row>
    <row r="57" spans="2:11">
      <c r="B57" s="366" t="s">
        <v>22</v>
      </c>
      <c r="C57" s="367" t="s">
        <v>1617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368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16"/>
        <v>0</v>
      </c>
      <c r="I57" s="361">
        <f t="shared" ca="1" si="17"/>
        <v>0</v>
      </c>
      <c r="J57" s="361">
        <f t="shared" ca="1" si="18"/>
        <v>0</v>
      </c>
      <c r="K57" s="362">
        <f t="shared" ca="1" si="19"/>
        <v>0</v>
      </c>
    </row>
    <row r="58" spans="2:11">
      <c r="B58" s="374"/>
      <c r="C58" s="373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368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16"/>
        <v>0</v>
      </c>
      <c r="I58" s="361">
        <f t="shared" ca="1" si="17"/>
        <v>0</v>
      </c>
      <c r="J58" s="361">
        <f t="shared" ca="1" si="18"/>
        <v>0</v>
      </c>
      <c r="K58" s="362">
        <f t="shared" ca="1" si="19"/>
        <v>0</v>
      </c>
    </row>
    <row r="59" spans="2:11">
      <c r="B59" s="375"/>
      <c r="C59" s="376" t="s">
        <v>475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6"/>
        <v>0</v>
      </c>
      <c r="I59" s="361">
        <f t="shared" ca="1" si="17"/>
        <v>0</v>
      </c>
      <c r="J59" s="361">
        <f t="shared" ca="1" si="18"/>
        <v>0</v>
      </c>
      <c r="K59" s="362">
        <f t="shared" ca="1" si="19"/>
        <v>0</v>
      </c>
    </row>
    <row r="60" spans="2:11">
      <c r="B60" s="378">
        <v>1</v>
      </c>
      <c r="C60" s="379" t="s">
        <v>1091</v>
      </c>
      <c r="D60" s="380" t="str">
        <f ca="1">IF(ISERROR(OFFSET('HARGA SATUAN'!$D$6,MATCH(RAB!C60,'HARGA SATUAN'!$C$7:$C$1492,0),0)),"",OFFSET('HARGA SATUAN'!$D$6,MATCH(RAB!C60,'HARGA SATUAN'!$C$7:$C$1492,0),0))</f>
        <v>JASA</v>
      </c>
      <c r="E60" s="381" t="str">
        <f ca="1">IF(ISERROR(OFFSET('HARGA SATUAN'!$E$6,MATCH(RAB!C60,'HARGA SATUAN'!$C$7:$C$1492,0),0)),"",OFFSET('HARGA SATUAN'!$E$6,MATCH(RAB!C60,'HARGA SATUAN'!$C$7:$C$1492,0),0))</f>
        <v>Lot</v>
      </c>
      <c r="F60" s="382">
        <v>1</v>
      </c>
      <c r="G60" s="383">
        <f ca="1">IF(ISERROR(OFFSET('HARGA SATUAN'!$I$6,MATCH(RAB!C60,'HARGA SATUAN'!$C$7:$C$1492,0),0)),0,OFFSET('HARGA SATUAN'!$I$6,MATCH(RAB!C60,'HARGA SATUAN'!$C$7:$C$1492,0),0))</f>
        <v>2.5000000000000001E-2</v>
      </c>
      <c r="H60" s="384"/>
      <c r="I60" s="384"/>
      <c r="J60" s="384">
        <f ca="1">SUM(K15:K17)*G60</f>
        <v>0</v>
      </c>
      <c r="K60" s="385">
        <f ca="1">SUM(H60:J60)</f>
        <v>0</v>
      </c>
    </row>
    <row r="61" spans="2:11">
      <c r="B61" s="386"/>
      <c r="C61" s="38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IF(ISERROR(OFFSET('HARGA SATUAN'!$E$6,MATCH(RAB!C61,'HARGA SATUAN'!$C$7:$C$1492,0),0)),"",OFFSET('HARGA SATUAN'!$E$6,MATCH(RAB!C61,'HARGA SATUAN'!$C$7:$C$1492,0),0))</f>
        <v/>
      </c>
      <c r="F61" s="377"/>
      <c r="G61" s="360" t="str">
        <f ca="1">IF(ISERROR(OFFSET('HARGA SATUAN'!$I$6,MATCH(RAB!C61,'HARGA SATUAN'!$C$7:$C$1492,0),0)),"",OFFSET('HARGA SATUAN'!$I$6,MATCH(RAB!C61,'HARGA SATUAN'!$C$7:$C$1492,0),0))</f>
        <v/>
      </c>
      <c r="H61" s="361">
        <f ca="1">IF(OR(D61="MDU",D61="MDU-KD"),IF(G61="PLN",0,G61*F61),0)</f>
        <v>0</v>
      </c>
      <c r="I61" s="361">
        <f ca="1">IF(D61="HDW",IF(G61="PLN",0,G61*F61),0)</f>
        <v>0</v>
      </c>
      <c r="J61" s="361">
        <f ca="1">IF(D61="JASA",IF(G61="PLN",0,G61*F61),0)</f>
        <v>0</v>
      </c>
      <c r="K61" s="362">
        <f ca="1">SUM(H61:J61)</f>
        <v>0</v>
      </c>
    </row>
    <row r="62" spans="2:11" ht="15.75" thickBot="1">
      <c r="B62" s="388"/>
      <c r="C62" s="389"/>
      <c r="D62" s="390"/>
      <c r="E62" s="391"/>
      <c r="F62" s="391"/>
      <c r="G62" s="391"/>
      <c r="H62" s="392"/>
      <c r="I62" s="392"/>
      <c r="J62" s="392"/>
      <c r="K62" s="393"/>
    </row>
    <row r="63" spans="2:11">
      <c r="B63" s="394"/>
      <c r="C63" s="605" t="s">
        <v>1008</v>
      </c>
      <c r="D63" s="605"/>
      <c r="E63" s="605"/>
      <c r="F63" s="605"/>
      <c r="G63" s="395" t="s">
        <v>9</v>
      </c>
      <c r="H63" s="396">
        <f ca="1">SUM(H14:H61)</f>
        <v>28828650</v>
      </c>
      <c r="I63" s="396">
        <f ca="1">SUM(I14:I61)</f>
        <v>2850754</v>
      </c>
      <c r="J63" s="396">
        <f ca="1">SUM(J14:J61)</f>
        <v>535600</v>
      </c>
      <c r="K63" s="396">
        <f ca="1">SUM(K14:K61)</f>
        <v>32215004</v>
      </c>
    </row>
    <row r="64" spans="2:11">
      <c r="B64" s="398"/>
      <c r="C64" s="621" t="s">
        <v>1457</v>
      </c>
      <c r="D64" s="621"/>
      <c r="E64" s="621"/>
      <c r="F64" s="621"/>
      <c r="G64" s="399" t="s">
        <v>9</v>
      </c>
      <c r="H64" s="400">
        <f ca="1">H63*0.11</f>
        <v>3171151.5</v>
      </c>
      <c r="I64" s="400">
        <f ca="1">I63*0.11</f>
        <v>313582.94</v>
      </c>
      <c r="J64" s="400">
        <f ca="1">J63*0.11</f>
        <v>58916</v>
      </c>
      <c r="K64" s="400">
        <f ca="1">K63*0.11</f>
        <v>3543650.44</v>
      </c>
    </row>
    <row r="65" spans="2:13" ht="15.75" thickBot="1">
      <c r="B65" s="398"/>
      <c r="C65" s="619" t="s">
        <v>463</v>
      </c>
      <c r="D65" s="619"/>
      <c r="E65" s="619"/>
      <c r="F65" s="619"/>
      <c r="G65" s="401" t="s">
        <v>9</v>
      </c>
      <c r="H65" s="402">
        <f ca="1">SUM(H63:H64)</f>
        <v>31999801.5</v>
      </c>
      <c r="I65" s="402">
        <f ca="1">SUM(I63:I64)</f>
        <v>3164336.94</v>
      </c>
      <c r="J65" s="401">
        <f ca="1">SUM(J63:J64)</f>
        <v>594516</v>
      </c>
      <c r="K65" s="401">
        <f ca="1">SUM(K63:K64)</f>
        <v>35758654.439999998</v>
      </c>
      <c r="M65" s="484"/>
    </row>
    <row r="66" spans="2:13">
      <c r="B66" s="622" t="str">
        <f ca="1">"Terbilang : "&amp;PROPER(IF(K65=0,"nol",IF(K65&lt;0,"minus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IF(--MID(TEXT(ABS(K65),"000000000000000"),1,3)=0,"",MID(TEXT(ABS(K65),"000000000000000"),1,1)&amp;" ratus "&amp;MID(TEXT(ABS(K65),"000000000000000"),2,1)&amp;" puluh "&amp;MID(TEXT(ABS(K65),"000000000000000"),3,1)&amp;" trilyun ")&amp; IF(--MID(TEXT(ABS(K65),"000000000000000"),4,3)=0,"",MID(TEXT(ABS(K65),"000000000000000"),4,1)&amp;" ratus "&amp;MID(TEXT(ABS(K65),"000000000000000"),5,1)&amp;" puluh "&amp;MID(TEXT(ABS(K65),"000000000000000"),6,1)&amp;" milyar ")&amp; IF(--MID(TEXT(ABS(K65),"000000000000000"),7,3)=0,"",MID(TEXT(ABS(K65),"000000000000000"),7,1)&amp;" ratus "&amp;MID(TEXT(ABS(K65),"000000000000000"),8,1)&amp;" puluh "&amp;MID(TEXT(ABS(K65),"000000000000000"),9,1)&amp;" juta ")&amp; IF(--MID(TEXT(ABS(K65),"000000000000000"),10,3)=0,"",IF(--MID(TEXT(ABS(K65),"000000000000000"),10,3)=1,"*",MID(TEXT(ABS(K65),"000000000000000"),10,1)&amp;" ratus "&amp;MID(TEXT(ABS(K65),"000000000000000"),11,1)&amp;" puluh ")&amp;MID(TEXT(ABS(K65),"000000000000000"),12,1)&amp;" ribu ")&amp; IF(--MID(TEXT(ABS(K65),"000000000000000"),13,3)=0,"",MID(TEXT(ABS(K65),"000000000000000"),13,1)&amp;" ratus "&amp;MID(TEXT(ABS(K65),"000000000000000"),14,1)&amp;" puluh "&amp;MID(TEXT(ABS(K65),"000000000000000"),15,1)),1,"satu"),2,"dua"),3,"tiga"),4,"empat"),5,"lima"),6,"enam"),7,"tujuh"),8,"delapan"),9,"sembilan"),"0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Lima Juta Tujuh Ratus Lima Puluh Delapan Ribu Enam Ratus Lima Puluh Empat Rupiah</v>
      </c>
      <c r="C66" s="623"/>
      <c r="D66" s="623"/>
      <c r="E66" s="623"/>
      <c r="F66" s="623"/>
      <c r="G66" s="623"/>
      <c r="H66" s="623"/>
      <c r="I66" s="623"/>
      <c r="J66" s="623"/>
      <c r="K66" s="624"/>
    </row>
    <row r="67" spans="2:13">
      <c r="B67" s="625"/>
      <c r="C67" s="626"/>
      <c r="D67" s="626"/>
      <c r="E67" s="626"/>
      <c r="F67" s="626"/>
      <c r="G67" s="626"/>
      <c r="H67" s="626"/>
      <c r="I67" s="626"/>
      <c r="J67" s="626"/>
      <c r="K67" s="627"/>
    </row>
    <row r="68" spans="2:13" ht="15.75" thickBot="1">
      <c r="B68" s="403" t="str">
        <f>"Harga yang dipakai adalah "&amp;'HARGA SATUAN'!I5&amp;""</f>
        <v>Harga yang dipakai adalah RAB HSS 2023</v>
      </c>
      <c r="C68" s="404"/>
      <c r="D68" s="405"/>
      <c r="E68" s="405"/>
      <c r="F68" s="405"/>
      <c r="G68" s="406"/>
      <c r="H68" s="406"/>
      <c r="I68" s="406"/>
      <c r="J68" s="406"/>
      <c r="K68" s="407"/>
    </row>
    <row r="69" spans="2:13">
      <c r="C69" s="408"/>
      <c r="E69" s="410"/>
      <c r="F69" s="410"/>
      <c r="G69" s="410"/>
    </row>
    <row r="70" spans="2:13">
      <c r="C70" s="337"/>
      <c r="E70" s="410"/>
      <c r="F70" s="410"/>
      <c r="G70" s="410"/>
      <c r="H70" s="628"/>
      <c r="I70" s="628"/>
      <c r="J70" s="629"/>
      <c r="K70" s="629"/>
    </row>
    <row r="71" spans="2:13">
      <c r="C71" s="337"/>
      <c r="E71" s="410"/>
      <c r="F71" s="410"/>
      <c r="G71" s="410"/>
      <c r="H71" s="411"/>
      <c r="I71" s="618" t="s">
        <v>1610</v>
      </c>
      <c r="J71" s="618"/>
      <c r="K71" s="618"/>
    </row>
    <row r="72" spans="2:13">
      <c r="C72" s="337"/>
      <c r="E72" s="410"/>
      <c r="F72" s="410"/>
      <c r="G72" s="410"/>
      <c r="H72" s="411"/>
      <c r="I72" s="618" t="s">
        <v>1546</v>
      </c>
      <c r="J72" s="618"/>
      <c r="K72" s="618"/>
    </row>
    <row r="73" spans="2:13">
      <c r="C73" s="337"/>
      <c r="E73" s="410"/>
      <c r="F73" s="410"/>
      <c r="G73" s="410"/>
      <c r="H73" s="412"/>
      <c r="I73" s="413"/>
      <c r="J73" s="413"/>
      <c r="K73" s="413"/>
    </row>
    <row r="74" spans="2:13">
      <c r="C74" s="337"/>
      <c r="E74" s="410"/>
      <c r="F74" s="410"/>
      <c r="G74" s="410"/>
      <c r="H74" s="412"/>
      <c r="I74" s="412"/>
      <c r="J74" s="412"/>
      <c r="K74" s="412"/>
    </row>
    <row r="75" spans="2:13">
      <c r="C75" s="337"/>
      <c r="E75" s="410"/>
      <c r="F75" s="410"/>
      <c r="G75" s="410"/>
      <c r="H75" s="412"/>
      <c r="I75" s="412"/>
      <c r="J75" s="412"/>
      <c r="K75" s="412"/>
    </row>
    <row r="76" spans="2:13">
      <c r="C76" s="337"/>
      <c r="E76" s="410"/>
      <c r="F76" s="410"/>
      <c r="G76" s="410"/>
      <c r="H76" s="412"/>
      <c r="I76" s="412"/>
      <c r="J76" s="412"/>
      <c r="K76" s="412"/>
    </row>
    <row r="77" spans="2:13">
      <c r="C77" s="337"/>
      <c r="E77" s="410"/>
      <c r="F77" s="410"/>
      <c r="G77" s="410"/>
      <c r="H77" s="414"/>
      <c r="I77" s="618" t="s">
        <v>1547</v>
      </c>
      <c r="J77" s="618"/>
      <c r="K77" s="618"/>
    </row>
    <row r="78" spans="2:13">
      <c r="C78" s="408"/>
      <c r="E78" s="410"/>
      <c r="F78" s="410"/>
      <c r="G78" s="410"/>
      <c r="H78" s="412"/>
      <c r="I78" s="412"/>
      <c r="J78" s="412"/>
      <c r="K78" s="412"/>
    </row>
    <row r="79" spans="2:13">
      <c r="C79" s="408"/>
      <c r="E79" s="410"/>
      <c r="F79" s="410"/>
      <c r="G79" s="410"/>
      <c r="H79" s="412"/>
      <c r="I79" s="412"/>
      <c r="J79" s="412"/>
      <c r="K79" s="412"/>
    </row>
    <row r="80" spans="2:13">
      <c r="C80" s="408"/>
      <c r="E80" s="410"/>
      <c r="F80" s="410"/>
      <c r="G80" s="410"/>
      <c r="H80" s="412"/>
      <c r="I80" s="412"/>
      <c r="J80" s="412"/>
      <c r="K80" s="412"/>
    </row>
  </sheetData>
  <sheetProtection sort="0" autoFilter="0"/>
  <protectedRanges>
    <protectedRange sqref="B58 B56" name="Range1_1"/>
    <protectedRange sqref="F14:F34 F45 F52:F59" name="Range1_1_2_2"/>
    <protectedRange sqref="C58 C56" name="Range1_1_1"/>
    <protectedRange sqref="B20:C24 B26:C29 B25 B31:C34 B30 B45:C45 B52:C55" name="Range1_6_2"/>
    <protectedRange sqref="C25" name="Range1_1_3_1"/>
    <protectedRange sqref="C30" name="Range1_1_3_2"/>
  </protectedRanges>
  <mergeCells count="22">
    <mergeCell ref="I72:K72"/>
    <mergeCell ref="I77:K77"/>
    <mergeCell ref="C65:F65"/>
    <mergeCell ref="G6:K6"/>
    <mergeCell ref="I71:K71"/>
    <mergeCell ref="C64:F64"/>
    <mergeCell ref="B66:K67"/>
    <mergeCell ref="H70:K70"/>
    <mergeCell ref="H11:K11"/>
    <mergeCell ref="H12:H13"/>
    <mergeCell ref="J12:J13"/>
    <mergeCell ref="K12:K13"/>
    <mergeCell ref="O3:P4"/>
    <mergeCell ref="B4:K4"/>
    <mergeCell ref="C63:F63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5 C17">
    <cfRule type="cellIs" dxfId="12" priority="506" operator="equal">
      <formula>0</formula>
    </cfRule>
  </conditionalFormatting>
  <conditionalFormatting sqref="C19">
    <cfRule type="cellIs" dxfId="11" priority="131" operator="equal">
      <formula>0</formula>
    </cfRule>
  </conditionalFormatting>
  <conditionalFormatting sqref="C57">
    <cfRule type="cellIs" dxfId="10" priority="129" operator="equal">
      <formula>0</formula>
    </cfRule>
  </conditionalFormatting>
  <conditionalFormatting sqref="E1:E3 G1:G13 E5:E13 H12:I12 O13 E60:G60 H60:K62 E61:H61 E62:F62 S14:V17 E14:K20 E34:K34 E21:E33 G21:K33 E35:E44 G35:K44 E45:K45 E52:K59 E46:E51 G46:K51">
    <cfRule type="cellIs" dxfId="9" priority="1086" stopIfTrue="1" operator="equal">
      <formula>0</formula>
    </cfRule>
  </conditionalFormatting>
  <conditionalFormatting sqref="G61:G65527 E66:E65527">
    <cfRule type="cellIs" dxfId="8" priority="220" stopIfTrue="1" operator="equal">
      <formula>0</formula>
    </cfRule>
  </conditionalFormatting>
  <conditionalFormatting sqref="F22:F33">
    <cfRule type="cellIs" dxfId="7" priority="8" stopIfTrue="1" operator="equal">
      <formula>0</formula>
    </cfRule>
  </conditionalFormatting>
  <conditionalFormatting sqref="C25">
    <cfRule type="cellIs" dxfId="6" priority="7" operator="equal">
      <formula>0</formula>
    </cfRule>
  </conditionalFormatting>
  <conditionalFormatting sqref="C30">
    <cfRule type="cellIs" dxfId="5" priority="6" operator="equal">
      <formula>0</formula>
    </cfRule>
  </conditionalFormatting>
  <conditionalFormatting sqref="F35:F44">
    <cfRule type="cellIs" dxfId="4" priority="5" stopIfTrue="1" operator="equal">
      <formula>0</formula>
    </cfRule>
  </conditionalFormatting>
  <conditionalFormatting sqref="C48">
    <cfRule type="cellIs" dxfId="3" priority="3" operator="equal">
      <formula>0</formula>
    </cfRule>
  </conditionalFormatting>
  <conditionalFormatting sqref="C50">
    <cfRule type="cellIs" dxfId="2" priority="4" operator="equal">
      <formula>0</formula>
    </cfRule>
  </conditionalFormatting>
  <conditionalFormatting sqref="F46:F49 F51">
    <cfRule type="cellIs" dxfId="1" priority="2" stopIfTrue="1" operator="equal">
      <formula>0</formula>
    </cfRule>
  </conditionalFormatting>
  <conditionalFormatting sqref="F5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2:F33 C23:C24 C31:C33 F35:F44 H14:K62 F46:F5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6"/>
  <sheetViews>
    <sheetView showGridLines="0" tabSelected="1" view="pageBreakPreview" topLeftCell="A11" zoomScale="85" zoomScaleNormal="115" zoomScaleSheetLayoutView="85" workbookViewId="0">
      <selection activeCell="T39" sqref="T3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2" t="s">
        <v>1439</v>
      </c>
      <c r="X2" s="633"/>
      <c r="Y2" s="633"/>
      <c r="Z2" s="633"/>
      <c r="AA2" s="633"/>
      <c r="AB2" s="633"/>
      <c r="AC2" s="633"/>
      <c r="AD2" s="634"/>
    </row>
    <row r="3" spans="3:30">
      <c r="C3" s="238"/>
      <c r="W3" s="635"/>
      <c r="X3" s="636"/>
      <c r="Y3" s="636"/>
      <c r="Z3" s="636"/>
      <c r="AA3" s="636"/>
      <c r="AB3" s="636"/>
      <c r="AC3" s="636"/>
      <c r="AD3" s="63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38" t="s">
        <v>990</v>
      </c>
      <c r="Y5" s="638"/>
      <c r="Z5" s="638"/>
      <c r="AA5" s="638" t="s">
        <v>988</v>
      </c>
      <c r="AB5" s="638"/>
      <c r="AC5" s="638" t="s">
        <v>989</v>
      </c>
      <c r="AD5" s="639"/>
    </row>
    <row r="6" spans="3:30">
      <c r="C6" s="238"/>
      <c r="W6" s="241">
        <v>1</v>
      </c>
      <c r="X6" s="638" t="s">
        <v>993</v>
      </c>
      <c r="Y6" s="638"/>
      <c r="Z6" s="638"/>
      <c r="AA6" s="638"/>
      <c r="AB6" s="638"/>
      <c r="AC6" s="638"/>
      <c r="AD6" s="639"/>
    </row>
    <row r="7" spans="3:30">
      <c r="C7" s="238"/>
      <c r="E7" s="490" t="str">
        <f>PETA!C6</f>
        <v>KOORDINAT : -6.834223, 110.629748</v>
      </c>
      <c r="W7" s="241">
        <v>2</v>
      </c>
      <c r="X7" s="638" t="s">
        <v>994</v>
      </c>
      <c r="Y7" s="638"/>
      <c r="Z7" s="638"/>
      <c r="AA7" s="638"/>
      <c r="AB7" s="638"/>
      <c r="AC7" s="638"/>
      <c r="AD7" s="639"/>
    </row>
    <row r="8" spans="3:30">
      <c r="C8" s="238"/>
      <c r="W8" s="241">
        <v>3</v>
      </c>
      <c r="X8" s="638" t="s">
        <v>995</v>
      </c>
      <c r="Y8" s="638"/>
      <c r="Z8" s="638"/>
      <c r="AA8" s="638"/>
      <c r="AB8" s="638"/>
      <c r="AC8" s="638"/>
      <c r="AD8" s="639"/>
    </row>
    <row r="9" spans="3:30">
      <c r="C9" s="238"/>
      <c r="W9" s="241">
        <v>4</v>
      </c>
      <c r="X9" s="638" t="s">
        <v>996</v>
      </c>
      <c r="Y9" s="638"/>
      <c r="Z9" s="638"/>
      <c r="AA9" s="638"/>
      <c r="AB9" s="638"/>
      <c r="AC9" s="638"/>
      <c r="AD9" s="639"/>
    </row>
    <row r="10" spans="3:30">
      <c r="C10" s="238"/>
      <c r="W10" s="241">
        <v>5</v>
      </c>
      <c r="X10" s="638" t="s">
        <v>997</v>
      </c>
      <c r="Y10" s="638"/>
      <c r="Z10" s="638"/>
      <c r="AA10" s="638"/>
      <c r="AB10" s="638"/>
      <c r="AC10" s="638"/>
      <c r="AD10" s="639"/>
    </row>
    <row r="11" spans="3:30">
      <c r="C11" s="238"/>
      <c r="W11" s="241">
        <v>6</v>
      </c>
      <c r="X11" s="638" t="s">
        <v>998</v>
      </c>
      <c r="Y11" s="638"/>
      <c r="Z11" s="638"/>
      <c r="AA11" s="638"/>
      <c r="AB11" s="638"/>
      <c r="AC11" s="638"/>
      <c r="AD11" s="639"/>
    </row>
    <row r="12" spans="3:30">
      <c r="C12" s="238"/>
      <c r="W12" s="241">
        <v>7</v>
      </c>
      <c r="X12" s="638" t="s">
        <v>999</v>
      </c>
      <c r="Y12" s="638"/>
      <c r="Z12" s="638"/>
      <c r="AA12" s="638"/>
      <c r="AB12" s="638"/>
      <c r="AC12" s="638"/>
      <c r="AD12" s="639"/>
    </row>
    <row r="13" spans="3:30" ht="12.75" customHeight="1">
      <c r="C13" s="238"/>
      <c r="W13" s="241">
        <v>8</v>
      </c>
      <c r="X13" s="638" t="s">
        <v>1000</v>
      </c>
      <c r="Y13" s="638"/>
      <c r="Z13" s="638"/>
      <c r="AA13" s="638"/>
      <c r="AB13" s="638"/>
      <c r="AC13" s="638"/>
      <c r="AD13" s="639"/>
    </row>
    <row r="14" spans="3:30">
      <c r="C14" s="238"/>
      <c r="W14" s="241">
        <v>9</v>
      </c>
      <c r="X14" s="638" t="s">
        <v>1001</v>
      </c>
      <c r="Y14" s="638"/>
      <c r="Z14" s="638"/>
      <c r="AA14" s="638"/>
      <c r="AB14" s="638"/>
      <c r="AC14" s="638"/>
      <c r="AD14" s="639"/>
    </row>
    <row r="15" spans="3:30">
      <c r="C15" s="238"/>
      <c r="W15" s="241">
        <v>10</v>
      </c>
      <c r="X15" s="638" t="s">
        <v>1010</v>
      </c>
      <c r="Y15" s="638"/>
      <c r="Z15" s="638"/>
      <c r="AA15" s="638"/>
      <c r="AB15" s="638"/>
      <c r="AC15" s="638"/>
      <c r="AD15" s="639"/>
    </row>
    <row r="16" spans="3:30">
      <c r="C16" s="238"/>
      <c r="W16" s="241">
        <v>11</v>
      </c>
      <c r="X16" s="638" t="s">
        <v>1455</v>
      </c>
      <c r="Y16" s="638"/>
      <c r="Z16" s="638"/>
      <c r="AA16" s="638"/>
      <c r="AB16" s="638"/>
      <c r="AC16" s="638"/>
      <c r="AD16" s="639"/>
    </row>
    <row r="17" spans="3:30">
      <c r="C17" s="238"/>
      <c r="S17" s="242"/>
      <c r="W17" s="241">
        <v>12</v>
      </c>
      <c r="X17" s="638" t="s">
        <v>1011</v>
      </c>
      <c r="Y17" s="638"/>
      <c r="Z17" s="638"/>
      <c r="AA17" s="638"/>
      <c r="AB17" s="638"/>
      <c r="AC17" s="638"/>
      <c r="AD17" s="639"/>
    </row>
    <row r="18" spans="3:30">
      <c r="C18" s="243"/>
      <c r="D18" s="244"/>
      <c r="E18" s="244"/>
      <c r="W18" s="241">
        <v>13</v>
      </c>
      <c r="X18" s="638"/>
      <c r="Y18" s="638"/>
      <c r="Z18" s="638"/>
      <c r="AA18" s="638"/>
      <c r="AB18" s="638"/>
      <c r="AC18" s="638"/>
      <c r="AD18" s="639"/>
    </row>
    <row r="19" spans="3:30">
      <c r="C19" s="238"/>
      <c r="W19" s="245"/>
      <c r="X19" s="655"/>
      <c r="Y19" s="655"/>
      <c r="Z19" s="655"/>
      <c r="AA19" s="655"/>
      <c r="AB19" s="655"/>
      <c r="AC19" s="655"/>
      <c r="AD19" s="656"/>
    </row>
    <row r="20" spans="3:30">
      <c r="C20" s="238"/>
      <c r="W20" s="640" t="s">
        <v>992</v>
      </c>
      <c r="X20" s="641"/>
      <c r="Y20" s="641"/>
      <c r="Z20" s="641"/>
      <c r="AA20" s="641"/>
      <c r="AB20" s="641"/>
      <c r="AC20" s="641"/>
      <c r="AD20" s="642"/>
    </row>
    <row r="21" spans="3:30">
      <c r="C21" s="238"/>
      <c r="W21" s="643" t="s">
        <v>985</v>
      </c>
      <c r="X21" s="644"/>
      <c r="Y21" s="644"/>
      <c r="Z21" s="645"/>
      <c r="AA21" s="646" t="s">
        <v>986</v>
      </c>
      <c r="AB21" s="647"/>
      <c r="AC21" s="647"/>
      <c r="AD21" s="648"/>
    </row>
    <row r="22" spans="3:30">
      <c r="C22" s="238"/>
      <c r="W22" s="649" t="s">
        <v>1623</v>
      </c>
      <c r="X22" s="650"/>
      <c r="Y22" s="492">
        <v>1</v>
      </c>
      <c r="Z22" s="493"/>
      <c r="AA22" s="651"/>
      <c r="AB22" s="652"/>
      <c r="AC22" s="248"/>
      <c r="AD22" s="249"/>
    </row>
    <row r="23" spans="3:30">
      <c r="C23" s="238"/>
      <c r="W23" s="649" t="s">
        <v>1624</v>
      </c>
      <c r="X23" s="650"/>
      <c r="Y23" s="492">
        <v>1</v>
      </c>
      <c r="Z23" s="493"/>
      <c r="AA23" s="653"/>
      <c r="AB23" s="654"/>
      <c r="AC23" s="248"/>
      <c r="AD23" s="249"/>
    </row>
    <row r="24" spans="3:30">
      <c r="C24" s="238"/>
      <c r="W24" s="659" t="s">
        <v>1625</v>
      </c>
      <c r="X24" s="660"/>
      <c r="Y24" s="246">
        <v>1</v>
      </c>
      <c r="Z24" s="247"/>
      <c r="AA24" s="661"/>
      <c r="AB24" s="662"/>
      <c r="AC24" s="248"/>
      <c r="AD24" s="249"/>
    </row>
    <row r="25" spans="3:30">
      <c r="C25" s="238"/>
      <c r="W25" s="659" t="s">
        <v>1618</v>
      </c>
      <c r="X25" s="660"/>
      <c r="Y25" s="246">
        <v>2</v>
      </c>
      <c r="Z25" s="247"/>
      <c r="AA25" s="653"/>
      <c r="AB25" s="654"/>
      <c r="AC25" s="248"/>
      <c r="AD25" s="249"/>
    </row>
    <row r="26" spans="3:30">
      <c r="C26" s="238"/>
      <c r="W26" s="480" t="s">
        <v>1621</v>
      </c>
      <c r="X26" s="481"/>
      <c r="Y26" s="246">
        <v>4</v>
      </c>
      <c r="Z26" s="247"/>
      <c r="AA26" s="653"/>
      <c r="AB26" s="654"/>
      <c r="AC26" s="248"/>
      <c r="AD26" s="249"/>
    </row>
    <row r="27" spans="3:30">
      <c r="C27" s="238"/>
      <c r="W27" s="480" t="s">
        <v>1620</v>
      </c>
      <c r="X27" s="481"/>
      <c r="Y27" s="246">
        <v>8</v>
      </c>
      <c r="Z27" s="247"/>
      <c r="AA27" s="657"/>
      <c r="AB27" s="658"/>
      <c r="AC27" s="248"/>
      <c r="AD27" s="249"/>
    </row>
    <row r="28" spans="3:30">
      <c r="C28" s="238"/>
      <c r="W28" s="480"/>
      <c r="X28" s="481"/>
      <c r="Y28" s="246"/>
      <c r="Z28" s="247"/>
      <c r="AA28" s="657"/>
      <c r="AB28" s="658"/>
      <c r="AC28" s="248"/>
      <c r="AD28" s="249"/>
    </row>
    <row r="29" spans="3:30">
      <c r="C29" s="238"/>
      <c r="W29" s="480"/>
      <c r="X29" s="481"/>
      <c r="Y29" s="246"/>
      <c r="Z29" s="247"/>
      <c r="AA29" s="657"/>
      <c r="AB29" s="658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57"/>
      <c r="AB30" s="658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57"/>
      <c r="AB31" s="658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57"/>
      <c r="AB32" s="658"/>
      <c r="AC32" s="248"/>
      <c r="AD32" s="249"/>
    </row>
    <row r="33" spans="3:30">
      <c r="C33" s="238"/>
      <c r="W33" s="480"/>
      <c r="X33" s="481"/>
      <c r="Y33" s="246"/>
      <c r="Z33" s="247"/>
      <c r="AA33" s="657"/>
      <c r="AB33" s="658"/>
      <c r="AC33" s="248"/>
      <c r="AD33" s="249"/>
    </row>
    <row r="34" spans="3:30">
      <c r="C34" s="238"/>
      <c r="W34" s="480"/>
      <c r="X34" s="481"/>
      <c r="Y34" s="246"/>
      <c r="Z34" s="247"/>
      <c r="AA34" s="657"/>
      <c r="AB34" s="658"/>
      <c r="AC34" s="248"/>
      <c r="AD34" s="249"/>
    </row>
    <row r="35" spans="3:30">
      <c r="C35" s="238"/>
      <c r="W35" s="659"/>
      <c r="X35" s="672"/>
      <c r="Y35" s="246"/>
      <c r="Z35" s="247"/>
      <c r="AA35" s="657"/>
      <c r="AB35" s="658"/>
      <c r="AC35" s="248"/>
      <c r="AD35" s="249"/>
    </row>
    <row r="36" spans="3:30">
      <c r="C36" s="238"/>
      <c r="W36" s="663"/>
      <c r="X36" s="664"/>
      <c r="Y36" s="246"/>
      <c r="Z36" s="251"/>
      <c r="AA36" s="665"/>
      <c r="AB36" s="658"/>
      <c r="AC36" s="248"/>
      <c r="AD36" s="249"/>
    </row>
    <row r="37" spans="3:30" ht="12.75" customHeight="1">
      <c r="C37" s="238"/>
      <c r="W37" s="666"/>
      <c r="X37" s="667"/>
      <c r="Y37" s="246"/>
      <c r="Z37" s="251"/>
      <c r="AA37" s="668"/>
      <c r="AB37" s="669"/>
      <c r="AC37" s="252"/>
      <c r="AD37" s="253"/>
    </row>
    <row r="38" spans="3:30" ht="12.75" customHeight="1">
      <c r="C38" s="238"/>
      <c r="D38" s="235" t="s">
        <v>1626</v>
      </c>
      <c r="W38" s="666"/>
      <c r="X38" s="667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4" t="s">
        <v>1627</v>
      </c>
      <c r="W39" s="666"/>
      <c r="X39" s="667"/>
      <c r="Y39" s="254"/>
      <c r="Z39" s="257"/>
      <c r="AA39" s="670"/>
      <c r="AB39" s="671"/>
      <c r="AC39" s="252"/>
      <c r="AD39" s="253"/>
    </row>
    <row r="40" spans="3:30" ht="12" customHeight="1">
      <c r="C40" s="238"/>
      <c r="D40" s="504" t="s">
        <v>1628</v>
      </c>
      <c r="W40" s="676"/>
      <c r="X40" s="677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4" t="s">
        <v>1640</v>
      </c>
      <c r="W41" s="703"/>
      <c r="X41" s="704"/>
      <c r="Y41" s="705"/>
      <c r="Z41" s="706"/>
      <c r="AA41" s="258"/>
      <c r="AB41" s="259"/>
      <c r="AC41" s="252"/>
      <c r="AD41" s="253"/>
    </row>
    <row r="42" spans="3:30" ht="12" customHeight="1">
      <c r="C42" s="238"/>
      <c r="D42" s="504" t="s">
        <v>1629</v>
      </c>
      <c r="W42" s="678"/>
      <c r="X42" s="679"/>
      <c r="Y42" s="260"/>
      <c r="Z42" s="261"/>
      <c r="AA42" s="670"/>
      <c r="AB42" s="671"/>
      <c r="AC42" s="252"/>
      <c r="AD42" s="253"/>
    </row>
    <row r="43" spans="3:30" ht="12" customHeight="1">
      <c r="C43" s="238"/>
      <c r="D43" s="504" t="s">
        <v>1630</v>
      </c>
      <c r="W43" s="680" t="s">
        <v>1456</v>
      </c>
      <c r="X43" s="681"/>
      <c r="Y43" s="681"/>
      <c r="Z43" s="681"/>
      <c r="AA43" s="262"/>
      <c r="AB43" s="262"/>
      <c r="AC43" s="262"/>
      <c r="AD43" s="263"/>
    </row>
    <row r="44" spans="3:30" ht="12" customHeight="1">
      <c r="C44" s="238"/>
      <c r="D44" s="504" t="s">
        <v>1631</v>
      </c>
      <c r="V44" s="264"/>
      <c r="W44" s="265"/>
      <c r="X44" s="266"/>
      <c r="Y44" s="266"/>
      <c r="Z44" s="266"/>
      <c r="AA44" s="266"/>
      <c r="AB44" s="266"/>
      <c r="AC44" s="266"/>
      <c r="AD44" s="267"/>
    </row>
    <row r="45" spans="3:30">
      <c r="C45" s="268"/>
      <c r="D45" s="504" t="s">
        <v>1632</v>
      </c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3" t="s">
        <v>11</v>
      </c>
      <c r="X45" s="674"/>
      <c r="Y45" s="638"/>
      <c r="Z45" s="638"/>
      <c r="AA45" s="638"/>
      <c r="AB45" s="638"/>
      <c r="AC45" s="638"/>
      <c r="AD45" s="639"/>
    </row>
    <row r="46" spans="3:30">
      <c r="C46" s="268"/>
      <c r="D46" s="504" t="s">
        <v>1633</v>
      </c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3" t="s">
        <v>984</v>
      </c>
      <c r="X46" s="674"/>
      <c r="Y46" s="638">
        <v>1</v>
      </c>
      <c r="Z46" s="638"/>
      <c r="AA46" s="638"/>
      <c r="AB46" s="638" t="s">
        <v>12</v>
      </c>
      <c r="AC46" s="638"/>
      <c r="AD46" s="270" t="s">
        <v>13</v>
      </c>
    </row>
    <row r="47" spans="3:30">
      <c r="C47" s="238"/>
      <c r="D47" s="235" t="s">
        <v>1637</v>
      </c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73" t="s">
        <v>15</v>
      </c>
      <c r="X47" s="674"/>
      <c r="Y47" s="675"/>
      <c r="Z47" s="675"/>
      <c r="AA47" s="675"/>
      <c r="AB47" s="638" t="s">
        <v>16</v>
      </c>
      <c r="AC47" s="638"/>
      <c r="AD47" s="271"/>
    </row>
    <row r="48" spans="3:30">
      <c r="C48" s="238"/>
      <c r="D48" s="702" t="s">
        <v>1638</v>
      </c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6" t="s">
        <v>17</v>
      </c>
      <c r="X48" s="686"/>
      <c r="Y48" s="686"/>
      <c r="Z48" s="686"/>
      <c r="AA48" s="686"/>
      <c r="AB48" s="686"/>
      <c r="AC48" s="686"/>
      <c r="AD48" s="687"/>
    </row>
    <row r="49" spans="3:30" ht="12.75" customHeight="1">
      <c r="C49" s="238"/>
      <c r="D49" s="702" t="s">
        <v>1639</v>
      </c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4"/>
      <c r="W49" s="688" t="str">
        <f>RAB!G6</f>
        <v>PONPES SULLAM</v>
      </c>
      <c r="X49" s="688"/>
      <c r="Y49" s="688"/>
      <c r="Z49" s="688"/>
      <c r="AA49" s="688"/>
      <c r="AB49" s="688"/>
      <c r="AC49" s="688"/>
      <c r="AD49" s="689"/>
    </row>
    <row r="50" spans="3:30">
      <c r="C50" s="238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88"/>
      <c r="X50" s="688"/>
      <c r="Y50" s="688"/>
      <c r="Z50" s="688"/>
      <c r="AA50" s="688"/>
      <c r="AB50" s="688"/>
      <c r="AC50" s="688"/>
      <c r="AD50" s="689"/>
    </row>
    <row r="51" spans="3:30">
      <c r="C51" s="238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88"/>
      <c r="X51" s="688"/>
      <c r="Y51" s="688"/>
      <c r="Z51" s="688"/>
      <c r="AA51" s="688"/>
      <c r="AB51" s="688"/>
      <c r="AC51" s="688"/>
      <c r="AD51" s="689"/>
    </row>
    <row r="52" spans="3:30" ht="19.5" customHeight="1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72"/>
      <c r="W52" s="690"/>
      <c r="X52" s="690"/>
      <c r="Y52" s="690"/>
      <c r="Z52" s="690"/>
      <c r="AA52" s="690"/>
      <c r="AB52" s="690"/>
      <c r="AC52" s="690"/>
      <c r="AD52" s="69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69"/>
      <c r="V53" s="264"/>
      <c r="W53" s="673" t="s">
        <v>18</v>
      </c>
      <c r="X53" s="674"/>
      <c r="Y53" s="638" t="s">
        <v>1549</v>
      </c>
      <c r="Z53" s="638"/>
      <c r="AA53" s="638"/>
      <c r="AB53" s="638"/>
      <c r="AC53" s="638"/>
      <c r="AD53" s="639"/>
    </row>
    <row r="54" spans="3:30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3" t="s">
        <v>19</v>
      </c>
      <c r="X54" s="674"/>
      <c r="Y54" s="638" t="s">
        <v>1549</v>
      </c>
      <c r="Z54" s="638"/>
      <c r="AA54" s="638"/>
      <c r="AB54" s="638"/>
      <c r="AC54" s="638"/>
      <c r="AD54" s="639"/>
    </row>
    <row r="55" spans="3:30" ht="12.75" thickBot="1">
      <c r="C55" s="268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V55" s="264"/>
      <c r="W55" s="673" t="s">
        <v>20</v>
      </c>
      <c r="X55" s="674"/>
      <c r="Y55" s="682" t="s">
        <v>1550</v>
      </c>
      <c r="Z55" s="682"/>
      <c r="AA55" s="682"/>
      <c r="AB55" s="638"/>
      <c r="AC55" s="638"/>
      <c r="AD55" s="639"/>
    </row>
    <row r="56" spans="3:30" ht="12.75" thickBot="1">
      <c r="C56" s="273"/>
      <c r="D56" s="274"/>
      <c r="E56" s="274"/>
      <c r="F56" s="274"/>
      <c r="G56" s="274"/>
      <c r="H56" s="274"/>
      <c r="I56" s="274"/>
      <c r="J56" s="274"/>
      <c r="K56" s="274"/>
      <c r="L56" s="274"/>
      <c r="M56" s="274"/>
      <c r="N56" s="274"/>
      <c r="O56" s="274"/>
      <c r="P56" s="274"/>
      <c r="Q56" s="274"/>
      <c r="R56" s="274"/>
      <c r="S56" s="274"/>
      <c r="T56" s="274"/>
      <c r="U56" s="275"/>
      <c r="V56" s="276"/>
      <c r="W56" s="683" t="s">
        <v>21</v>
      </c>
      <c r="X56" s="684"/>
      <c r="Y56" s="682" t="s">
        <v>1551</v>
      </c>
      <c r="Z56" s="682"/>
      <c r="AA56" s="682"/>
      <c r="AB56" s="682"/>
      <c r="AC56" s="682"/>
      <c r="AD56" s="685"/>
    </row>
  </sheetData>
  <mergeCells count="101">
    <mergeCell ref="W55:X55"/>
    <mergeCell ref="Y55:AA55"/>
    <mergeCell ref="AB55:AD55"/>
    <mergeCell ref="W56:X56"/>
    <mergeCell ref="Y56:AA56"/>
    <mergeCell ref="AB56:AD56"/>
    <mergeCell ref="W48:AD48"/>
    <mergeCell ref="W49:AD52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X47"/>
    <mergeCell ref="Y47:AA47"/>
    <mergeCell ref="AB47:AC47"/>
    <mergeCell ref="W40:X40"/>
    <mergeCell ref="W42:X42"/>
    <mergeCell ref="AA42:AB42"/>
    <mergeCell ref="W43:Z43"/>
    <mergeCell ref="W45:X45"/>
    <mergeCell ref="Y45:AD45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T44" sqref="T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2" t="s">
        <v>1528</v>
      </c>
      <c r="E4" s="693"/>
      <c r="F4" s="693"/>
      <c r="G4" s="693"/>
      <c r="H4" s="693"/>
      <c r="I4" s="693"/>
      <c r="J4" s="693"/>
      <c r="K4" s="693"/>
      <c r="L4" s="693"/>
      <c r="M4" s="693"/>
      <c r="N4" s="693"/>
      <c r="O4" s="693"/>
      <c r="P4" s="693"/>
      <c r="Q4" s="693"/>
      <c r="R4" s="693"/>
      <c r="S4" s="693"/>
      <c r="T4" s="693"/>
      <c r="U4" s="693"/>
      <c r="V4" s="693"/>
      <c r="W4" s="693"/>
      <c r="X4" s="693"/>
      <c r="Y4" s="693"/>
      <c r="Z4" s="693"/>
      <c r="AA4" s="693"/>
      <c r="AB4" s="693"/>
      <c r="AC4" s="694"/>
      <c r="AD4" s="217"/>
      <c r="AE4" s="216"/>
      <c r="AF4" s="216"/>
    </row>
    <row r="5" spans="2:32" ht="13.5" customHeight="1">
      <c r="B5" s="215"/>
      <c r="C5" s="21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7"/>
      <c r="AD5" s="217"/>
      <c r="AE5" s="216"/>
      <c r="AF5" s="216"/>
    </row>
    <row r="6" spans="2:32" ht="12.75" customHeight="1">
      <c r="B6" s="215"/>
      <c r="C6" s="21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  <c r="AA6" s="696"/>
      <c r="AB6" s="696"/>
      <c r="AC6" s="697"/>
      <c r="AE6" s="216"/>
      <c r="AF6" s="216"/>
    </row>
    <row r="7" spans="2:32" ht="12.75" customHeight="1" thickBot="1">
      <c r="B7" s="215"/>
      <c r="C7" s="215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  <c r="AA7" s="699"/>
      <c r="AB7" s="699"/>
      <c r="AC7" s="70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6" t="s">
        <v>1527</v>
      </c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696"/>
      <c r="D4" s="696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1" t="s">
        <v>1622</v>
      </c>
      <c r="D6" s="701"/>
      <c r="E6" s="701"/>
      <c r="F6" s="701"/>
      <c r="G6" s="701"/>
      <c r="H6" s="701"/>
      <c r="I6" s="701"/>
      <c r="J6" s="701"/>
      <c r="K6" s="701"/>
      <c r="L6" s="701"/>
      <c r="M6" s="701"/>
      <c r="W6" s="182"/>
      <c r="Y6" s="428"/>
      <c r="Z6" s="428"/>
      <c r="AA6" s="428"/>
      <c r="AB6" s="429"/>
      <c r="AC6" s="429"/>
    </row>
    <row r="7" spans="1:29" ht="18" customHeight="1">
      <c r="A7" s="181"/>
      <c r="C7" s="701"/>
      <c r="D7" s="701"/>
      <c r="E7" s="701"/>
      <c r="F7" s="701"/>
      <c r="G7" s="701"/>
      <c r="H7" s="701"/>
      <c r="I7" s="701"/>
      <c r="J7" s="701"/>
      <c r="K7" s="701"/>
      <c r="L7" s="701"/>
      <c r="M7" s="701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2024-03-06T09:02:22Z</dcterms:modified>
</cp:coreProperties>
</file>