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A33A0C52-041F-4301-B0DB-9C887CC5F5DC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5" i="11" l="1"/>
  <c r="F34" i="11"/>
  <c r="F33" i="11"/>
  <c r="F32" i="11"/>
  <c r="F31" i="11"/>
  <c r="F28" i="11"/>
  <c r="F27" i="11"/>
  <c r="F26" i="11"/>
  <c r="F25" i="11"/>
  <c r="F24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J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E35" i="11"/>
  <c r="G35" i="11"/>
  <c r="D36" i="11"/>
  <c r="H36" i="11" s="1"/>
  <c r="E36" i="11"/>
  <c r="G36" i="11"/>
  <c r="G18" i="11"/>
  <c r="D18" i="11"/>
  <c r="E18" i="11"/>
  <c r="I26" i="11" l="1"/>
  <c r="I24" i="11"/>
  <c r="I30" i="11"/>
  <c r="I34" i="11"/>
  <c r="J28" i="11"/>
  <c r="I22" i="11"/>
  <c r="J36" i="11"/>
  <c r="H22" i="11"/>
  <c r="I36" i="11"/>
  <c r="H34" i="11"/>
  <c r="I33" i="11"/>
  <c r="J32" i="11"/>
  <c r="H30" i="11"/>
  <c r="I29" i="11"/>
  <c r="I32" i="11"/>
  <c r="I28" i="11"/>
  <c r="H26" i="11"/>
  <c r="K26" i="11" s="1"/>
  <c r="I25" i="11"/>
  <c r="K24" i="11"/>
  <c r="J35" i="11"/>
  <c r="I35" i="11"/>
  <c r="I31" i="11"/>
  <c r="I27" i="11"/>
  <c r="I23" i="11"/>
  <c r="H35" i="11"/>
  <c r="J33" i="11"/>
  <c r="H31" i="11"/>
  <c r="J29" i="11"/>
  <c r="H27" i="11"/>
  <c r="J25" i="11"/>
  <c r="H23" i="11"/>
  <c r="J18" i="11"/>
  <c r="I18" i="11"/>
  <c r="H18" i="11"/>
  <c r="F42" i="11"/>
  <c r="F41" i="11"/>
  <c r="F40" i="11"/>
  <c r="F39" i="11"/>
  <c r="F38" i="11"/>
  <c r="D40" i="11"/>
  <c r="H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H44" i="11" s="1"/>
  <c r="E44" i="11"/>
  <c r="G44" i="11"/>
  <c r="D37" i="11"/>
  <c r="H37" i="11" s="1"/>
  <c r="E37" i="11"/>
  <c r="G37" i="11"/>
  <c r="D38" i="11"/>
  <c r="J38" i="11" s="1"/>
  <c r="E38" i="11"/>
  <c r="G38" i="11"/>
  <c r="D39" i="11"/>
  <c r="H39" i="11" s="1"/>
  <c r="E39" i="11"/>
  <c r="G39" i="11"/>
  <c r="F77" i="11"/>
  <c r="F76" i="11"/>
  <c r="F75" i="11"/>
  <c r="F74" i="11"/>
  <c r="F86" i="11"/>
  <c r="F85" i="11"/>
  <c r="F84" i="11"/>
  <c r="F83" i="11"/>
  <c r="F82" i="11"/>
  <c r="F81" i="11"/>
  <c r="F80" i="11"/>
  <c r="K28" i="11" l="1"/>
  <c r="K30" i="11"/>
  <c r="K22" i="11"/>
  <c r="K33" i="11"/>
  <c r="K34" i="11"/>
  <c r="K32" i="11"/>
  <c r="K36" i="11"/>
  <c r="K29" i="11"/>
  <c r="K23" i="11"/>
  <c r="K25" i="11"/>
  <c r="K27" i="11"/>
  <c r="K35" i="11"/>
  <c r="K18" i="11"/>
  <c r="K31" i="11"/>
  <c r="I40" i="11"/>
  <c r="J44" i="11"/>
  <c r="I44" i="11"/>
  <c r="I43" i="11"/>
  <c r="J42" i="11"/>
  <c r="J40" i="11"/>
  <c r="I42" i="11"/>
  <c r="I41" i="11"/>
  <c r="H43" i="11"/>
  <c r="H41" i="11"/>
  <c r="J39" i="11"/>
  <c r="I38" i="11"/>
  <c r="J37" i="11"/>
  <c r="I37" i="11"/>
  <c r="I39" i="11"/>
  <c r="H38" i="11"/>
  <c r="K40" i="11" l="1"/>
  <c r="K43" i="11"/>
  <c r="K44" i="11"/>
  <c r="K42" i="11"/>
  <c r="K41" i="11"/>
  <c r="K38" i="11"/>
  <c r="K37" i="11"/>
  <c r="K39" i="11"/>
  <c r="G78" i="11" l="1"/>
  <c r="G79" i="11"/>
  <c r="G80" i="11"/>
  <c r="G81" i="11"/>
  <c r="G82" i="11"/>
  <c r="G83" i="11"/>
  <c r="G84" i="11"/>
  <c r="G85" i="11"/>
  <c r="G86" i="11"/>
  <c r="G87" i="11"/>
  <c r="G88" i="11"/>
  <c r="G89" i="11"/>
  <c r="G90" i="11"/>
  <c r="D78" i="11"/>
  <c r="H78" i="11" s="1"/>
  <c r="E78" i="11"/>
  <c r="D79" i="11"/>
  <c r="J79" i="11" s="1"/>
  <c r="E79" i="11"/>
  <c r="D80" i="11"/>
  <c r="E80" i="11"/>
  <c r="D81" i="11"/>
  <c r="H81" i="11" s="1"/>
  <c r="E81" i="11"/>
  <c r="D82" i="11"/>
  <c r="H82" i="11" s="1"/>
  <c r="E82" i="11"/>
  <c r="D83" i="11"/>
  <c r="J83" i="11" s="1"/>
  <c r="E83" i="11"/>
  <c r="D84" i="11"/>
  <c r="E84" i="11"/>
  <c r="D85" i="11"/>
  <c r="H85" i="11" s="1"/>
  <c r="E85" i="11"/>
  <c r="D86" i="11"/>
  <c r="H86" i="11" s="1"/>
  <c r="E86" i="11"/>
  <c r="D87" i="11"/>
  <c r="J87" i="11" s="1"/>
  <c r="E87" i="11"/>
  <c r="D88" i="11"/>
  <c r="J88" i="11" s="1"/>
  <c r="E88" i="11"/>
  <c r="D89" i="11"/>
  <c r="I89" i="11" s="1"/>
  <c r="E89" i="11"/>
  <c r="D90" i="11"/>
  <c r="H90" i="11" s="1"/>
  <c r="E90" i="11"/>
  <c r="F67" i="11"/>
  <c r="F66" i="11"/>
  <c r="F65" i="11"/>
  <c r="F64" i="11"/>
  <c r="F61" i="11"/>
  <c r="F60" i="11"/>
  <c r="F59" i="11"/>
  <c r="F58" i="11"/>
  <c r="F55" i="11"/>
  <c r="F54" i="11"/>
  <c r="F53" i="11"/>
  <c r="F52" i="11"/>
  <c r="F51" i="11"/>
  <c r="F50" i="11"/>
  <c r="D48" i="11"/>
  <c r="H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E61" i="11"/>
  <c r="G61" i="11"/>
  <c r="D62" i="11"/>
  <c r="H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F46" i="11"/>
  <c r="I84" i="11" l="1"/>
  <c r="I80" i="11"/>
  <c r="I86" i="11"/>
  <c r="J78" i="11"/>
  <c r="H89" i="11"/>
  <c r="J82" i="11"/>
  <c r="H80" i="11"/>
  <c r="I78" i="11"/>
  <c r="J86" i="11"/>
  <c r="H84" i="11"/>
  <c r="I82" i="11"/>
  <c r="I88" i="11"/>
  <c r="I87" i="11"/>
  <c r="I83" i="11"/>
  <c r="I79" i="11"/>
  <c r="J90" i="11"/>
  <c r="H88" i="11"/>
  <c r="H87" i="11"/>
  <c r="J85" i="11"/>
  <c r="H83" i="11"/>
  <c r="J81" i="11"/>
  <c r="H79" i="11"/>
  <c r="I90" i="11"/>
  <c r="J89" i="11"/>
  <c r="I85" i="11"/>
  <c r="J84" i="11"/>
  <c r="I81" i="11"/>
  <c r="J80" i="11"/>
  <c r="I60" i="11"/>
  <c r="I54" i="11"/>
  <c r="I56" i="11"/>
  <c r="J48" i="11"/>
  <c r="I66" i="11"/>
  <c r="I48" i="11"/>
  <c r="J61" i="11"/>
  <c r="I58" i="11"/>
  <c r="H56" i="11"/>
  <c r="I55" i="11"/>
  <c r="I50" i="11"/>
  <c r="I69" i="11"/>
  <c r="I62" i="11"/>
  <c r="I64" i="11"/>
  <c r="H52" i="11"/>
  <c r="I51" i="11"/>
  <c r="I52" i="11"/>
  <c r="I67" i="11"/>
  <c r="J66" i="11"/>
  <c r="H64" i="11"/>
  <c r="I63" i="11"/>
  <c r="J62" i="11"/>
  <c r="H60" i="11"/>
  <c r="I59" i="11"/>
  <c r="J58" i="11"/>
  <c r="J54" i="11"/>
  <c r="K54" i="11" s="1"/>
  <c r="J50" i="11"/>
  <c r="H69" i="11"/>
  <c r="I70" i="11"/>
  <c r="I65" i="11"/>
  <c r="I61" i="11"/>
  <c r="I57" i="11"/>
  <c r="I53" i="11"/>
  <c r="I49" i="11"/>
  <c r="H70" i="11"/>
  <c r="J68" i="11"/>
  <c r="J67" i="11"/>
  <c r="H65" i="11"/>
  <c r="K65" i="11" s="1"/>
  <c r="J63" i="11"/>
  <c r="H61" i="11"/>
  <c r="J59" i="11"/>
  <c r="H57" i="11"/>
  <c r="J55" i="11"/>
  <c r="H53" i="11"/>
  <c r="J51" i="11"/>
  <c r="H49" i="11"/>
  <c r="I68" i="11"/>
  <c r="K49" i="11" l="1"/>
  <c r="K87" i="11"/>
  <c r="K82" i="11"/>
  <c r="K84" i="11"/>
  <c r="K60" i="11"/>
  <c r="K81" i="11"/>
  <c r="K90" i="11"/>
  <c r="K79" i="11"/>
  <c r="K88" i="11"/>
  <c r="K86" i="11"/>
  <c r="K85" i="11"/>
  <c r="K80" i="11"/>
  <c r="K78" i="11"/>
  <c r="K89" i="11"/>
  <c r="K83" i="11"/>
  <c r="K48" i="11"/>
  <c r="K53" i="11"/>
  <c r="K56" i="11"/>
  <c r="K64" i="11"/>
  <c r="K55" i="11"/>
  <c r="K63" i="11"/>
  <c r="K70" i="11"/>
  <c r="K68" i="11"/>
  <c r="K52" i="11"/>
  <c r="K66" i="11"/>
  <c r="K50" i="11"/>
  <c r="K58" i="11"/>
  <c r="K51" i="11"/>
  <c r="K69" i="11"/>
  <c r="K57" i="11"/>
  <c r="K62" i="11"/>
  <c r="K59" i="11"/>
  <c r="K67" i="11"/>
  <c r="K61" i="11"/>
  <c r="D45" i="11" l="1"/>
  <c r="E45" i="11"/>
  <c r="G45" i="11"/>
  <c r="J46" i="11"/>
  <c r="D47" i="11"/>
  <c r="H47" i="11" s="1"/>
  <c r="E47" i="11"/>
  <c r="G47" i="11"/>
  <c r="D72" i="11"/>
  <c r="D73" i="11"/>
  <c r="D74" i="11"/>
  <c r="D75" i="11"/>
  <c r="D76" i="11"/>
  <c r="D77" i="11"/>
  <c r="D19" i="11"/>
  <c r="J19" i="11" s="1"/>
  <c r="E19" i="11"/>
  <c r="G19" i="11"/>
  <c r="D21" i="11"/>
  <c r="H21" i="11" s="1"/>
  <c r="E21" i="11"/>
  <c r="G21" i="11"/>
  <c r="E7" i="64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H45" i="11" l="1"/>
  <c r="J47" i="11"/>
  <c r="I47" i="11"/>
  <c r="I46" i="11"/>
  <c r="J45" i="11"/>
  <c r="I45" i="11"/>
  <c r="H46" i="11"/>
  <c r="J21" i="11"/>
  <c r="I21" i="11"/>
  <c r="I19" i="11"/>
  <c r="H19" i="11"/>
  <c r="I15" i="11"/>
  <c r="H15" i="11"/>
  <c r="I17" i="11"/>
  <c r="H17" i="11"/>
  <c r="I16" i="11"/>
  <c r="H16" i="11"/>
  <c r="K47" i="11" l="1"/>
  <c r="K46" i="11"/>
  <c r="K45" i="11"/>
  <c r="K21" i="11"/>
  <c r="K19" i="11"/>
  <c r="K15" i="11"/>
  <c r="K17" i="11"/>
  <c r="K16" i="11"/>
  <c r="G6" i="11" l="1"/>
  <c r="D71" i="11"/>
  <c r="J71" i="11" s="1"/>
  <c r="E71" i="11"/>
  <c r="G71" i="11"/>
  <c r="H72" i="11"/>
  <c r="E72" i="11"/>
  <c r="G72" i="11"/>
  <c r="E73" i="11"/>
  <c r="G73" i="11"/>
  <c r="J74" i="11"/>
  <c r="E74" i="11"/>
  <c r="G74" i="11"/>
  <c r="J75" i="11"/>
  <c r="E75" i="11"/>
  <c r="G75" i="11"/>
  <c r="E76" i="11"/>
  <c r="G76" i="11"/>
  <c r="H77" i="11"/>
  <c r="E77" i="11"/>
  <c r="G77" i="11"/>
  <c r="D20" i="60"/>
  <c r="H73" i="11" l="1"/>
  <c r="H76" i="11"/>
  <c r="J77" i="11"/>
  <c r="J76" i="11"/>
  <c r="I74" i="11"/>
  <c r="H74" i="11"/>
  <c r="J73" i="11"/>
  <c r="J72" i="11"/>
  <c r="I72" i="11"/>
  <c r="I76" i="11"/>
  <c r="H75" i="11"/>
  <c r="H71" i="11"/>
  <c r="I75" i="11"/>
  <c r="I71" i="11"/>
  <c r="I77" i="11"/>
  <c r="I73" i="11"/>
  <c r="D14" i="11"/>
  <c r="J14" i="11" s="1"/>
  <c r="E14" i="11"/>
  <c r="G14" i="11"/>
  <c r="K19" i="60"/>
  <c r="D19" i="60"/>
  <c r="K72" i="11" l="1"/>
  <c r="K74" i="11"/>
  <c r="K76" i="11"/>
  <c r="K77" i="11"/>
  <c r="K73" i="11"/>
  <c r="K71" i="11"/>
  <c r="K75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9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1" i="11"/>
  <c r="D92" i="11"/>
  <c r="H92" i="11" s="1"/>
  <c r="E9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2" i="11"/>
  <c r="I9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92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4" i="11"/>
  <c r="H95" i="11" s="1"/>
  <c r="I94" i="11"/>
  <c r="I95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6" i="11"/>
  <c r="I96" i="11"/>
  <c r="F364" i="29"/>
  <c r="F69" i="39"/>
  <c r="F72" i="39"/>
  <c r="F367" i="29"/>
  <c r="J91" i="11"/>
  <c r="K91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4" i="11" l="1"/>
  <c r="K95" i="11" s="1"/>
  <c r="K96" i="11" s="1"/>
  <c r="B97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4" i="11"/>
  <c r="J9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<sst xmlns="http://schemas.openxmlformats.org/spreadsheetml/2006/main" count="4755" uniqueCount="1634">
  <si>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</si>
  <si>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</si>
  <si>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</si>
  <si>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</si>
  <si>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</si>
  <si>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</si>
  <si>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</si>
  <si>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</si>
  <si>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</si>
  <si>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</si>
  <si>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</si>
  <si>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</si>
  <si>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</si>
  <si>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</si>
  <si>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</si>
  <si>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</si>
  <si>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</si>
  <si>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</si>
  <si>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</si>
  <si>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</si>
  <si>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</si>
  <si>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</si>
  <si>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</si>
  <si>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</si>
  <si>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</si>
  <si>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</si>
  <si>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</si>
  <si>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</si>
  <si>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</si>
  <si>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</si>
  <si>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</si>
  <si>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</si>
  <si>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</si>
  <si>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</si>
  <si>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</si>
  <si>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</si>
  <si>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</si>
  <si>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</si>
  <si>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</si>
  <si>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</si>
  <si>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</si>
  <si>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</si>
  <si>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</si>
  <si>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</si>
  <si>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</si>
  <si>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</si>
  <si>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</si>
  <si>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</si>
  <si>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</si>
  <si>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</si>
  <si>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</si>
  <si>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</si>
  <si>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</si>
  <si>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</si>
  <si>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</si>
  <si>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</si>
  <si>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</si>
  <si>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</si>
  <si>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</si>
  <si>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</si>
  <si>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</si>
  <si>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</si>
  <si>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</si>
  <si>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</si>
  <si>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</si>
  <si>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</si>
  <si>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</si>
  <si>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</si>
  <si>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</si>
  <si>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</si>
  <si>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</si>
  <si>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</si>
  <si>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</si>
  <si>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</si>
  <si>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</si>
  <si>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</si>
  <si>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</si>
  <si>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</si>
  <si>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</si>
  <si>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</si>
  <si>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</si>
  <si>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</si>
  <si>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</si>
  <si>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</si>
  <si>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</si>
  <si>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</si>
  <si>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</si>
  <si>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</si>
  <si>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</si>
  <si>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</si>
  <si>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</si>
  <si>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</si>
  <si>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</si>
  <si>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</si>
  <si>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</si>
  <si>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</si>
  <si>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</si>
  <si>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</si>
  <si>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</si>
  <si>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</si>
  <si>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</si>
  <si>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</si>
  <si>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</si>
  <si>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</si>
  <si>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</si>
  <si>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</si>
  <si>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</si>
  <si>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</si>
  <si>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</si>
  <si>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</si>
  <si>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</si>
  <si>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</si>
  <si>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</si>
  <si>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</si>
  <si>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</si>
  <si>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</si>
  <si>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</si>
  <si>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</si>
  <si>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</si>
  <si>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</si>
  <si>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</si>
  <si>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</si>
  <si>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</si>
  <si>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</si>
  <si>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</si>
  <si>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</si>
  <si>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</si>
  <si>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</si>
  <si>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</si>
  <si>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</si>
  <si>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</si>
  <si>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</si>
  <si>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</si>
  <si>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</si>
  <si>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</si>
  <si>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</si>
  <si>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</si>
  <si>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</si>
  <si>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</si>
  <si>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</si>
  <si>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</si>
  <si>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</si>
  <si>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</si>
  <si>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</si>
  <si>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</si>
  <si>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</si>
  <si>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</si>
  <si>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</si>
  <si>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</si>
  <si>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</si>
  <si>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</si>
  <si>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</si>
  <si>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</si>
  <si>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</si>
  <si>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</si>
  <si>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</si>
  <si>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</si>
  <si>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</si>
  <si>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</si>
  <si>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</si>
  <si>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</si>
  <si>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</si>
  <si>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</si>
  <si>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</si>
  <si>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</si>
  <si>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</si>
  <si>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</si>
  <si>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</si>
  <si>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</si>
  <si>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</si>
  <si>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</si>
  <si>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</si>
  <si>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</si>
  <si>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</si>
  <si>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</si>
  <si>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</si>
  <si>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</si>
  <si>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</si>
  <si>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</si>
  <si>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</si>
  <si>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</si>
  <si>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</si>
  <si>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</si>
  <si>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</si>
  <si>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</si>
  <si>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</si>
  <si>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</si>
  <si>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</si>
  <si>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</si>
  <si>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</si>
  <si>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</si>
  <si>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</si>
  <si>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</si>
  <si>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</si>
  <si>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</si>
  <si>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</si>
  <si>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</si>
  <si>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</si>
  <si>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</si>
  <si>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</si>
  <si>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</si>
  <si>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</si>
  <si>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</si>
  <si>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</si>
  <si>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</si>
  <si>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</si>
  <si>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</si>
  <si>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</si>
  <si>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</si>
  <si>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</si>
  <si>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</si>
  <si>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</si>
  <si>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</si>
  <si>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</si>
  <si>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</si>
  <si>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</si>
  <si>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</si>
  <si>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</si>
  <si>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</si>
  <si>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</si>
  <si>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</si>
  <si>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</si>
  <si>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</si>
  <si>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</si>
  <si>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</si>
  <si>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</si>
  <si>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</si>
  <si>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</si>
  <si>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</si>
  <si>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</si>
  <si>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</si>
  <si>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</si>
  <si>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</si>
  <si>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</si>
  <si>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</si>
  <si>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</si>
  <si>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</si>
  <si>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</si>
  <si>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</si>
  <si>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</si>
  <si>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</si>
  <si>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</si>
  <si>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</si>
  <si>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</si>
  <si>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</si>
  <si>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</si>
  <si>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</si>
  <si>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</si>
  <si>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</si>
  <si>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</si>
  <si>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</si>
  <si>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</si>
  <si>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</si>
  <si>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</si>
  <si>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</si>
  <si>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</si>
  <si>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</si>
  <si>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</si>
  <si>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</si>
  <si>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</si>
  <si>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</si>
  <si>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</si>
  <si>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</si>
  <si>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</si>
  <si>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</si>
  <si>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</si>
  <si>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</si>
  <si>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</si>
  <si>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</si>
  <si>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</si>
  <si>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</si>
  <si>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</si>
  <si>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</si>
  <si>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</si>
  <si>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</si>
  <si>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</si>
  <si>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</si>
  <si>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</si>
  <si>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</si>
  <si>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</si>
  <si>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</si>
  <si>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</si>
  <si>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</si>
  <si>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</si>
  <si>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</si>
  <si>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</si>
  <si>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</si>
  <si>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</si>
  <si>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</si>
  <si>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</si>
  <si>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</si>
  <si>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</si>
  <si>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</si>
  <si>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</si>
  <si>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</si>
  <si>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</si>
  <si>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</si>
  <si>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</si>
  <si>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</si>
  <si>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</si>
  <si>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</si>
  <si>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</si>
  <si>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</si>
  <si>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</si>
  <si>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</si>
  <si>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</si>
  <si>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</si>
  <si>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</si>
  <si>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</si>
  <si>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</si>
  <si>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</si>
  <si>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</si>
  <si>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</si>
  <si>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</si>
  <si>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</si>
  <si>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</si>
  <si>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</si>
  <si>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</si>
  <si>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</si>
  <si>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</si>
  <si>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</si>
  <si>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</si>
  <si>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</si>
  <si>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</si>
  <si>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</si>
  <si>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</si>
  <si>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</si>
  <si>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</si>
  <si>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</si>
  <si>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</si>
  <si>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</si>
  <si>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</si>
  <si>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</si>
  <si>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</si>
  <si>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</si>
  <si>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</si>
  <si>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</si>
  <si>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</si>
  <si>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</si>
  <si>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</si>
  <si>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</si>
  <si>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</si>
  <si>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</si>
  <si>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</si>
  <si>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</si>
  <si>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</si>
  <si>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</si>
  <si>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</si>
  <si>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</si>
  <si>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</si>
  <si>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</si>
  <si>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</si>
  <si>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</si>
  <si>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</si>
  <si>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</si>
  <si>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</si>
  <si>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</si>
  <si>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</si>
  <si>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</si>
  <si>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</si>
  <si>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</si>
  <si>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</si>
  <si>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</si>
  <si>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</si>
  <si>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</si>
  <si>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</si>
  <si>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</si>
  <si>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</si>
  <si>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</si>
  <si>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</si>
  <si>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</si>
  <si>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</si>
  <si>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</si>
  <si>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</si>
  <si>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</si>
  <si>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</si>
  <si>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</si>
  <si>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</si>
  <si>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</si>
  <si>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</si>
  <si>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</si>
  <si>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</si>
  <si>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</si>
  <si>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</si>
  <si>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</si>
  <si>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</si>
  <si>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</si>
  <si>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</si>
  <si>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</si>
  <si>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</si>
  <si>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</si>
  <si>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</si>
  <si>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</si>
  <si>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</si>
  <si>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</si>
  <si>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</si>
  <si>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</si>
  <si>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</si>
  <si>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</si>
  <si>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</si>
  <si>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</si>
  <si>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</si>
  <si>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</si>
  <si>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</si>
  <si>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</si>
  <si>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</si>
  <si>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</si>
  <si>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</si>
  <si>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</si>
  <si>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</si>
  <si>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</si>
  <si>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</si>
  <si>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</si>
  <si>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</si>
  <si>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</si>
  <si>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</si>
  <si>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</si>
  <si>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</si>
  <si>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</si>
  <si>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</si>
  <si>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</si>
  <si>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</si>
  <si>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</si>
  <si>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</si>
  <si>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</si>
  <si>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</si>
  <si>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</si>
  <si>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</si>
  <si>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</si>
  <si>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</si>
  <si>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</si>
  <si>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</si>
  <si>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</si>
  <si>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</si>
  <si>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</si>
  <si>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</si>
  <si>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</si>
  <si>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</si>
  <si>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</si>
  <si>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</si>
  <si>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</si>
  <si>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</si>
  <si>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</si>
  <si>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</si>
  <si>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</si>
  <si>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</si>
  <si>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</si>
  <si>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</si>
  <si>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</si>
  <si>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</si>
  <si>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</si>
  <si>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</si>
  <si>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</si>
  <si>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</si>
  <si>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</si>
  <si>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</si>
  <si>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</si>
  <si>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</si>
  <si>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</si>
  <si>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</si>
  <si>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</si>
  <si>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</si>
  <si>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</si>
  <si>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</si>
  <si>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</si>
  <si>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</si>
  <si>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</si>
  <si>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</si>
  <si>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</si>
  <si>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</si>
  <si>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</si>
  <si>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</si>
  <si>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</si>
  <si>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</si>
  <si>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</si>
  <si>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</si>
  <si>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</si>
  <si>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</si>
  <si>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</si>
  <si>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</si>
  <si>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</si>
  <si>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</si>
  <si>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</si>
  <si>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</si>
  <si>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</si>
  <si>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</si>
  <si>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</si>
  <si>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</si>
  <si>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</si>
  <si>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</si>
  <si>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</si>
  <si>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</si>
  <si>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</si>
  <si>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</si>
  <si>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</si>
  <si>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</si>
  <si>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</si>
  <si>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</si>
  <si>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</si>
  <si>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</si>
  <si>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</si>
  <si>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</si>
  <si>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</si>
  <si>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</si>
  <si>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</si>
  <si>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</si>
  <si>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</si>
  <si>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</si>
  <si>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</si>
  <si>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</si>
  <si>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</si>
  <si>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</si>
  <si>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</si>
  <si>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</si>
  <si>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</si>
  <si>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</si>
  <si>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</si>
  <si>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</si>
  <si>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</si>
  <si>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</si>
  <si>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</si>
  <si>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</si>
  <si>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</si>
  <si>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</si>
  <si>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</si>
  <si>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</si>
  <si>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</si>
  <si>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</si>
  <si>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</si>
  <si>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</si>
  <si>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</si>
  <si>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</si>
  <si>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</si>
  <si>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</si>
  <si>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</si>
  <si>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</si>
  <si>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</si>
  <si>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</si>
  <si>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</si>
  <si>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</si>
  <si>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</si>
  <si>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</si>
  <si>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</si>
  <si>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</si>
  <si>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</si>
  <si>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</si>
  <si>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</si>
  <si>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</si>
  <si>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</si>
  <si>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</si>
  <si>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</si>
  <si>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</si>
  <si>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</si>
  <si>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</si>
  <si>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</si>
  <si>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</si>
  <si>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</si>
  <si>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</si>
  <si>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</si>
  <si>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</si>
  <si>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</si>
  <si>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</si>
  <si>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</si>
  <si>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</si>
  <si>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</si>
  <si>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</si>
  <si>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</si>
  <si>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</si>
  <si>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</si>
  <si>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</si>
  <si>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</si>
  <si>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</si>
  <si>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</si>
  <si>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</si>
  <si>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</si>
  <si>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</si>
  <si>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</si>
  <si>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</si>
  <si>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</si>
  <si>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</si>
  <si>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</si>
  <si>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</si>
  <si>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</si>
  <si>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</si>
  <si>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</si>
  <si>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</si>
  <si>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</si>
  <si>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</si>
  <si>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</si>
  <si>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</si>
  <si>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</si>
  <si>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</si>
  <si>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</si>
  <si>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</si>
  <si>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</si>
  <si>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</si>
  <si>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</si>
  <si>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</si>
  <si>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</si>
  <si>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</si>
  <si>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</si>
  <si>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</si>
  <si>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</si>
  <si>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</si>
  <si>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</si>
  <si>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</si>
  <si>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</si>
  <si>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</si>
  <si>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</si>
  <si>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</si>
  <si>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</si>
  <si>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</si>
  <si>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</si>
  <si>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</si>
  <si>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</si>
  <si>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</si>
  <si>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</si>
  <si>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</si>
  <si>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</si>
  <si>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</si>
  <si>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</si>
  <si>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</si>
  <si>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</si>
  <si>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</si>
  <si>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</si>
  <si>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</si>
  <si>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</si>
  <si>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</si>
  <si>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</si>
  <si>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</si>
  <si>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</si>
  <si>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</si>
  <si>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</si>
  <si>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</si>
  <si>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</si>
  <si>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</si>
  <si>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</si>
  <si>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</si>
  <si>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</si>
  <si>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</si>
  <si>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</si>
  <si>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</si>
  <si>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</si>
  <si>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</si>
  <si>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</si>
  <si>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</si>
  <si>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</si>
  <si>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</si>
  <si>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</si>
  <si>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</si>
  <si>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</si>
  <si>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</si>
  <si>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</si>
  <si>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</si>
  <si>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</si>
  <si>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</si>
  <si>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</si>
  <si>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</si>
  <si>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</si>
  <si>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</si>
  <si>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</si>
  <si>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</si>
  <si>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</si>
  <si>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</si>
  <si>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</si>
  <si>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</si>
  <si>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</si>
  <si>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</si>
  <si>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</si>
  <si>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</si>
  <si>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</si>
  <si>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</si>
  <si>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</si>
  <si>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</si>
  <si>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</si>
  <si>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</si>
  <si>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</si>
  <si>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</si>
  <si>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</si>
  <si>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</si>
  <si>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</si>
  <si>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</si>
  <si>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</si>
  <si>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</si>
  <si>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</si>
  <si>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</si>
  <si>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</si>
  <si>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</si>
  <si>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</si>
  <si>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</si>
  <si>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</si>
  <si>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</si>
  <si>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</si>
  <si>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</si>
  <si>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</si>
  <si>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</si>
  <si>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</si>
  <si>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</si>
  <si>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</si>
  <si>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</si>
  <si>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</si>
  <si>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</si>
  <si>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</si>
  <si>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</si>
  <si>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</si>
  <si>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</si>
  <si>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</si>
  <si>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</si>
  <si>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</si>
  <si>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</si>
  <si>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</si>
  <si>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</si>
  <si>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</si>
  <si>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</si>
  <si>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</si>
  <si>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</si>
  <si>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</si>
  <si>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</si>
  <si>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</si>
  <si>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</si>
  <si>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</si>
  <si>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</si>
  <si>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</si>
  <si>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</si>
  <si>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</si>
  <si>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</si>
  <si>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</si>
  <si>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</si>
  <si>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</si>
  <si>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</si>
  <si>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</si>
  <si>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</si>
  <si>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</si>
  <si>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</si>
  <si>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</si>
  <si>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</si>
  <si>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</si>
  <si>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</si>
  <si>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</si>
  <si>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</si>
  <si>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</si>
  <si>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</si>
  <si>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</si>
  <si>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</si>
  <si>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</si>
  <si>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</si>
  <si>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</si>
  <si>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</si>
  <si>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</si>
  <si>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</si>
  <si>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</si>
  <si>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</si>
  <si>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</si>
  <si>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</si>
  <si>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</si>
  <si>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</si>
  <si>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</si>
  <si>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</si>
  <si>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</si>
  <si>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</si>
  <si>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</si>
  <si>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</si>
  <si>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</si>
  <si>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</si>
  <si>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</si>
  <si>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</si>
  <si>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</si>
  <si>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</si>
  <si>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</si>
  <si>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</si>
  <si>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</si>
  <si>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</si>
  <si>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</si>
  <si>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</si>
  <si>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</si>
  <si>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</si>
  <si>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</si>
  <si>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</si>
  <si>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</si>
  <si>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</si>
  <si>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</si>
  <si>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</si>
  <si>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</si>
  <si>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</si>
  <si>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</si>
  <si>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</si>
  <si>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</si>
  <si>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</si>
  <si>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</si>
  <si>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</si>
  <si>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</si>
  <si>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</si>
  <si>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</si>
  <si>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</si>
  <si>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</si>
  <si>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</si>
  <si>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</si>
  <si>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</si>
  <si>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</si>
  <si>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</si>
  <si>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</si>
  <si>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</si>
  <si>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</si>
  <si>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</si>
  <si>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</si>
  <si>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</si>
  <si>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</si>
  <si>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</si>
  <si>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</si>
  <si>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</si>
  <si>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</si>
  <si>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</si>
  <si>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</si>
  <si>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</si>
  <si>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</si>
  <si>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</si>
  <si>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</si>
  <si>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</si>
  <si>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</si>
  <si>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</si>
  <si>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</si>
  <si>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</si>
  <si>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</si>
  <si>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</si>
  <si>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</si>
  <si>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</si>
  <si>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</si>
  <si>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</si>
  <si>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</si>
  <si>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</si>
  <si>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</si>
  <si>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</si>
  <si>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</si>
  <si>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</si>
  <si>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</si>
  <si>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</si>
  <si>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</si>
  <si>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</si>
  <si>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</si>
  <si>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</si>
  <si>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</si>
  <si>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</si>
  <si>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</si>
  <si>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</si>
  <si>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</si>
  <si>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</si>
  <si>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</si>
  <si>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</si>
  <si>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</si>
  <si>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</si>
  <si>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</si>
  <si>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</si>
  <si>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</si>
  <si>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</si>
  <si>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</si>
  <si>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</si>
  <si>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</si>
  <si>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</si>
  <si>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</si>
  <si>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</si>
  <si>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</si>
  <si>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</si>
  <si>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</si>
  <si>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</si>
  <si>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</si>
  <si>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</si>
  <si>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</si>
  <si>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</si>
  <si>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</si>
  <si>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</si>
  <si>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</si>
  <si>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</si>
  <si>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</si>
  <si>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</si>
  <si>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</si>
  <si>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</si>
  <si>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</si>
  <si>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</si>
  <si>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</si>
  <si>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</si>
  <si>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</si>
  <si>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</si>
  <si>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</si>
  <si>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</si>
  <si>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</si>
  <si>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</si>
  <si>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</si>
  <si>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</si>
  <si>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</si>
  <si>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</si>
  <si>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</si>
  <si>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</si>
  <si>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</si>
  <si>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</si>
  <si>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</si>
  <si>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</si>
  <si>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</si>
  <si>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</si>
  <si>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</si>
  <si>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</si>
  <si>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</si>
  <si>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</si>
  <si>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</si>
  <si>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</si>
  <si>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</si>
  <si>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</si>
  <si>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</si>
  <si>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</si>
  <si>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</si>
  <si>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</si>
  <si>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</si>
  <si>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</si>
  <si>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</si>
  <si>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</si>
  <si>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</si>
  <si>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</si>
  <si>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</si>
  <si>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</si>
  <si>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</si>
  <si>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</si>
  <si>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</si>
  <si>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</si>
  <si>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</si>
  <si>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</si>
  <si>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</si>
  <si>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</si>
  <si>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</si>
  <si>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</si>
  <si>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</si>
  <si>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</si>
  <si>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</si>
  <si>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</si>
  <si>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</si>
  <si>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</si>
  <si>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</si>
  <si>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</si>
  <si>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</si>
  <si>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</si>
  <si>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</si>
  <si>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</si>
  <si>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</si>
  <si>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</si>
  <si>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</si>
  <si>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</si>
  <si>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</si>
  <si>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</si>
  <si>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</si>
  <si>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</si>
  <si>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</si>
  <si>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</si>
  <si>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</si>
  <si>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</si>
  <si>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</si>
  <si>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</si>
  <si>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</si>
  <si>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</si>
  <si>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</si>
  <si>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</si>
  <si>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</si>
  <si>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</si>
  <si>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</si>
  <si>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</si>
  <si>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</si>
  <si>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</si>
  <si>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</si>
  <si>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</si>
  <si>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</si>
  <si>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</si>
  <si>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</si>
  <si>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</si>
  <si>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</si>
  <si>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</si>
  <si>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</si>
  <si>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</si>
  <si>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</si>
  <si>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</si>
  <si>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</si>
  <si>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</si>
  <si>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</si>
  <si>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</si>
  <si>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</si>
  <si>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</si>
  <si>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</si>
  <si>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</si>
  <si>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</si>
  <si>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</si>
  <si>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</si>
  <si>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</si>
  <si>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</si>
  <si>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</si>
  <si>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</si>
  <si>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</si>
  <si>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</si>
  <si>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</si>
  <si>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</si>
  <si>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</si>
  <si>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</si>
  <si>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</si>
  <si>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</si>
  <si>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</si>
  <si>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</si>
  <si>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</si>
  <si>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</si>
  <si>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</si>
  <si>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</si>
  <si>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</si>
  <si>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</si>
  <si>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</si>
  <si>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</si>
  <si>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</si>
  <si>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</si>
  <si>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</si>
  <si>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</si>
  <si>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</si>
  <si>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</si>
  <si>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</si>
  <si>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</si>
  <si>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</si>
  <si>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</si>
  <si>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</si>
  <si>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</si>
  <si>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</si>
  <si>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</si>
  <si>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</si>
  <si>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</si>
  <si>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</si>
  <si>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</si>
  <si>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</si>
  <si>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</si>
  <si>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</si>
  <si>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</si>
  <si>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</si>
  <si>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</si>
  <si>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</si>
  <si>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</si>
  <si>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</si>
  <si>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</si>
  <si>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</si>
  <si>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</si>
  <si>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</si>
  <si>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</si>
  <si>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</si>
  <si>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</si>
  <si>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</si>
  <si>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</si>
  <si>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</si>
  <si>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</si>
  <si>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</si>
  <si>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</si>
  <si>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</si>
  <si>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</si>
  <si>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</si>
  <si>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</si>
  <si>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</si>
  <si>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</si>
  <si>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</si>
  <si>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</si>
  <si>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</si>
  <si>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</si>
  <si>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</si>
  <si>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</si>
  <si>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</si>
  <si>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</si>
  <si>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</si>
  <si>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</si>
  <si>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</si>
  <si>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</si>
  <si>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</si>
  <si>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</si>
  <si>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</si>
  <si>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</si>
  <si>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</si>
  <si>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</si>
  <si>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</si>
  <si>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</si>
  <si>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</si>
  <si>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</si>
  <si>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</si>
  <si>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</si>
  <si>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</si>
  <si>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</si>
  <si>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</si>
  <si>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</si>
  <si>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</si>
  <si>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</si>
  <si>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</si>
  <si>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</si>
  <si>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</si>
  <si>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</si>
  <si>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</si>
  <si>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</si>
  <si>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</si>
  <si>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</si>
  <si>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</si>
  <si>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</si>
  <si>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</si>
  <si>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</si>
  <si>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</si>
  <si>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</si>
  <si>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</si>
  <si>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</si>
  <si>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</si>
  <si>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</si>
  <si>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</si>
  <si>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</si>
  <si>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</si>
  <si>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</si>
  <si>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</si>
  <si>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</si>
  <si>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</si>
  <si>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</si>
  <si>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</si>
  <si>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</si>
  <si>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</si>
  <si>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</si>
  <si>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</si>
  <si>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</si>
  <si>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</si>
  <si>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</si>
  <si>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</si>
  <si>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</si>
  <si>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</si>
  <si>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</si>
  <si>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</si>
  <si>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</si>
  <si>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</si>
  <si>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</si>
  <si>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</si>
  <si>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</si>
  <si>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</si>
  <si>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</si>
  <si>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</si>
  <si>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</si>
  <si>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</si>
  <si>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</si>
  <si>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</si>
  <si>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</si>
  <si>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</si>
  <si>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</si>
  <si>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</si>
  <si>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</si>
  <si>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</si>
  <si>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</si>
  <si>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</si>
  <si>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</si>
  <si>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</si>
  <si>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</si>
  <si>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</si>
  <si>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</si>
  <si>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</si>
  <si>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</si>
  <si>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</si>
  <si>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</si>
  <si>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</si>
  <si>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</si>
  <si>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</si>
  <si>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</si>
  <si>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</si>
  <si>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</si>
  <si>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</si>
  <si>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</si>
  <si>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</si>
  <si>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</si>
  <si>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</si>
  <si>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</si>
  <si>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</si>
  <si>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</si>
  <si>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</si>
  <si>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</si>
  <si>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</si>
  <si>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</si>
  <si>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</si>
  <si>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</si>
  <si>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</si>
  <si>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</si>
  <si>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</si>
  <si>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</si>
  <si>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</si>
  <si>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</si>
  <si>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</si>
  <si>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</si>
  <si>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</si>
  <si>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</si>
  <si>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</si>
  <si>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</si>
  <si>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</si>
  <si>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</si>
  <si>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</si>
  <si>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</si>
  <si>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</si>
  <si>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</si>
  <si>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</si>
  <si>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</si>
  <si>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</si>
  <si>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</si>
  <si>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</si>
  <si>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</si>
  <si>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</si>
  <si>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</si>
  <si>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</si>
  <si>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</si>
  <si>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</si>
  <si>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</si>
  <si>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</si>
  <si>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</si>
  <si>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</si>
  <si>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</si>
  <si>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</si>
  <si>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</si>
  <si>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</si>
  <si>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</si>
  <si>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</si>
  <si>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</si>
  <si>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</si>
  <si>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</si>
  <si>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</si>
  <si>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</si>
  <si>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</si>
  <si>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</si>
  <si>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</si>
  <si>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</si>
  <si>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</si>
  <si>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</si>
  <si>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</si>
  <si>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</si>
  <si>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</si>
  <si>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</si>
  <si>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</si>
  <si>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</si>
  <si>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</si>
  <si>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</si>
  <si>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</si>
  <si>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</si>
  <si>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</si>
  <si>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</si>
  <si>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</si>
  <si>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</si>
  <si>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</si>
  <si>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</si>
  <si>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</si>
  <si>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</si>
  <si>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</si>
  <si>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</si>
  <si>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</si>
  <si>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</si>
  <si>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</si>
  <si>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</si>
  <si>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</si>
  <si>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</si>
  <si>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</si>
  <si>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</si>
  <si>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</si>
  <si>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</si>
  <si>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</si>
  <si>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</si>
  <si>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</si>
  <si>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</si>
  <si>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</si>
  <si>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</si>
  <si>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</si>
  <si>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</si>
  <si>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</si>
  <si>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</si>
  <si>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</si>
  <si>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</si>
  <si>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</si>
  <si>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</si>
  <si>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</si>
  <si>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</si>
  <si>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</si>
  <si>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</si>
  <si>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</si>
  <si>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</si>
  <si>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</si>
  <si>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</si>
  <si>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</si>
  <si>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</si>
  <si>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</si>
  <si>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</si>
  <si>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</si>
  <si>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</si>
  <si>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</si>
  <si>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</si>
  <si>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</si>
  <si>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</si>
  <si>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</si>
  <si>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</si>
  <si>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</si>
  <si>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</si>
  <si>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</si>
  <si>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</si>
  <si>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</si>
  <si>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</si>
  <si>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</si>
  <si>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</si>
  <si>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</si>
  <si>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</si>
  <si>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</si>
  <si>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</si>
  <si>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</si>
  <si>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</si>
  <si>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</si>
  <si>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</si>
  <si>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</si>
  <si>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</si>
  <si>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</si>
  <si>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</si>
  <si>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</si>
  <si>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</si>
  <si>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</si>
  <si>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</si>
  <si>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</si>
  <si>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</si>
  <si>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</si>
  <si>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</si>
  <si>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</si>
  <si>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</si>
  <si>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</si>
  <si>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</si>
  <si>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</si>
  <si>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</si>
  <si>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</si>
  <si>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</si>
  <si>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</si>
  <si>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</si>
  <si>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</si>
  <si>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</si>
  <si>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</si>
  <si>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</si>
  <si>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</si>
  <si>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</si>
  <si>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</si>
  <si>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</si>
  <si>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</si>
  <si>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</si>
  <si>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</si>
  <si>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</si>
  <si>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</si>
  <si>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</si>
  <si>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</si>
  <si>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</si>
  <si>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</si>
  <si>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</si>
  <si>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</si>
  <si>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</si>
  <si>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</si>
  <si>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</si>
  <si>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</si>
  <si>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</si>
  <si>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</si>
  <si>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</si>
  <si>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</si>
  <si>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</si>
  <si>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</si>
  <si>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</si>
  <si>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</si>
  <si>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</si>
  <si>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</si>
  <si>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</si>
  <si>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</si>
  <si>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</si>
  <si>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</si>
  <si>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</si>
  <si>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</si>
  <si>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</si>
  <si>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</si>
  <si>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</si>
  <si>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</si>
  <si>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</si>
  <si>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</si>
  <si>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</si>
  <si>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</si>
  <si>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</si>
  <si>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</si>
  <si>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</si>
  <si>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</si>
  <si>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</si>
  <si>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</si>
  <si>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</si>
  <si>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</si>
  <si>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</si>
  <si>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</si>
  <si>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</si>
  <si>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</si>
  <si>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</si>
  <si>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</si>
  <si>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</si>
  <si>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</si>
  <si>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</si>
  <si>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</si>
  <si>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</si>
  <si>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</si>
  <si>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</si>
  <si>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</si>
  <si>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</si>
  <si>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</si>
  <si>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</si>
  <si>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</si>
  <si>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</si>
  <si>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</si>
  <si>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</si>
  <si>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</si>
  <si>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</si>
  <si>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</si>
  <si>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</si>
  <si>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</si>
  <si>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</si>
  <si>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</si>
  <si>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</si>
  <si>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</si>
  <si>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</si>
  <si>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</si>
  <si>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</si>
  <si>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</si>
  <si>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</si>
  <si>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</si>
  <si>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</si>
  <si>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</si>
  <si>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</si>
  <si>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</si>
  <si>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</si>
  <si>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</si>
  <si>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</si>
  <si>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</si>
  <si>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</si>
  <si>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</si>
  <si>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</si>
  <si>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</si>
  <si>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</si>
  <si>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</si>
  <si>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</si>
  <si>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</si>
  <si>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</si>
  <si>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</si>
  <si>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</si>
  <si>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</si>
  <si>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</si>
  <si>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</si>
  <si>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</si>
  <si>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</si>
  <si>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</si>
  <si>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</si>
  <si>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</si>
  <si>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</si>
  <si>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</si>
  <si>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</si>
  <si>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</si>
  <si>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</si>
  <si>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</si>
  <si>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</si>
  <si>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</si>
  <si>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</si>
  <si>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</si>
  <si>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</si>
  <si>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</si>
  <si>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</si>
  <si>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</si>
  <si>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</si>
  <si>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</si>
  <si>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</si>
  <si>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</si>
  <si>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</si>
  <si>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</si>
  <si>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</si>
  <si>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</si>
  <si>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</si>
  <si>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</si>
  <si>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</si>
  <si>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</si>
  <si>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</si>
  <si>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</si>
  <si>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</si>
  <si>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</si>
  <si>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</si>
  <si>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</si>
  <si>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</si>
  <si>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</si>
  <si>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</si>
  <si>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</si>
  <si>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</si>
  <si>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</si>
  <si>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</si>
  <si>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</si>
  <si>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</si>
  <si>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</si>
  <si>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</si>
  <si>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</si>
  <si>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</si>
  <si>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</si>
  <si>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</si>
  <si>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</si>
  <si>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</si>
  <si>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</si>
  <si>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</si>
  <si>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</si>
  <si>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</si>
  <si>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</si>
  <si>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</si>
  <si>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</si>
  <si>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</si>
  <si>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</si>
  <si>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</si>
  <si>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</si>
  <si>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</si>
  <si>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</si>
  <si>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</si>
  <si>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</si>
  <si>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</si>
  <si>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</si>
  <si>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</si>
  <si>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</si>
  <si>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</si>
  <si>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</si>
  <si>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</si>
  <si>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</si>
  <si>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</si>
  <si>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</si>
  <si>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</si>
  <si>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</si>
  <si>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</si>
  <si>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</si>
  <si>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</si>
  <si>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</si>
  <si>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</si>
  <si>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</si>
  <si>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</si>
  <si>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</si>
  <si>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</si>
  <si>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</si>
  <si>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</si>
  <si>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</si>
  <si>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</si>
  <si>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</si>
  <si>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</si>
  <si>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</si>
  <si>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</si>
  <si>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</si>
  <si>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</si>
  <si>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</si>
  <si>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</si>
  <si>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</si>
  <si>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</si>
  <si>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</si>
  <si>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</si>
  <si>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</si>
  <si>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</si>
  <si>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</si>
  <si>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</si>
  <si>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</si>
  <si>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</si>
  <si>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</si>
  <si>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</si>
  <si>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</si>
  <si>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</si>
  <si>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</si>
  <si>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</si>
  <si>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</si>
  <si>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</si>
  <si>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</si>
  <si>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</si>
  <si>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</si>
  <si>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</si>
  <si>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</si>
  <si>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</si>
  <si>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</si>
  <si>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</si>
  <si>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</si>
  <si>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</si>
  <si>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</si>
  <si>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</si>
  <si>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</si>
  <si>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</si>
  <si>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</si>
  <si>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</si>
  <si>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</si>
  <si>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</si>
  <si>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</si>
  <si>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</si>
  <si>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</si>
  <si>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</si>
  <si>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</si>
  <si>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</si>
  <si>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</si>
  <si>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</si>
  <si>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</si>
  <si>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</si>
  <si>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</si>
  <si>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</si>
  <si>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</si>
  <si>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</si>
  <si>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</si>
  <si>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</si>
  <si>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</si>
  <si>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</si>
  <si>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</si>
  <si>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</si>
  <si>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</si>
  <si>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</si>
  <si>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</si>
  <si>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</si>
  <si>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</si>
  <si>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</si>
  <si>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</si>
  <si>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</si>
  <si>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</si>
  <si>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</si>
  <si>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</si>
  <si>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</si>
  <si>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</si>
  <si>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</si>
  <si>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</si>
  <si>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</si>
  <si>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</si>
  <si>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</si>
  <si>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</si>
  <si>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</si>
  <si>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</si>
  <si>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</si>
  <si>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</si>
  <si>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</si>
  <si>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</si>
  <si>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</si>
  <si>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</si>
  <si>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</si>
  <si>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</si>
  <si>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</si>
  <si>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</si>
  <si>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Pemasangan APP 1 Fasa Di Bangunan</t>
  </si>
  <si>
    <t>Daya 11.000 VA</t>
  </si>
  <si>
    <t>R3</t>
  </si>
  <si>
    <t>KOORDINAT : -6.925480, 110.48361183</t>
  </si>
  <si>
    <t>CJ5-T</t>
  </si>
  <si>
    <t>DS MORODEMAK, KEC SAYUNG</t>
  </si>
  <si>
    <t xml:space="preserve">PT YAXING CONSTRUKSION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</si>
</sst>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5" fillId="0" borderId="0"/>
    <xf numFmtId="165" fontId="22" fillId="0" borderId="0" applyFont="0" applyFill="0" applyBorder="0" applyAlignment="0" applyProtection="0"/>
    <xf numFmtId="0" fontId="5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166" fontId="22" fillId="0" borderId="0" applyFont="0" applyFill="0" applyBorder="0" applyAlignment="0" applyProtection="0"/>
  </cellStyleXfs>
  <cellXfs count="719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8" fontId="142" fillId="40" borderId="87" xfId="2672" applyNumberFormat="1" applyFont="1" applyFill="1" applyBorder="1" applyAlignment="1" applyProtection="1">
      <alignment horizontal="right" vertical="center"/>
      <protection locked="0"/>
    </xf>
    <xf numFmtId="168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3" fillId="0" borderId="21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7" fontId="176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106</xdr:row>
      <xdr:rowOff>81642</xdr:rowOff>
    </xdr:from>
    <xdr:to>
      <xdr:col>12</xdr:col>
      <xdr:colOff>41108</xdr:colOff>
      <xdr:row>109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2334" y="822053"/>
          <a:ext cx="1488839" cy="180389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15</xdr:col>
      <xdr:colOff>267804</xdr:colOff>
      <xdr:row>44</xdr:row>
      <xdr:rowOff>29307</xdr:rowOff>
    </xdr:from>
    <xdr:to>
      <xdr:col>21</xdr:col>
      <xdr:colOff>183173</xdr:colOff>
      <xdr:row>52</xdr:row>
      <xdr:rowOff>136545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16D5CB-2117-3438-72AF-A4494C48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8535" y="6828692"/>
          <a:ext cx="2201369" cy="1440738"/>
        </a:xfrm>
        <a:prstGeom prst="rect">
          <a:avLst/>
        </a:prstGeom>
      </xdr:spPr>
    </xdr:pic>
    <xdr:clientData/>
  </xdr:twoCellAnchor>
  <xdr:twoCellAnchor>
    <xdr:from>
      <xdr:col>4</xdr:col>
      <xdr:colOff>102578</xdr:colOff>
      <xdr:row>23</xdr:row>
      <xdr:rowOff>94203</xdr:rowOff>
    </xdr:from>
    <xdr:to>
      <xdr:col>19</xdr:col>
      <xdr:colOff>157006</xdr:colOff>
      <xdr:row>23</xdr:row>
      <xdr:rowOff>94203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40ECCFE-BE37-162B-22FC-56E5686B009B}"/>
            </a:ext>
          </a:extLst>
        </xdr:cNvPr>
        <xdr:cNvCxnSpPr/>
      </xdr:nvCxnSpPr>
      <xdr:spPr>
        <a:xfrm>
          <a:off x="1172309" y="3655088"/>
          <a:ext cx="5769428" cy="0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108857</xdr:colOff>
      <xdr:row>24</xdr:row>
      <xdr:rowOff>54428</xdr:rowOff>
    </xdr:from>
    <xdr:to>
      <xdr:col>18</xdr:col>
      <xdr:colOff>234085</xdr:colOff>
      <xdr:row>25</xdr:row>
      <xdr:rowOff>58741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4D0BBF5-033B-4477-8CB6-DB0AEEE384FA}"/>
            </a:ext>
          </a:extLst>
        </xdr:cNvPr>
        <xdr:cNvGrpSpPr/>
      </xdr:nvGrpSpPr>
      <xdr:grpSpPr>
        <a:xfrm rot="21333083">
          <a:off x="6512588" y="3769178"/>
          <a:ext cx="125228" cy="1581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607554D4-BBA6-6771-9944-CC0A85B19F5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57CDFFBB-4B2F-AC1C-5ACD-8BEBA327A80F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C627AED3-66D3-FA22-AD96-E358F6BB3179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190499</xdr:colOff>
      <xdr:row>20</xdr:row>
      <xdr:rowOff>151038</xdr:rowOff>
    </xdr:from>
    <xdr:to>
      <xdr:col>16</xdr:col>
      <xdr:colOff>315727</xdr:colOff>
      <xdr:row>22</xdr:row>
      <xdr:rowOff>2951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CA650972-C304-474F-B2C0-5AAC89D177D8}"/>
            </a:ext>
          </a:extLst>
        </xdr:cNvPr>
        <xdr:cNvGrpSpPr/>
      </xdr:nvGrpSpPr>
      <xdr:grpSpPr>
        <a:xfrm rot="21333083">
          <a:off x="5832230" y="3250326"/>
          <a:ext cx="125228" cy="15964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4BCBB8FE-5545-E036-1F0D-2930690957A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C914006A-1C28-F50A-856A-D9408861434A}"/>
              </a:ext>
            </a:extLst>
          </xdr:cNvPr>
          <xdr:cNvCxnSpPr>
            <a:stCxn id="20" idx="1"/>
            <a:endCxn id="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8D075565-CE4D-11DE-0958-BD58F0B298F3}"/>
              </a:ext>
            </a:extLst>
          </xdr:cNvPr>
          <xdr:cNvCxnSpPr>
            <a:stCxn id="20" idx="3"/>
            <a:endCxn id="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163286</xdr:colOff>
      <xdr:row>20</xdr:row>
      <xdr:rowOff>136071</xdr:rowOff>
    </xdr:from>
    <xdr:to>
      <xdr:col>14</xdr:col>
      <xdr:colOff>288514</xdr:colOff>
      <xdr:row>21</xdr:row>
      <xdr:rowOff>140385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AA1AB2CF-BFCA-42D4-B41A-6C1867886D9C}"/>
            </a:ext>
          </a:extLst>
        </xdr:cNvPr>
        <xdr:cNvGrpSpPr/>
      </xdr:nvGrpSpPr>
      <xdr:grpSpPr>
        <a:xfrm rot="21333083">
          <a:off x="5043017" y="3235359"/>
          <a:ext cx="125228" cy="1581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ED3F2D0E-B938-3936-0624-059CB57983B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F512F9E-4E24-9398-8C04-07BF5E25206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06BCBD7-2112-2D85-2AAA-DF99CE702AEF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231321</xdr:colOff>
      <xdr:row>20</xdr:row>
      <xdr:rowOff>136072</xdr:rowOff>
    </xdr:from>
    <xdr:to>
      <xdr:col>12</xdr:col>
      <xdr:colOff>356549</xdr:colOff>
      <xdr:row>21</xdr:row>
      <xdr:rowOff>140386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6EBDDCED-8DBC-46B3-AE82-20750484BFB8}"/>
            </a:ext>
          </a:extLst>
        </xdr:cNvPr>
        <xdr:cNvGrpSpPr/>
      </xdr:nvGrpSpPr>
      <xdr:grpSpPr>
        <a:xfrm rot="21333083">
          <a:off x="4349052" y="3235360"/>
          <a:ext cx="125228" cy="1581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A675DF83-AA01-20C8-428B-5B3EB2005AB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1EE70CD-48A5-7CBA-9470-44BA78305EB5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60C22AFA-ED9D-50CA-BF62-7A26D4136898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340178</xdr:colOff>
      <xdr:row>20</xdr:row>
      <xdr:rowOff>136071</xdr:rowOff>
    </xdr:from>
    <xdr:to>
      <xdr:col>11</xdr:col>
      <xdr:colOff>84406</xdr:colOff>
      <xdr:row>21</xdr:row>
      <xdr:rowOff>140385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E3C34C9-7BF9-464B-8010-00DF46E76788}"/>
            </a:ext>
          </a:extLst>
        </xdr:cNvPr>
        <xdr:cNvGrpSpPr/>
      </xdr:nvGrpSpPr>
      <xdr:grpSpPr>
        <a:xfrm rot="21333083">
          <a:off x="3695909" y="3235359"/>
          <a:ext cx="125228" cy="1581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E4E0AD08-10F5-2648-956C-EB6C95FC60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12D83122-F0CF-24E6-8BF2-B692018E124D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EC1BF22F-2D67-AD8B-11A5-FB33715E515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40820</xdr:colOff>
      <xdr:row>20</xdr:row>
      <xdr:rowOff>122464</xdr:rowOff>
    </xdr:from>
    <xdr:to>
      <xdr:col>9</xdr:col>
      <xdr:colOff>166048</xdr:colOff>
      <xdr:row>21</xdr:row>
      <xdr:rowOff>126778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65C94FE8-1BD8-4CE3-9F11-B932ED3887CD}"/>
            </a:ext>
          </a:extLst>
        </xdr:cNvPr>
        <xdr:cNvGrpSpPr/>
      </xdr:nvGrpSpPr>
      <xdr:grpSpPr>
        <a:xfrm rot="21333083">
          <a:off x="3015551" y="3221752"/>
          <a:ext cx="125228" cy="1581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C61A8B10-BBB3-87D9-175B-9262CAEBD0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2A5CDFC3-FDF8-46C0-9D5F-D40267C3B527}"/>
              </a:ext>
            </a:extLst>
          </xdr:cNvPr>
          <xdr:cNvCxnSpPr>
            <a:stCxn id="37" idx="1"/>
            <a:endCxn id="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38D5EF8A-CCCD-884C-F862-655A3A09529D}"/>
              </a:ext>
            </a:extLst>
          </xdr:cNvPr>
          <xdr:cNvCxnSpPr>
            <a:stCxn id="37" idx="3"/>
            <a:endCxn id="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340178</xdr:colOff>
      <xdr:row>20</xdr:row>
      <xdr:rowOff>127907</xdr:rowOff>
    </xdr:from>
    <xdr:to>
      <xdr:col>7</xdr:col>
      <xdr:colOff>84406</xdr:colOff>
      <xdr:row>21</xdr:row>
      <xdr:rowOff>132221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C303B3CA-EEC0-498C-B2C2-68E82D48EEBC}"/>
            </a:ext>
          </a:extLst>
        </xdr:cNvPr>
        <xdr:cNvGrpSpPr/>
      </xdr:nvGrpSpPr>
      <xdr:grpSpPr>
        <a:xfrm rot="21333083">
          <a:off x="2171909" y="3227195"/>
          <a:ext cx="125228" cy="158180"/>
          <a:chOff x="3725636" y="1945820"/>
          <a:chExt cx="153760" cy="144237"/>
        </a:xfrm>
        <a:solidFill>
          <a:schemeClr val="tx1"/>
        </a:solidFill>
      </xdr:grpSpPr>
      <xdr:sp macro="" textlink="">
        <xdr:nvSpPr>
          <xdr:cNvPr id="41" name="Oval 40">
            <a:extLst>
              <a:ext uri="{FF2B5EF4-FFF2-40B4-BE49-F238E27FC236}">
                <a16:creationId xmlns:a16="http://schemas.microsoft.com/office/drawing/2014/main" id="{B09DBFA7-D345-2433-9B94-92CF1E025D6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F8F330A3-7446-C11B-9FF1-BD7FF177A702}"/>
              </a:ext>
            </a:extLst>
          </xdr:cNvPr>
          <xdr:cNvCxnSpPr>
            <a:stCxn id="41" idx="1"/>
            <a:endCxn id="4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DAE5C0F9-327C-77A7-EA96-E30DD48AD00B}"/>
              </a:ext>
            </a:extLst>
          </xdr:cNvPr>
          <xdr:cNvCxnSpPr>
            <a:stCxn id="41" idx="3"/>
            <a:endCxn id="4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9525</xdr:colOff>
      <xdr:row>20</xdr:row>
      <xdr:rowOff>142875</xdr:rowOff>
    </xdr:from>
    <xdr:to>
      <xdr:col>5</xdr:col>
      <xdr:colOff>134753</xdr:colOff>
      <xdr:row>21</xdr:row>
      <xdr:rowOff>147189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9EC5A1B-D65D-47ED-A525-39F33B9A1B06}"/>
            </a:ext>
          </a:extLst>
        </xdr:cNvPr>
        <xdr:cNvGrpSpPr/>
      </xdr:nvGrpSpPr>
      <xdr:grpSpPr>
        <a:xfrm rot="21333083">
          <a:off x="1460256" y="3242163"/>
          <a:ext cx="125228" cy="1581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BA033DD3-F666-52DA-05D8-96C41FA078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9F7B7B7E-B121-B129-6731-662ABF16A561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3FFB27B-C086-974C-1010-D89757C293AB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120578</xdr:colOff>
      <xdr:row>21</xdr:row>
      <xdr:rowOff>120638</xdr:rowOff>
    </xdr:from>
    <xdr:to>
      <xdr:col>16</xdr:col>
      <xdr:colOff>213269</xdr:colOff>
      <xdr:row>21</xdr:row>
      <xdr:rowOff>135668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823D67E3-A4A1-A906-61C0-FA6C08527792}"/>
            </a:ext>
          </a:extLst>
        </xdr:cNvPr>
        <xdr:cNvCxnSpPr>
          <a:stCxn id="45" idx="5"/>
          <a:endCxn id="20" idx="3"/>
        </xdr:cNvCxnSpPr>
      </xdr:nvCxnSpPr>
      <xdr:spPr>
        <a:xfrm>
          <a:off x="1568378" y="3349613"/>
          <a:ext cx="4283691" cy="1503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259191</xdr:colOff>
      <xdr:row>22</xdr:row>
      <xdr:rowOff>2715</xdr:rowOff>
    </xdr:from>
    <xdr:to>
      <xdr:col>18</xdr:col>
      <xdr:colOff>109046</xdr:colOff>
      <xdr:row>24</xdr:row>
      <xdr:rowOff>137642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9A963DC8-6C4E-4B1F-8DDE-89BB5E9149E2}"/>
            </a:ext>
          </a:extLst>
        </xdr:cNvPr>
        <xdr:cNvCxnSpPr>
          <a:stCxn id="20" idx="4"/>
          <a:endCxn id="15" idx="2"/>
        </xdr:cNvCxnSpPr>
      </xdr:nvCxnSpPr>
      <xdr:spPr>
        <a:xfrm>
          <a:off x="5897991" y="3384090"/>
          <a:ext cx="611855" cy="43972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66061</xdr:colOff>
      <xdr:row>20</xdr:row>
      <xdr:rowOff>143111</xdr:rowOff>
    </xdr:from>
    <xdr:to>
      <xdr:col>16</xdr:col>
      <xdr:colOff>247035</xdr:colOff>
      <xdr:row>20</xdr:row>
      <xdr:rowOff>151274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85D5D2A9-EE0F-464C-88A3-E41CC05D3B91}"/>
            </a:ext>
          </a:extLst>
        </xdr:cNvPr>
        <xdr:cNvCxnSpPr>
          <a:stCxn id="45" idx="0"/>
          <a:endCxn id="20" idx="0"/>
        </xdr:cNvCxnSpPr>
      </xdr:nvCxnSpPr>
      <xdr:spPr>
        <a:xfrm>
          <a:off x="1513861" y="3219686"/>
          <a:ext cx="4371974" cy="816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292957</xdr:colOff>
      <xdr:row>21</xdr:row>
      <xdr:rowOff>18321</xdr:rowOff>
    </xdr:from>
    <xdr:to>
      <xdr:col>18</xdr:col>
      <xdr:colOff>165393</xdr:colOff>
      <xdr:row>24</xdr:row>
      <xdr:rowOff>54664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1B0BC71D-D499-4E6B-9A82-F98022AA1F32}"/>
            </a:ext>
          </a:extLst>
        </xdr:cNvPr>
        <xdr:cNvCxnSpPr>
          <a:stCxn id="20" idx="7"/>
          <a:endCxn id="15" idx="0"/>
        </xdr:cNvCxnSpPr>
      </xdr:nvCxnSpPr>
      <xdr:spPr>
        <a:xfrm>
          <a:off x="5931757" y="3247296"/>
          <a:ext cx="634436" cy="49354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261831</xdr:colOff>
      <xdr:row>21</xdr:row>
      <xdr:rowOff>12013</xdr:rowOff>
    </xdr:from>
    <xdr:to>
      <xdr:col>6</xdr:col>
      <xdr:colOff>272342</xdr:colOff>
      <xdr:row>22</xdr:row>
      <xdr:rowOff>69938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29BA3376-7803-4AFA-B460-6D1B4BC835E1}"/>
            </a:ext>
          </a:extLst>
        </xdr:cNvPr>
        <xdr:cNvSpPr/>
      </xdr:nvSpPr>
      <xdr:spPr>
        <a:xfrm rot="341496">
          <a:off x="1708440" y="3280279"/>
          <a:ext cx="391511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7</xdr:col>
      <xdr:colOff>309563</xdr:colOff>
      <xdr:row>21</xdr:row>
      <xdr:rowOff>23813</xdr:rowOff>
    </xdr:from>
    <xdr:to>
      <xdr:col>8</xdr:col>
      <xdr:colOff>320074</xdr:colOff>
      <xdr:row>22</xdr:row>
      <xdr:rowOff>81738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51251C77-605C-499A-B732-7A97F5C6A521}"/>
            </a:ext>
          </a:extLst>
        </xdr:cNvPr>
        <xdr:cNvSpPr/>
      </xdr:nvSpPr>
      <xdr:spPr>
        <a:xfrm rot="341496">
          <a:off x="2518172" y="3292079"/>
          <a:ext cx="391511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255984</xdr:colOff>
      <xdr:row>21</xdr:row>
      <xdr:rowOff>23812</xdr:rowOff>
    </xdr:from>
    <xdr:to>
      <xdr:col>10</xdr:col>
      <xdr:colOff>266495</xdr:colOff>
      <xdr:row>22</xdr:row>
      <xdr:rowOff>81737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B9929CBF-D37F-421B-B623-A9BA02F7E840}"/>
            </a:ext>
          </a:extLst>
        </xdr:cNvPr>
        <xdr:cNvSpPr/>
      </xdr:nvSpPr>
      <xdr:spPr>
        <a:xfrm rot="341496">
          <a:off x="3226593" y="3292078"/>
          <a:ext cx="391511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101203</xdr:colOff>
      <xdr:row>21</xdr:row>
      <xdr:rowOff>17859</xdr:rowOff>
    </xdr:from>
    <xdr:to>
      <xdr:col>12</xdr:col>
      <xdr:colOff>111714</xdr:colOff>
      <xdr:row>22</xdr:row>
      <xdr:rowOff>75784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2FA5D384-7391-4204-9375-0F025AE18C1B}"/>
            </a:ext>
          </a:extLst>
        </xdr:cNvPr>
        <xdr:cNvSpPr/>
      </xdr:nvSpPr>
      <xdr:spPr>
        <a:xfrm rot="341496">
          <a:off x="3833812" y="3286125"/>
          <a:ext cx="391511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13</xdr:col>
      <xdr:colOff>71437</xdr:colOff>
      <xdr:row>21</xdr:row>
      <xdr:rowOff>35720</xdr:rowOff>
    </xdr:from>
    <xdr:to>
      <xdr:col>14</xdr:col>
      <xdr:colOff>81948</xdr:colOff>
      <xdr:row>22</xdr:row>
      <xdr:rowOff>93645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77BDC643-AE58-4FDA-A782-69DE21647029}"/>
            </a:ext>
          </a:extLst>
        </xdr:cNvPr>
        <xdr:cNvSpPr/>
      </xdr:nvSpPr>
      <xdr:spPr>
        <a:xfrm rot="341496">
          <a:off x="4566046" y="3303986"/>
          <a:ext cx="391511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15</xdr:col>
      <xdr:colOff>17860</xdr:colOff>
      <xdr:row>21</xdr:row>
      <xdr:rowOff>35718</xdr:rowOff>
    </xdr:from>
    <xdr:to>
      <xdr:col>16</xdr:col>
      <xdr:colOff>28371</xdr:colOff>
      <xdr:row>22</xdr:row>
      <xdr:rowOff>93643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C29818D8-BF4E-4833-A16D-38568193945F}"/>
            </a:ext>
          </a:extLst>
        </xdr:cNvPr>
        <xdr:cNvSpPr/>
      </xdr:nvSpPr>
      <xdr:spPr>
        <a:xfrm rot="341496">
          <a:off x="5274469" y="3303984"/>
          <a:ext cx="391511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16</xdr:col>
      <xdr:colOff>297657</xdr:colOff>
      <xdr:row>22</xdr:row>
      <xdr:rowOff>53578</xdr:rowOff>
    </xdr:from>
    <xdr:to>
      <xdr:col>17</xdr:col>
      <xdr:colOff>308168</xdr:colOff>
      <xdr:row>23</xdr:row>
      <xdr:rowOff>111503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3EA854C2-0142-4E11-BFD7-FE84884F944A}"/>
            </a:ext>
          </a:extLst>
        </xdr:cNvPr>
        <xdr:cNvSpPr/>
      </xdr:nvSpPr>
      <xdr:spPr>
        <a:xfrm rot="2504751">
          <a:off x="5935266" y="3476625"/>
          <a:ext cx="391511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17</xdr:col>
      <xdr:colOff>4116</xdr:colOff>
      <xdr:row>21</xdr:row>
      <xdr:rowOff>120900</xdr:rowOff>
    </xdr:from>
    <xdr:to>
      <xdr:col>18</xdr:col>
      <xdr:colOff>18091</xdr:colOff>
      <xdr:row>23</xdr:row>
      <xdr:rowOff>24044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2DE5ADCE-F12E-4085-AFAF-DD1081653298}"/>
            </a:ext>
          </a:extLst>
        </xdr:cNvPr>
        <xdr:cNvSpPr/>
      </xdr:nvSpPr>
      <xdr:spPr>
        <a:xfrm rot="1540459">
          <a:off x="6022725" y="3389166"/>
          <a:ext cx="394975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</a:t>
          </a:r>
        </a:p>
      </xdr:txBody>
    </xdr:sp>
    <xdr:clientData/>
  </xdr:twoCellAnchor>
  <xdr:twoCellAnchor>
    <xdr:from>
      <xdr:col>15</xdr:col>
      <xdr:colOff>65484</xdr:colOff>
      <xdr:row>20</xdr:row>
      <xdr:rowOff>35719</xdr:rowOff>
    </xdr:from>
    <xdr:to>
      <xdr:col>16</xdr:col>
      <xdr:colOff>79459</xdr:colOff>
      <xdr:row>21</xdr:row>
      <xdr:rowOff>93643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B74868DE-61C3-4481-AF61-C3970175A069}"/>
            </a:ext>
          </a:extLst>
        </xdr:cNvPr>
        <xdr:cNvSpPr/>
      </xdr:nvSpPr>
      <xdr:spPr>
        <a:xfrm>
          <a:off x="5322093" y="3149203"/>
          <a:ext cx="394975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</a:t>
          </a:r>
        </a:p>
      </xdr:txBody>
    </xdr:sp>
    <xdr:clientData/>
  </xdr:twoCellAnchor>
  <xdr:twoCellAnchor>
    <xdr:from>
      <xdr:col>13</xdr:col>
      <xdr:colOff>59531</xdr:colOff>
      <xdr:row>20</xdr:row>
      <xdr:rowOff>23813</xdr:rowOff>
    </xdr:from>
    <xdr:to>
      <xdr:col>14</xdr:col>
      <xdr:colOff>73506</xdr:colOff>
      <xdr:row>21</xdr:row>
      <xdr:rowOff>81737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22551A9A-2673-45D2-87C7-E66A0996C56C}"/>
            </a:ext>
          </a:extLst>
        </xdr:cNvPr>
        <xdr:cNvSpPr/>
      </xdr:nvSpPr>
      <xdr:spPr>
        <a:xfrm>
          <a:off x="4554140" y="3137297"/>
          <a:ext cx="394975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</a:t>
          </a:r>
        </a:p>
      </xdr:txBody>
    </xdr:sp>
    <xdr:clientData/>
  </xdr:twoCellAnchor>
  <xdr:twoCellAnchor>
    <xdr:from>
      <xdr:col>11</xdr:col>
      <xdr:colOff>172640</xdr:colOff>
      <xdr:row>20</xdr:row>
      <xdr:rowOff>41672</xdr:rowOff>
    </xdr:from>
    <xdr:to>
      <xdr:col>12</xdr:col>
      <xdr:colOff>186615</xdr:colOff>
      <xdr:row>21</xdr:row>
      <xdr:rowOff>99596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C31472AE-4124-4D93-B003-2552E8132F90}"/>
            </a:ext>
          </a:extLst>
        </xdr:cNvPr>
        <xdr:cNvSpPr/>
      </xdr:nvSpPr>
      <xdr:spPr>
        <a:xfrm>
          <a:off x="3905249" y="3155156"/>
          <a:ext cx="394975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</a:t>
          </a:r>
        </a:p>
      </xdr:txBody>
    </xdr:sp>
    <xdr:clientData/>
  </xdr:twoCellAnchor>
  <xdr:twoCellAnchor>
    <xdr:from>
      <xdr:col>9</xdr:col>
      <xdr:colOff>267891</xdr:colOff>
      <xdr:row>20</xdr:row>
      <xdr:rowOff>47625</xdr:rowOff>
    </xdr:from>
    <xdr:to>
      <xdr:col>10</xdr:col>
      <xdr:colOff>281866</xdr:colOff>
      <xdr:row>21</xdr:row>
      <xdr:rowOff>75783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C358D053-1115-4C2A-9FD3-12293D20E369}"/>
            </a:ext>
          </a:extLst>
        </xdr:cNvPr>
        <xdr:cNvSpPr/>
      </xdr:nvSpPr>
      <xdr:spPr>
        <a:xfrm>
          <a:off x="3238500" y="3161109"/>
          <a:ext cx="394975" cy="18294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</a:t>
          </a:r>
        </a:p>
      </xdr:txBody>
    </xdr:sp>
    <xdr:clientData/>
  </xdr:twoCellAnchor>
  <xdr:twoCellAnchor>
    <xdr:from>
      <xdr:col>7</xdr:col>
      <xdr:colOff>208359</xdr:colOff>
      <xdr:row>20</xdr:row>
      <xdr:rowOff>41672</xdr:rowOff>
    </xdr:from>
    <xdr:to>
      <xdr:col>8</xdr:col>
      <xdr:colOff>222334</xdr:colOff>
      <xdr:row>21</xdr:row>
      <xdr:rowOff>99596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D01C625B-EB69-45A8-A5DE-76A1713E8FB3}"/>
            </a:ext>
          </a:extLst>
        </xdr:cNvPr>
        <xdr:cNvSpPr/>
      </xdr:nvSpPr>
      <xdr:spPr>
        <a:xfrm>
          <a:off x="2416968" y="3155156"/>
          <a:ext cx="394975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</a:t>
          </a:r>
        </a:p>
      </xdr:txBody>
    </xdr:sp>
    <xdr:clientData/>
  </xdr:twoCellAnchor>
  <xdr:twoCellAnchor>
    <xdr:from>
      <xdr:col>5</xdr:col>
      <xdr:colOff>220266</xdr:colOff>
      <xdr:row>20</xdr:row>
      <xdr:rowOff>35719</xdr:rowOff>
    </xdr:from>
    <xdr:to>
      <xdr:col>6</xdr:col>
      <xdr:colOff>234241</xdr:colOff>
      <xdr:row>21</xdr:row>
      <xdr:rowOff>93643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1834AC02-E82A-4066-AC29-481F4CC3D05D}"/>
            </a:ext>
          </a:extLst>
        </xdr:cNvPr>
        <xdr:cNvSpPr/>
      </xdr:nvSpPr>
      <xdr:spPr>
        <a:xfrm>
          <a:off x="1666875" y="3149203"/>
          <a:ext cx="394975" cy="212706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</a:t>
          </a:r>
        </a:p>
      </xdr:txBody>
    </xdr:sp>
    <xdr:clientData/>
  </xdr:twoCellAnchor>
  <xdr:twoCellAnchor>
    <xdr:from>
      <xdr:col>9</xdr:col>
      <xdr:colOff>380998</xdr:colOff>
      <xdr:row>19</xdr:row>
      <xdr:rowOff>36635</xdr:rowOff>
    </xdr:from>
    <xdr:to>
      <xdr:col>12</xdr:col>
      <xdr:colOff>146537</xdr:colOff>
      <xdr:row>20</xdr:row>
      <xdr:rowOff>116770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1C7BA673-F282-4993-8A16-A461200C7695}"/>
            </a:ext>
          </a:extLst>
        </xdr:cNvPr>
        <xdr:cNvSpPr/>
      </xdr:nvSpPr>
      <xdr:spPr>
        <a:xfrm>
          <a:off x="3355729" y="2982058"/>
          <a:ext cx="908539" cy="23400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SR 2 X 16 MM</a:t>
          </a:r>
        </a:p>
      </xdr:txBody>
    </xdr:sp>
    <xdr:clientData/>
  </xdr:twoCellAnchor>
  <xdr:twoCellAnchor>
    <xdr:from>
      <xdr:col>11</xdr:col>
      <xdr:colOff>293076</xdr:colOff>
      <xdr:row>21</xdr:row>
      <xdr:rowOff>139212</xdr:rowOff>
    </xdr:from>
    <xdr:to>
      <xdr:col>14</xdr:col>
      <xdr:colOff>256442</xdr:colOff>
      <xdr:row>23</xdr:row>
      <xdr:rowOff>36635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B22FF862-4C1F-4F8C-90B5-7AE141124DBD}"/>
            </a:ext>
          </a:extLst>
        </xdr:cNvPr>
        <xdr:cNvSpPr/>
      </xdr:nvSpPr>
      <xdr:spPr>
        <a:xfrm>
          <a:off x="4029807" y="3392366"/>
          <a:ext cx="1106366" cy="20515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LVTC 2</a:t>
          </a:r>
          <a:r>
            <a:rPr lang="en-ID" sz="800" b="1" baseline="0">
              <a:solidFill>
                <a:srgbClr val="FF0000"/>
              </a:solidFill>
            </a:rPr>
            <a:t> X 70 MM + N</a:t>
          </a:r>
          <a:endParaRPr lang="en-ID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323850</xdr:colOff>
      <xdr:row>24</xdr:row>
      <xdr:rowOff>85726</xdr:rowOff>
    </xdr:from>
    <xdr:to>
      <xdr:col>5</xdr:col>
      <xdr:colOff>9525</xdr:colOff>
      <xdr:row>31</xdr:row>
      <xdr:rowOff>93937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>
          <a:off x="1009650" y="3771901"/>
          <a:ext cx="447675" cy="1065486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CONTAINER</a:t>
          </a:r>
        </a:p>
        <a:p>
          <a:pPr algn="ctr"/>
          <a:r>
            <a:rPr lang="en-ID" sz="800" b="1">
              <a:solidFill>
                <a:srgbClr val="FF0000"/>
              </a:solidFill>
            </a:rPr>
            <a:t>TOL</a:t>
          </a:r>
        </a:p>
      </xdr:txBody>
    </xdr:sp>
    <xdr:clientData/>
  </xdr:twoCellAnchor>
  <xdr:twoCellAnchor>
    <xdr:from>
      <xdr:col>3</xdr:col>
      <xdr:colOff>304800</xdr:colOff>
      <xdr:row>14</xdr:row>
      <xdr:rowOff>57150</xdr:rowOff>
    </xdr:from>
    <xdr:to>
      <xdr:col>5</xdr:col>
      <xdr:colOff>266700</xdr:colOff>
      <xdr:row>20</xdr:row>
      <xdr:rowOff>38100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C3F62C44-AB6D-401D-B0D9-099EFF766C7D}"/>
            </a:ext>
          </a:extLst>
        </xdr:cNvPr>
        <xdr:cNvSpPr txBox="1"/>
      </xdr:nvSpPr>
      <xdr:spPr>
        <a:xfrm>
          <a:off x="990600" y="2219325"/>
          <a:ext cx="723900" cy="8953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/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171450</xdr:colOff>
      <xdr:row>16</xdr:row>
      <xdr:rowOff>57150</xdr:rowOff>
    </xdr:from>
    <xdr:to>
      <xdr:col>9</xdr:col>
      <xdr:colOff>361950</xdr:colOff>
      <xdr:row>20</xdr:row>
      <xdr:rowOff>19050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187D71DA-2BDA-4A6A-B430-DD24DBEC6CCB}"/>
            </a:ext>
          </a:extLst>
        </xdr:cNvPr>
        <xdr:cNvSpPr txBox="1"/>
      </xdr:nvSpPr>
      <xdr:spPr>
        <a:xfrm>
          <a:off x="2762250" y="2524125"/>
          <a:ext cx="57150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9525</xdr:colOff>
      <xdr:row>22</xdr:row>
      <xdr:rowOff>95250</xdr:rowOff>
    </xdr:from>
    <xdr:to>
      <xdr:col>11</xdr:col>
      <xdr:colOff>200025</xdr:colOff>
      <xdr:row>26</xdr:row>
      <xdr:rowOff>57150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CB546891-5F0E-48EA-8F2D-2DC2884E1B42}"/>
            </a:ext>
          </a:extLst>
        </xdr:cNvPr>
        <xdr:cNvSpPr txBox="1"/>
      </xdr:nvSpPr>
      <xdr:spPr>
        <a:xfrm>
          <a:off x="3362325" y="3476625"/>
          <a:ext cx="57150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11</xdr:col>
      <xdr:colOff>361950</xdr:colOff>
      <xdr:row>16</xdr:row>
      <xdr:rowOff>57150</xdr:rowOff>
    </xdr:from>
    <xdr:to>
      <xdr:col>13</xdr:col>
      <xdr:colOff>171450</xdr:colOff>
      <xdr:row>20</xdr:row>
      <xdr:rowOff>19050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EF1F28F8-39E7-46A8-AFA9-1479D5DCF333}"/>
            </a:ext>
          </a:extLst>
        </xdr:cNvPr>
        <xdr:cNvSpPr txBox="1"/>
      </xdr:nvSpPr>
      <xdr:spPr>
        <a:xfrm>
          <a:off x="4095750" y="2524125"/>
          <a:ext cx="57150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13</xdr:col>
      <xdr:colOff>314325</xdr:colOff>
      <xdr:row>16</xdr:row>
      <xdr:rowOff>57150</xdr:rowOff>
    </xdr:from>
    <xdr:to>
      <xdr:col>15</xdr:col>
      <xdr:colOff>123825</xdr:colOff>
      <xdr:row>20</xdr:row>
      <xdr:rowOff>19050</xdr:rowOff>
    </xdr:to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9F38E47C-3C33-41B4-A58E-512DC728C737}"/>
            </a:ext>
          </a:extLst>
        </xdr:cNvPr>
        <xdr:cNvSpPr txBox="1"/>
      </xdr:nvSpPr>
      <xdr:spPr>
        <a:xfrm>
          <a:off x="4810125" y="2524125"/>
          <a:ext cx="57150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6</xdr:col>
      <xdr:colOff>95250</xdr:colOff>
      <xdr:row>16</xdr:row>
      <xdr:rowOff>47625</xdr:rowOff>
    </xdr:from>
    <xdr:to>
      <xdr:col>7</xdr:col>
      <xdr:colOff>285750</xdr:colOff>
      <xdr:row>20</xdr:row>
      <xdr:rowOff>9525</xdr:rowOff>
    </xdr:to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AF76342A-DD48-4518-B636-2EBB3B4BA1B2}"/>
            </a:ext>
          </a:extLst>
        </xdr:cNvPr>
        <xdr:cNvSpPr txBox="1"/>
      </xdr:nvSpPr>
      <xdr:spPr>
        <a:xfrm>
          <a:off x="1924050" y="2514600"/>
          <a:ext cx="57150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16</xdr:col>
      <xdr:colOff>219075</xdr:colOff>
      <xdr:row>16</xdr:row>
      <xdr:rowOff>114300</xdr:rowOff>
    </xdr:from>
    <xdr:to>
      <xdr:col>18</xdr:col>
      <xdr:colOff>28575</xdr:colOff>
      <xdr:row>20</xdr:row>
      <xdr:rowOff>76200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424B9DBB-E24B-4216-A55A-357C628B5A88}"/>
            </a:ext>
          </a:extLst>
        </xdr:cNvPr>
        <xdr:cNvSpPr txBox="1"/>
      </xdr:nvSpPr>
      <xdr:spPr>
        <a:xfrm>
          <a:off x="5857875" y="2581275"/>
          <a:ext cx="57150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17</xdr:col>
      <xdr:colOff>276225</xdr:colOff>
      <xdr:row>25</xdr:row>
      <xdr:rowOff>47625</xdr:rowOff>
    </xdr:from>
    <xdr:to>
      <xdr:col>19</xdr:col>
      <xdr:colOff>85725</xdr:colOff>
      <xdr:row>29</xdr:row>
      <xdr:rowOff>85725</xdr:rowOff>
    </xdr:to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8B23A1F7-3EB2-4D45-A3F5-29DDDA198C35}"/>
            </a:ext>
          </a:extLst>
        </xdr:cNvPr>
        <xdr:cNvSpPr txBox="1"/>
      </xdr:nvSpPr>
      <xdr:spPr>
        <a:xfrm>
          <a:off x="6296025" y="3886200"/>
          <a:ext cx="57150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4</xdr:col>
      <xdr:colOff>118242</xdr:colOff>
      <xdr:row>21</xdr:row>
      <xdr:rowOff>74346</xdr:rowOff>
    </xdr:from>
    <xdr:to>
      <xdr:col>5</xdr:col>
      <xdr:colOff>9714</xdr:colOff>
      <xdr:row>21</xdr:row>
      <xdr:rowOff>78828</xdr:rowOff>
    </xdr:to>
    <xdr:cxnSp macro="">
      <xdr:nvCxnSpPr>
        <xdr:cNvPr id="171" name="Straight Arrow Connector 170">
          <a:extLst>
            <a:ext uri="{FF2B5EF4-FFF2-40B4-BE49-F238E27FC236}">
              <a16:creationId xmlns:a16="http://schemas.microsoft.com/office/drawing/2014/main" id="{EB402CCC-1789-4818-BB59-6868D8AF749C}"/>
            </a:ext>
          </a:extLst>
        </xdr:cNvPr>
        <xdr:cNvCxnSpPr>
          <a:stCxn id="45" idx="2"/>
        </xdr:cNvCxnSpPr>
      </xdr:nvCxnSpPr>
      <xdr:spPr>
        <a:xfrm flipH="1">
          <a:off x="1188983" y="3286570"/>
          <a:ext cx="272472" cy="44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204107</xdr:colOff>
      <xdr:row>13</xdr:row>
      <xdr:rowOff>122465</xdr:rowOff>
    </xdr:from>
    <xdr:to>
      <xdr:col>19</xdr:col>
      <xdr:colOff>163286</xdr:colOff>
      <xdr:row>49</xdr:row>
      <xdr:rowOff>85555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34002E-F7DD-19DF-E601-EF0F69430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3357" y="2394858"/>
          <a:ext cx="9144000" cy="58413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1134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1135</v>
      </c>
      <c r="G7" s="532" t="s">
        <v>41</v>
      </c>
      <c r="H7" s="528" t="s">
        <v>1042</v>
      </c>
      <c r="I7" s="528" t="s">
        <v>1137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380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70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SUMIFS(RAB!$F$14:$F$90,RAB!$C$14:$C$90,C714)</f>
        <v>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SUMIFS(RAB!$F$14:$F$90,RAB!$C$14:$C$90,C715)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SUMIFS(RAB!$F$14:$F$90,RAB!$C$14:$C$90,C716)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SUMIFS(RAB!$F$14:$F$90,RAB!$C$14:$C$90,C717)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SUMIFS(RAB!$F$14:$F$90,RAB!$C$14:$C$90,C718)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SUMIFS(RAB!$F$14:$F$90,RAB!$C$14:$C$90,C719)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SUMIFS(RAB!$F$14:$F$90,RAB!$C$14:$C$90,C720)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SUMIFS(RAB!$F$14:$F$90,RAB!$C$14:$C$90,C721)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SUMIFS(RAB!$F$14:$F$90,RAB!$C$14:$C$90,C722)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SUMIFS(RAB!$F$14:$F$90,RAB!$C$14:$C$90,C723)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SUMIFS(RAB!$F$14:$F$90,RAB!$C$14:$C$90,C724)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SUMIFS(RAB!$F$14:$F$90,RAB!$C$14:$C$90,C725)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SUMIFS(RAB!$F$14:$F$90,RAB!$C$14:$C$90,C726)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SUMIFS(RAB!$F$14:$F$90,RAB!$C$14:$C$90,C727)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SUMIFS(RAB!$F$14:$F$90,RAB!$C$14:$C$90,C728)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SUMIFS(RAB!$F$14:$F$90,RAB!$C$14:$C$90,C729)</f>
        <v>2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SUMIFS(RAB!$F$14:$F$90,RAB!$C$14:$C$90,C730)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SUMIFS(RAB!$F$14:$F$90,RAB!$C$14:$C$90,C731)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SUMIFS(RAB!$F$14:$F$90,RAB!$C$14:$C$90,C732)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SUMIFS(RAB!$F$14:$F$90,RAB!$C$14:$C$90,C733)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SUMIFS(RAB!$F$14:$F$90,RAB!$C$14:$C$90,C734)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SUMIFS(RAB!$F$14:$F$90,RAB!$C$14:$C$90,C735)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SUMIFS(RAB!$F$14:$F$90,RAB!$C$14:$C$90,C736)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SUMIFS(RAB!$F$14:$F$90,RAB!$C$14:$C$90,C737)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SUMIFS(RAB!$F$14:$F$90,RAB!$C$14:$C$90,C738)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SUMIFS(RAB!$F$14:$F$90,RAB!$C$14:$C$90,C739)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SUMIFS(RAB!$F$14:$F$90,RAB!$C$14:$C$90,C740)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SUMIFS(RAB!$F$14:$F$90,RAB!$C$14:$C$90,C741)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SUMIFS(RAB!$F$14:$F$90,RAB!$C$14:$C$90,C742)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SUMIFS(RAB!$F$14:$F$90,RAB!$C$14:$C$90,C743)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SUMIFS(RAB!$F$14:$F$90,RAB!$C$14:$C$90,C744)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SUMIFS(RAB!$F$14:$F$90,RAB!$C$14:$C$90,C745)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SUMIFS(RAB!$F$14:$F$90,RAB!$C$14:$C$90,C746)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SUMIFS(RAB!$F$14:$F$90,RAB!$C$14:$C$90,C747)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SUMIFS(RAB!$F$14:$F$90,RAB!$C$14:$C$90,C748)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SUMIFS(RAB!$F$14:$F$90,RAB!$C$14:$C$90,C749)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SUMIFS(RAB!$F$14:$F$90,RAB!$C$14:$C$90,C750)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SUMIFS(RAB!$F$14:$F$90,RAB!$C$14:$C$90,C751)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SUMIFS(RAB!$F$14:$F$90,RAB!$C$14:$C$90,C752)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SUMIFS(RAB!$F$14:$F$90,RAB!$C$14:$C$90,C753)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SUMIFS(RAB!$F$14:$F$90,RAB!$C$14:$C$90,C754)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SUMIFS(RAB!$F$14:$F$90,RAB!$C$14:$C$90,C755)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SUMIFS(RAB!$F$14:$F$90,RAB!$C$14:$C$90,C756)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SUMIFS(RAB!$F$14:$F$90,RAB!$C$14:$C$90,C757)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SUMIFS(RAB!$F$14:$F$90,RAB!$C$14:$C$90,C758)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SUMIFS(RAB!$F$14:$F$90,RAB!$C$14:$C$90,C759)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SUMIFS(RAB!$F$14:$F$90,RAB!$C$14:$C$90,C760)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SUMIFS(RAB!$F$14:$F$90,RAB!$C$14:$C$90,C761)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SUMIFS(RAB!$F$14:$F$90,RAB!$C$14:$C$90,C762)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SUMIFS(RAB!$F$14:$F$90,RAB!$C$14:$C$90,C763)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SUMIFS(RAB!$F$14:$F$90,RAB!$C$14:$C$90,C764)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SUMIFS(RAB!$F$14:$F$90,RAB!$C$14:$C$90,C765)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SUMIFS(RAB!$F$14:$F$90,RAB!$C$14:$C$90,C766)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SUMIFS(RAB!$F$14:$F$90,RAB!$C$14:$C$90,C767)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SUMIFS(RAB!$F$14:$F$90,RAB!$C$14:$C$90,C768)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SUMIFS(RAB!$F$14:$F$90,RAB!$C$14:$C$90,C769)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SUMIFS(RAB!$F$14:$F$90,RAB!$C$14:$C$90,C770)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SUMIFS(RAB!$F$14:$F$90,RAB!$C$14:$C$90,C771)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SUMIFS(RAB!$F$14:$F$90,RAB!$C$14:$C$90,C772)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SUMIFS(RAB!$F$14:$F$90,RAB!$C$14:$C$90,C773)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SUMIFS(RAB!$F$14:$F$90,RAB!$C$14:$C$90,C774)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SUMIFS(RAB!$F$14:$F$90,RAB!$C$14:$C$90,C775)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SUMIFS(RAB!$F$14:$F$90,RAB!$C$14:$C$90,C776)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SUMIFS(RAB!$F$14:$F$90,RAB!$C$14:$C$90,C777)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SUMIFS(RAB!$F$14:$F$90,RAB!$C$14:$C$90,C778)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SUMIFS(RAB!$F$14:$F$90,RAB!$C$14:$C$90,C779)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SUMIFS(RAB!$F$14:$F$90,RAB!$C$14:$C$90,C780)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SUMIFS(RAB!$F$14:$F$90,RAB!$C$14:$C$90,C781)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SUMIFS(RAB!$F$14:$F$90,RAB!$C$14:$C$90,C782)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SUMIFS(RAB!$F$14:$F$90,RAB!$C$14:$C$90,C783)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SUMIFS(RAB!$F$14:$F$90,RAB!$C$14:$C$90,C784)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SUMIFS(RAB!$F$14:$F$90,RAB!$C$14:$C$90,C785)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SUMIFS(RAB!$F$14:$F$90,RAB!$C$14:$C$90,C786)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SUMIFS(RAB!$F$14:$F$90,RAB!$C$14:$C$90,C787)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SUMIFS(RAB!$F$14:$F$90,RAB!$C$14:$C$90,C788)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SUMIFS(RAB!$F$14:$F$90,RAB!$C$14:$C$90,C789)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SUMIFS(RAB!$F$14:$F$90,RAB!$C$14:$C$90,C790)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SUMIFS(RAB!$F$14:$F$90,RAB!$C$14:$C$90,C791)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SUMIFS(RAB!$F$14:$F$90,RAB!$C$14:$C$90,C792)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SUMIFS(RAB!$F$14:$F$90,RAB!$C$14:$C$90,C793)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SUMIFS(RAB!$F$14:$F$90,RAB!$C$14:$C$90,C794)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SUMIFS(RAB!$F$14:$F$90,RAB!$C$14:$C$90,C795)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SUMIFS(RAB!$F$14:$F$90,RAB!$C$14:$C$90,C796)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SUMIFS(RAB!$F$14:$F$90,RAB!$C$14:$C$90,C797)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SUMIFS(RAB!$F$14:$F$90,RAB!$C$14:$C$90,C798)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SUMIFS(RAB!$F$14:$F$90,RAB!$C$14:$C$90,C799)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SUMIFS(RAB!$F$14:$F$90,RAB!$C$14:$C$90,C800)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SUMIFS(RAB!$F$14:$F$90,RAB!$C$14:$C$90,C801)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SUMIFS(RAB!$F$14:$F$90,RAB!$C$14:$C$90,C802)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SUMIFS(RAB!$F$14:$F$90,RAB!$C$14:$C$90,C803)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SUMIFS(RAB!$F$14:$F$90,RAB!$C$14:$C$90,C804)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SUMIFS(RAB!$F$14:$F$90,RAB!$C$14:$C$90,C805)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SUMIFS(RAB!$F$14:$F$90,RAB!$C$14:$C$90,C806)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SUMIFS(RAB!$F$14:$F$90,RAB!$C$14:$C$90,C807)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SUMIFS(RAB!$F$14:$F$90,RAB!$C$14:$C$90,C808)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SUMIFS(RAB!$F$14:$F$90,RAB!$C$14:$C$90,C809)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SUMIFS(RAB!$F$14:$F$90,RAB!$C$14:$C$90,C810)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SUMIFS(RAB!$F$14:$F$90,RAB!$C$14:$C$90,C811)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SUMIFS(RAB!$F$14:$F$90,RAB!$C$14:$C$90,C812)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SUMIFS(RAB!$F$14:$F$90,RAB!$C$14:$C$90,C813)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SUMIFS(RAB!$F$14:$F$90,RAB!$C$14:$C$90,C814)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SUMIFS(RAB!$F$14:$F$90,RAB!$C$14:$C$90,C815)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SUMIFS(RAB!$F$14:$F$90,RAB!$C$14:$C$90,C816)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SUMIFS(RAB!$F$14:$F$90,RAB!$C$14:$C$90,C817)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SUMIFS(RAB!$F$14:$F$90,RAB!$C$14:$C$90,C818)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SUMIFS(RAB!$F$14:$F$90,RAB!$C$14:$C$90,C819)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SUMIFS(RAB!$F$14:$F$90,RAB!$C$14:$C$90,C820)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SUMIFS(RAB!$F$14:$F$90,RAB!$C$14:$C$90,C821)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SUMIFS(RAB!$F$14:$F$90,RAB!$C$14:$C$90,C822)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SUMIFS(RAB!$F$14:$F$90,RAB!$C$14:$C$90,C823)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SUMIFS(RAB!$F$14:$F$90,RAB!$C$14:$C$90,C824)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SUMIFS(RAB!$F$14:$F$90,RAB!$C$14:$C$90,C825)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SUMIFS(RAB!$F$14:$F$90,RAB!$C$14:$C$90,C826)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SUMIFS(RAB!$F$14:$F$90,RAB!$C$14:$C$90,C827)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SUMIFS(RAB!$F$14:$F$90,RAB!$C$14:$C$90,C828)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SUMIFS(RAB!$F$14:$F$90,RAB!$C$14:$C$90,C829)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SUMIFS(RAB!$F$14:$F$90,RAB!$C$14:$C$90,C830)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SUMIFS(RAB!$F$14:$F$90,RAB!$C$14:$C$90,C831)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SUMIFS(RAB!$F$14:$F$90,RAB!$C$14:$C$90,C832)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SUMIFS(RAB!$F$14:$F$90,RAB!$C$14:$C$90,C833)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SUMIFS(RAB!$F$14:$F$90,RAB!$C$14:$C$90,C834)</f>
        <v>380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SUMIFS(RAB!$F$14:$F$90,RAB!$C$14:$C$90,C835)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SUMIFS(RAB!$F$14:$F$90,RAB!$C$14:$C$90,C836)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SUMIFS(RAB!$F$14:$F$90,RAB!$C$14:$C$90,C837)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SUMIFS(RAB!$F$14:$F$90,RAB!$C$14:$C$90,C838)</f>
        <v>70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SUMIFS(RAB!$F$14:$F$90,RAB!$C$14:$C$90,C839)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SUMIFS(RAB!$F$14:$F$90,RAB!$C$14:$C$90,C840)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SUMIFS(RAB!$F$14:$F$90,RAB!$C$14:$C$90,C841)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SUMIFS(RAB!$F$14:$F$90,RAB!$C$14:$C$90,C842)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SUMIFS(RAB!$F$14:$F$90,RAB!$C$14:$C$90,C843)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SUMIFS(RAB!$F$14:$F$90,RAB!$C$14:$C$90,C844)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SUMIFS(RAB!$F$14:$F$90,RAB!$C$14:$C$90,C845)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SUMIFS(RAB!$F$14:$F$90,RAB!$C$14:$C$90,C846)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SUMIFS(RAB!$F$14:$F$90,RAB!$C$14:$C$90,C847)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SUMIFS(RAB!$F$14:$F$90,RAB!$C$14:$C$90,C848)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SUMIFS(RAB!$F$14:$F$90,RAB!$C$14:$C$90,C849)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SUMIFS(RAB!$F$14:$F$90,RAB!$C$14:$C$90,C850)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SUMIFS(RAB!$F$14:$F$90,RAB!$C$14:$C$90,C851)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SUMIFS(RAB!$F$14:$F$90,RAB!$C$14:$C$90,C852)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SUMIFS(RAB!$F$14:$F$90,RAB!$C$14:$C$90,C853)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SUMIFS(RAB!$F$14:$F$90,RAB!$C$14:$C$90,C854)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SUMIFS(RAB!$F$14:$F$90,RAB!$C$14:$C$90,C855)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SUMIFS(RAB!$F$14:$F$90,RAB!$C$14:$C$90,C856)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SUMIFS(RAB!$F$14:$F$90,RAB!$C$14:$C$90,C857)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SUMIFS(RAB!$F$14:$F$90,RAB!$C$14:$C$90,C858)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SUMIFS(RAB!$F$14:$F$90,RAB!$C$14:$C$90,C859)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SUMIFS(RAB!$F$14:$F$90,RAB!$C$14:$C$90,C860)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SUMIFS(RAB!$F$14:$F$90,RAB!$C$14:$C$90,C861)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SUMIFS(RAB!$F$14:$F$90,RAB!$C$14:$C$90,C862)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SUMIFS(RAB!$F$14:$F$90,RAB!$C$14:$C$90,C863)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SUMIFS(RAB!$F$14:$F$90,RAB!$C$14:$C$90,C864)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SUMIFS(RAB!$F$14:$F$90,RAB!$C$14:$C$90,C865)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SUMIFS(RAB!$F$14:$F$90,RAB!$C$14:$C$90,C866)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SUMIFS(RAB!$F$14:$F$90,RAB!$C$14:$C$90,C867)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SUMIFS(RAB!$F$14:$F$90,RAB!$C$14:$C$90,C868)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SUMIFS(RAB!$F$14:$F$90,RAB!$C$14:$C$90,C869)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SUMIFS(RAB!$F$14:$F$90,RAB!$C$14:$C$90,C870)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SUMIFS(RAB!$F$14:$F$90,RAB!$C$14:$C$90,C871)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SUMIFS(RAB!$F$14:$F$90,RAB!$C$14:$C$90,C872)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SUMIFS(RAB!$F$14:$F$90,RAB!$C$14:$C$90,C873)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SUMIFS(RAB!$F$14:$F$90,RAB!$C$14:$C$90,C874)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SUMIFS(RAB!$F$14:$F$90,RAB!$C$14:$C$90,C875)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SUMIFS(RAB!$F$14:$F$90,RAB!$C$14:$C$90,C876)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SUMIFS(RAB!$F$14:$F$90,RAB!$C$14:$C$90,C877)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SUMIFS(RAB!$F$14:$F$90,RAB!$C$14:$C$90,C878)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SUMIFS(RAB!$F$14:$F$90,RAB!$C$14:$C$90,C879)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SUMIFS(RAB!$F$14:$F$90,RAB!$C$14:$C$90,C880)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SUMIFS(RAB!$F$14:$F$90,RAB!$C$14:$C$90,C881)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SUMIFS(RAB!$F$14:$F$90,RAB!$C$14:$C$90,C882)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SUMIFS(RAB!$F$14:$F$90,RAB!$C$14:$C$90,C883)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SUMIFS(RAB!$F$14:$F$90,RAB!$C$14:$C$90,C884)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SUMIFS(RAB!$F$14:$F$90,RAB!$C$14:$C$90,C885)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SUMIFS(RAB!$F$14:$F$90,RAB!$C$14:$C$90,C886)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SUMIFS(RAB!$F$14:$F$90,RAB!$C$14:$C$90,C887)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SUMIFS(RAB!$F$14:$F$90,RAB!$C$14:$C$90,C888)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SUMIFS(RAB!$F$14:$F$90,RAB!$C$14:$C$90,C889)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SUMIFS(RAB!$F$14:$F$90,RAB!$C$14:$C$90,C890)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SUMIFS(RAB!$F$14:$F$90,RAB!$C$14:$C$90,C891)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SUMIFS(RAB!$F$14:$F$90,RAB!$C$14:$C$90,C892)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SUMIFS(RAB!$F$14:$F$90,RAB!$C$14:$C$90,C893)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SUMIFS(RAB!$F$14:$F$90,RAB!$C$14:$C$90,C894)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SUMIFS(RAB!$F$14:$F$90,RAB!$C$14:$C$90,C895)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SUMIFS(RAB!$F$14:$F$90,RAB!$C$14:$C$90,C896)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SUMIFS(RAB!$F$14:$F$90,RAB!$C$14:$C$90,C897)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SUMIFS(RAB!$F$14:$F$90,RAB!$C$14:$C$90,C898)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SUMIFS(RAB!$F$14:$F$90,RAB!$C$14:$C$90,C899)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SUMIFS(RAB!$F$14:$F$90,RAB!$C$14:$C$90,C900)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SUMIFS(RAB!$F$14:$F$90,RAB!$C$14:$C$90,C901)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SUMIFS(RAB!$F$14:$F$90,RAB!$C$14:$C$90,C902)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SUMIFS(RAB!$F$14:$F$90,RAB!$C$14:$C$90,C903)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SUMIFS(RAB!$F$14:$F$90,RAB!$C$14:$C$90,C904)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SUMIFS(RAB!$F$14:$F$90,RAB!$C$14:$C$90,C905)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SUMIFS(RAB!$F$14:$F$90,RAB!$C$14:$C$90,C906)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SUMIFS(RAB!$F$14:$F$90,RAB!$C$14:$C$90,C907)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SUMIFS(RAB!$F$14:$F$90,RAB!$C$14:$C$90,C908)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SUMIFS(RAB!$F$14:$F$90,RAB!$C$14:$C$90,C909)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SUMIFS(RAB!$F$14:$F$90,RAB!$C$14:$C$90,C910)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SUMIFS(RAB!$F$14:$F$90,RAB!$C$14:$C$90,C911)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SUMIFS(RAB!$F$14:$F$90,RAB!$C$14:$C$90,C912)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SUMIFS(RAB!$F$14:$F$90,RAB!$C$14:$C$90,C913)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SUMIFS(RAB!$F$14:$F$90,RAB!$C$14:$C$90,C914)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SUMIFS(RAB!$F$14:$F$90,RAB!$C$14:$C$90,C915)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SUMIFS(RAB!$F$14:$F$90,RAB!$C$14:$C$90,C916)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SUMIFS(RAB!$F$14:$F$90,RAB!$C$14:$C$90,C917)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SUMIFS(RAB!$F$14:$F$90,RAB!$C$14:$C$90,C918)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SUMIFS(RAB!$F$14:$F$90,RAB!$C$14:$C$90,C919)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SUMIFS(RAB!$F$14:$F$90,RAB!$C$14:$C$90,C920)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SUMIFS(RAB!$F$14:$F$90,RAB!$C$14:$C$90,C921)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SUMIFS(RAB!$F$14:$F$90,RAB!$C$14:$C$90,C922)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SUMIFS(RAB!$F$14:$F$90,RAB!$C$14:$C$90,C923)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SUMIFS(RAB!$F$14:$F$90,RAB!$C$14:$C$90,C924)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SUMIFS(RAB!$F$14:$F$90,RAB!$C$14:$C$90,C925)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SUMIFS(RAB!$F$14:$F$90,RAB!$C$14:$C$90,C926)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SUMIFS(RAB!$F$14:$F$90,RAB!$C$14:$C$90,C927)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SUMIFS(RAB!$F$14:$F$90,RAB!$C$14:$C$90,C928)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SUMIFS(RAB!$F$14:$F$90,RAB!$C$14:$C$90,C929)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SUMIFS(RAB!$F$14:$F$90,RAB!$C$14:$C$90,C930)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SUMIFS(RAB!$F$14:$F$90,RAB!$C$14:$C$90,C931)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SUMIFS(RAB!$F$14:$F$90,RAB!$C$14:$C$90,C932)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SUMIFS(RAB!$F$14:$F$90,RAB!$C$14:$C$90,C933)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SUMIFS(RAB!$F$14:$F$90,RAB!$C$14:$C$90,C934)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SUMIFS(RAB!$F$14:$F$90,RAB!$C$14:$C$90,C935)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SUMIFS(RAB!$F$14:$F$90,RAB!$C$14:$C$90,C936)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SUMIFS(RAB!$F$14:$F$90,RAB!$C$14:$C$90,C937)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SUMIFS(RAB!$F$14:$F$90,RAB!$C$14:$C$90,C938)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SUMIFS(RAB!$F$14:$F$90,RAB!$C$14:$C$90,C939)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SUMIFS(RAB!$F$14:$F$90,RAB!$C$14:$C$90,C940)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SUMIFS(RAB!$F$14:$F$90,RAB!$C$14:$C$90,C941)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SUMIFS(RAB!$F$14:$F$90,RAB!$C$14:$C$90,C942)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SUMIFS(RAB!$F$14:$F$90,RAB!$C$14:$C$90,C943)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SUMIFS(RAB!$F$14:$F$90,RAB!$C$14:$C$90,C944)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SUMIFS(RAB!$F$14:$F$90,RAB!$C$14:$C$90,C945)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SUMIFS(RAB!$F$14:$F$90,RAB!$C$14:$C$90,C946)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SUMIFS(RAB!$F$14:$F$90,RAB!$C$14:$C$90,C947)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SUMIFS(RAB!$F$14:$F$90,RAB!$C$14:$C$90,C948)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SUMIFS(RAB!$F$14:$F$90,RAB!$C$14:$C$90,C949)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SUMIFS(RAB!$F$14:$F$90,RAB!$C$14:$C$90,C950)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SUMIFS(RAB!$F$14:$F$90,RAB!$C$14:$C$90,C951)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SUMIFS(RAB!$F$14:$F$90,RAB!$C$14:$C$90,C952)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SUMIFS(RAB!$F$14:$F$90,RAB!$C$14:$C$90,C953)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SUMIFS(RAB!$F$14:$F$90,RAB!$C$14:$C$90,C954)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SUMIFS(RAB!$F$14:$F$90,RAB!$C$14:$C$90,C955)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SUMIFS(RAB!$F$14:$F$90,RAB!$C$14:$C$90,C956)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SUMIFS(RAB!$F$14:$F$90,RAB!$C$14:$C$90,C957)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SUMIFS(RAB!$F$14:$F$90,RAB!$C$14:$C$90,C958)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SUMIFS(RAB!$F$14:$F$90,RAB!$C$14:$C$90,C959)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SUMIFS(RAB!$F$14:$F$90,RAB!$C$14:$C$90,C960)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SUMIFS(RAB!$F$14:$F$90,RAB!$C$14:$C$90,C961)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SUMIFS(RAB!$F$14:$F$90,RAB!$C$14:$C$90,C962)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SUMIFS(RAB!$F$14:$F$90,RAB!$C$14:$C$90,C963)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SUMIFS(RAB!$F$14:$F$90,RAB!$C$14:$C$90,C964)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SUMIFS(RAB!$F$14:$F$90,RAB!$C$14:$C$90,C965)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SUMIFS(RAB!$F$14:$F$90,RAB!$C$14:$C$90,C966)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SUMIFS(RAB!$F$14:$F$90,RAB!$C$14:$C$90,C967)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SUMIFS(RAB!$F$14:$F$90,RAB!$C$14:$C$90,C968)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SUMIFS(RAB!$F$14:$F$90,RAB!$C$14:$C$90,C969)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SUMIFS(RAB!$F$14:$F$90,RAB!$C$14:$C$90,C970)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SUMIFS(RAB!$F$14:$F$90,RAB!$C$14:$C$90,C971)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SUMIFS(RAB!$F$14:$F$90,RAB!$C$14:$C$90,C972)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SUMIFS(RAB!$F$14:$F$90,RAB!$C$14:$C$90,C973)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SUMIFS(RAB!$F$14:$F$90,RAB!$C$14:$C$90,C974)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SUMIFS(RAB!$F$14:$F$90,RAB!$C$14:$C$90,C975)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SUMIFS(RAB!$F$14:$F$90,RAB!$C$14:$C$90,C976)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SUMIFS(RAB!$F$14:$F$90,RAB!$C$14:$C$90,C977)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SUMIFS(RAB!$F$14:$F$90,RAB!$C$14:$C$90,C978)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SUMIFS(RAB!$F$14:$F$90,RAB!$C$14:$C$90,C979)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SUMIFS(RAB!$F$14:$F$90,RAB!$C$14:$C$90,C980)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SUMIFS(RAB!$F$14:$F$90,RAB!$C$14:$C$90,C981)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SUMIFS(RAB!$F$14:$F$90,RAB!$C$14:$C$90,C982)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SUMIFS(RAB!$F$14:$F$90,RAB!$C$14:$C$90,C983)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SUMIFS(RAB!$F$14:$F$90,RAB!$C$14:$C$90,C984)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SUMIFS(RAB!$F$14:$F$90,RAB!$C$14:$C$90,C985)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SUMIFS(RAB!$F$14:$F$90,RAB!$C$14:$C$90,C986)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SUMIFS(RAB!$F$14:$F$90,RAB!$C$14:$C$90,C987)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SUMIFS(RAB!$F$14:$F$90,RAB!$C$14:$C$90,C988)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SUMIFS(RAB!$F$14:$F$90,RAB!$C$14:$C$90,C989)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SUMIFS(RAB!$F$14:$F$90,RAB!$C$14:$C$90,C990)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SUMIFS(RAB!$F$14:$F$90,RAB!$C$14:$C$90,C991)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SUMIFS(RAB!$F$14:$F$90,RAB!$C$14:$C$90,C992)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SUMIFS(RAB!$F$14:$F$90,RAB!$C$14:$C$90,C993)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SUMIFS(RAB!$F$14:$F$90,RAB!$C$14:$C$90,C994)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SUMIFS(RAB!$F$14:$F$90,RAB!$C$14:$C$90,C995)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SUMIFS(RAB!$F$14:$F$90,RAB!$C$14:$C$90,C996)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SUMIFS(RAB!$F$14:$F$90,RAB!$C$14:$C$90,C997)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SUMIFS(RAB!$F$14:$F$90,RAB!$C$14:$C$90,C998)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SUMIFS(RAB!$F$14:$F$90,RAB!$C$14:$C$90,C999)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SUMIFS(RAB!$F$14:$F$90,RAB!$C$14:$C$90,C1000)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SUMIFS(RAB!$F$14:$F$90,RAB!$C$14:$C$90,C1001)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SUMIFS(RAB!$F$14:$F$90,RAB!$C$14:$C$90,C1002)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SUMIFS(RAB!$F$14:$F$90,RAB!$C$14:$C$90,C1003)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SUMIFS(RAB!$F$14:$F$90,RAB!$C$14:$C$90,C1004)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SUMIFS(RAB!$F$14:$F$90,RAB!$C$14:$C$90,C1005)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SUMIFS(RAB!$F$14:$F$90,RAB!$C$14:$C$90,C1006)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SUMIFS(RAB!$F$14:$F$90,RAB!$C$14:$C$90,C1007)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SUMIFS(RAB!$F$14:$F$90,RAB!$C$14:$C$90,C1008)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SUMIFS(RAB!$F$14:$F$90,RAB!$C$14:$C$90,C1009)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SUMIFS(RAB!$F$14:$F$90,RAB!$C$14:$C$90,C1010)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SUMIFS(RAB!$F$14:$F$90,RAB!$C$14:$C$90,C1011)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SUMIFS(RAB!$F$14:$F$90,RAB!$C$14:$C$90,C1012)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SUMIFS(RAB!$F$14:$F$90,RAB!$C$14:$C$90,C1013)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SUMIFS(RAB!$F$14:$F$90,RAB!$C$14:$C$90,C1014)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SUMIFS(RAB!$F$14:$F$90,RAB!$C$14:$C$90,C1015)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SUMIFS(RAB!$F$14:$F$90,RAB!$C$14:$C$90,C1016)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SUMIFS(RAB!$F$14:$F$90,RAB!$C$14:$C$90,C1017)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SUMIFS(RAB!$F$14:$F$90,RAB!$C$14:$C$90,C1018)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SUMIFS(RAB!$F$14:$F$90,RAB!$C$14:$C$90,C1019)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SUMIFS(RAB!$F$14:$F$90,RAB!$C$14:$C$90,C1020)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SUMIFS(RAB!$F$14:$F$90,RAB!$C$14:$C$90,C1021)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SUMIFS(RAB!$F$14:$F$90,RAB!$C$14:$C$90,C1022)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SUMIFS(RAB!$F$14:$F$90,RAB!$C$14:$C$90,C1023)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SUMIFS(RAB!$F$14:$F$90,RAB!$C$14:$C$90,C1024)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SUMIFS(RAB!$F$14:$F$90,RAB!$C$14:$C$90,C1025)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SUMIFS(RAB!$F$14:$F$90,RAB!$C$14:$C$90,C1026)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SUMIFS(RAB!$F$14:$F$90,RAB!$C$14:$C$90,C1027)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SUMIFS(RAB!$F$14:$F$90,RAB!$C$14:$C$90,C1028)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SUMIFS(RAB!$F$14:$F$90,RAB!$C$14:$C$90,C1029)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SUMIFS(RAB!$F$14:$F$90,RAB!$C$14:$C$90,C1030)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SUMIFS(RAB!$F$14:$F$90,RAB!$C$14:$C$90,C1031)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SUMIFS(RAB!$F$14:$F$90,RAB!$C$14:$C$90,C1032)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SUMIFS(RAB!$F$14:$F$90,RAB!$C$14:$C$90,C1033)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SUMIFS(RAB!$F$14:$F$90,RAB!$C$14:$C$90,C1034)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SUMIFS(RAB!$F$14:$F$90,RAB!$C$14:$C$90,C1035)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SUMIFS(RAB!$F$14:$F$90,RAB!$C$14:$C$90,C1036)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SUMIFS(RAB!$F$14:$F$90,RAB!$C$14:$C$90,C1037)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SUMIFS(RAB!$F$14:$F$90,RAB!$C$14:$C$90,C1038)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SUMIFS(RAB!$F$14:$F$90,RAB!$C$14:$C$90,C1039)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SUMIFS(RAB!$F$14:$F$90,RAB!$C$14:$C$90,C1040)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SUMIFS(RAB!$F$14:$F$90,RAB!$C$14:$C$90,C1041)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SUMIFS(RAB!$F$14:$F$90,RAB!$C$14:$C$90,C1042)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SUMIFS(RAB!$F$14:$F$90,RAB!$C$14:$C$90,C1043)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SUMIFS(RAB!$F$14:$F$90,RAB!$C$14:$C$90,C1044)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SUMIFS(RAB!$F$14:$F$90,RAB!$C$14:$C$90,C1045)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SUMIFS(RAB!$F$14:$F$90,RAB!$C$14:$C$90,C1046)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SUMIFS(RAB!$F$14:$F$90,RAB!$C$14:$C$90,C1047)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SUMIFS(RAB!$F$14:$F$90,RAB!$C$14:$C$90,C1048)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SUMIFS(RAB!$F$14:$F$90,RAB!$C$14:$C$90,C1049)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SUMIFS(RAB!$F$14:$F$90,RAB!$C$14:$C$90,C1050)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SUMIFS(RAB!$F$14:$F$90,RAB!$C$14:$C$90,C1051)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SUMIFS(RAB!$F$14:$F$90,RAB!$C$14:$C$90,C1052)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SUMIFS(RAB!$F$14:$F$90,RAB!$C$14:$C$90,C1053)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SUMIFS(RAB!$F$14:$F$90,RAB!$C$14:$C$90,C1054)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SUMIFS(RAB!$F$14:$F$90,RAB!$C$14:$C$90,C1055)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SUMIFS(RAB!$F$14:$F$90,RAB!$C$14:$C$90,C1056)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SUMIFS(RAB!$F$14:$F$90,RAB!$C$14:$C$90,C1057)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SUMIFS(RAB!$F$14:$F$90,RAB!$C$14:$C$90,C1058)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SUMIFS(RAB!$F$14:$F$90,RAB!$C$14:$C$90,C1059)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SUMIFS(RAB!$F$14:$F$90,RAB!$C$14:$C$90,C1060)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SUMIFS(RAB!$F$14:$F$90,RAB!$C$14:$C$90,C1061)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SUMIFS(RAB!$F$14:$F$90,RAB!$C$14:$C$90,C1062)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SUMIFS(RAB!$F$14:$F$90,RAB!$C$14:$C$90,C1063)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SUMIFS(RAB!$F$14:$F$90,RAB!$C$14:$C$90,C1064)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SUMIFS(RAB!$F$14:$F$90,RAB!$C$14:$C$90,C1065)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SUMIFS(RAB!$F$14:$F$90,RAB!$C$14:$C$90,C1066)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SUMIFS(RAB!$F$14:$F$90,RAB!$C$14:$C$90,C1067)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SUMIFS(RAB!$F$14:$F$90,RAB!$C$14:$C$90,C1068)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SUMIFS(RAB!$F$14:$F$90,RAB!$C$14:$C$90,C1069)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SUMIFS(RAB!$F$14:$F$90,RAB!$C$14:$C$90,C1070)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SUMIFS(RAB!$F$14:$F$90,RAB!$C$14:$C$90,C1071)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SUMIFS(RAB!$F$14:$F$90,RAB!$C$14:$C$90,C1072)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SUMIFS(RAB!$F$14:$F$90,RAB!$C$14:$C$90,C1073)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SUMIFS(RAB!$F$14:$F$90,RAB!$C$14:$C$90,C1074)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SUMIFS(RAB!$F$14:$F$90,RAB!$C$14:$C$90,C1075)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SUMIFS(RAB!$F$14:$F$90,RAB!$C$14:$C$90,C1076)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SUMIFS(RAB!$F$14:$F$90,RAB!$C$14:$C$90,C1077)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SUMIFS(RAB!$F$14:$F$90,RAB!$C$14:$C$90,C1078)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SUMIFS(RAB!$F$14:$F$90,RAB!$C$14:$C$90,C1079)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SUMIFS(RAB!$F$14:$F$90,RAB!$C$14:$C$90,C1080)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SUMIFS(RAB!$F$14:$F$90,RAB!$C$14:$C$90,C1081)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SUMIFS(RAB!$F$14:$F$90,RAB!$C$14:$C$90,C1082)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SUMIFS(RAB!$F$14:$F$90,RAB!$C$14:$C$90,C1083)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SUMIFS(RAB!$F$14:$F$90,RAB!$C$14:$C$90,C1084)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SUMIFS(RAB!$F$14:$F$90,RAB!$C$14:$C$90,C1085)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SUMIFS(RAB!$F$14:$F$90,RAB!$C$14:$C$90,C1086)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SUMIFS(RAB!$F$14:$F$90,RAB!$C$14:$C$90,C1087)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SUMIFS(RAB!$F$14:$F$90,RAB!$C$14:$C$90,C1088)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SUMIFS(RAB!$F$14:$F$90,RAB!$C$14:$C$90,C1089)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SUMIFS(RAB!$F$14:$F$90,RAB!$C$14:$C$90,C1090)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SUMIFS(RAB!$F$14:$F$90,RAB!$C$14:$C$90,C1091)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SUMIFS(RAB!$F$14:$F$90,RAB!$C$14:$C$90,C1092)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SUMIFS(RAB!$F$14:$F$90,RAB!$C$14:$C$90,C1093)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SUMIFS(RAB!$F$14:$F$90,RAB!$C$14:$C$90,C1094)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SUMIFS(RAB!$F$14:$F$90,RAB!$C$14:$C$90,C1095)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SUMIFS(RAB!$F$14:$F$90,RAB!$C$14:$C$90,C1096)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SUMIFS(RAB!$F$14:$F$90,RAB!$C$14:$C$90,C1097)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SUMIFS(RAB!$F$14:$F$90,RAB!$C$14:$C$90,C1098)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SUMIFS(RAB!$F$14:$F$90,RAB!$C$14:$C$90,C1099)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SUMIFS(RAB!$F$14:$F$90,RAB!$C$14:$C$90,C1100)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SUMIFS(RAB!$F$14:$F$90,RAB!$C$14:$C$90,C1101)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SUMIFS(RAB!$F$14:$F$90,RAB!$C$14:$C$90,C1102)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SUMIFS(RAB!$F$14:$F$90,RAB!$C$14:$C$90,C1103)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SUMIFS(RAB!$F$14:$F$90,RAB!$C$14:$C$90,C1104)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SUMIFS(RAB!$F$14:$F$90,RAB!$C$14:$C$90,C1105)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SUMIFS(RAB!$F$14:$F$90,RAB!$C$14:$C$90,C1106)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SUMIFS(RAB!$F$14:$F$90,RAB!$C$14:$C$90,C1107)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SUMIFS(RAB!$F$14:$F$90,RAB!$C$14:$C$90,C1108)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SUMIFS(RAB!$F$14:$F$90,RAB!$C$14:$C$90,C1109)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SUMIFS(RAB!$F$14:$F$90,RAB!$C$14:$C$90,C1110)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SUMIFS(RAB!$F$14:$F$90,RAB!$C$14:$C$90,C1111)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SUMIFS(RAB!$F$14:$F$90,RAB!$C$14:$C$90,C1112)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SUMIFS(RAB!$F$14:$F$90,RAB!$C$14:$C$90,C1113)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SUMIFS(RAB!$F$14:$F$90,RAB!$C$14:$C$90,C1114)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SUMIFS(RAB!$F$14:$F$90,RAB!$C$14:$C$90,C1115)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SUMIFS(RAB!$F$14:$F$90,RAB!$C$14:$C$90,C1116)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SUMIFS(RAB!$F$14:$F$90,RAB!$C$14:$C$90,C1117)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SUMIFS(RAB!$F$14:$F$90,RAB!$C$14:$C$90,C1118)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SUMIFS(RAB!$F$14:$F$90,RAB!$C$14:$C$90,C1119)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SUMIFS(RAB!$F$14:$F$90,RAB!$C$14:$C$90,C1120)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SUMIFS(RAB!$F$14:$F$90,RAB!$C$14:$C$90,C1121)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SUMIFS(RAB!$F$14:$F$90,RAB!$C$14:$C$90,C1122)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SUMIFS(RAB!$F$14:$F$90,RAB!$C$14:$C$90,C1123)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SUMIFS(RAB!$F$14:$F$90,RAB!$C$14:$C$90,C1124)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SUMIFS(RAB!$F$14:$F$90,RAB!$C$14:$C$90,C1125)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SUMIFS(RAB!$F$14:$F$90,RAB!$C$14:$C$90,C1126)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SUMIFS(RAB!$F$14:$F$90,RAB!$C$14:$C$90,C1127)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SUMIFS(RAB!$F$14:$F$90,RAB!$C$14:$C$90,C1128)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SUMIFS(RAB!$F$14:$F$90,RAB!$C$14:$C$90,C1129)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SUMIFS(RAB!$F$14:$F$90,RAB!$C$14:$C$90,C1130)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SUMIFS(RAB!$F$14:$F$90,RAB!$C$14:$C$90,C1131)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SUMIFS(RAB!$F$14:$F$90,RAB!$C$14:$C$90,C1132)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SUMIFS(RAB!$F$14:$F$90,RAB!$C$14:$C$90,C1133)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SUMIFS(RAB!$F$14:$F$90,RAB!$C$14:$C$90,C1134)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SUMIFS(RAB!$F$14:$F$90,RAB!$C$14:$C$90,C1135)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SUMIFS(RAB!$F$14:$F$90,RAB!$C$14:$C$90,C1136)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SUMIFS(RAB!$F$14:$F$90,RAB!$C$14:$C$90,C1137)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SUMIFS(RAB!$F$14:$F$90,RAB!$C$14:$C$90,C1138)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SUMIFS(RAB!$F$14:$F$90,RAB!$C$14:$C$90,C1139)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SUMIFS(RAB!$F$14:$F$90,RAB!$C$14:$C$90,C1140)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SUMIFS(RAB!$F$14:$F$90,RAB!$C$14:$C$90,C1141)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SUMIFS(RAB!$F$14:$F$90,RAB!$C$14:$C$90,C1142)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SUMIFS(RAB!$F$14:$F$90,RAB!$C$14:$C$90,C1143)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SUMIFS(RAB!$F$14:$F$90,RAB!$C$14:$C$90,C1144)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SUMIFS(RAB!$F$14:$F$90,RAB!$C$14:$C$90,C1145)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SUMIFS(RAB!$F$14:$F$90,RAB!$C$14:$C$90,C1146)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SUMIFS(RAB!$F$14:$F$90,RAB!$C$14:$C$90,C1147)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SUMIFS(RAB!$F$14:$F$90,RAB!$C$14:$C$90,C1148)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SUMIFS(RAB!$F$14:$F$90,RAB!$C$14:$C$90,C1149)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SUMIFS(RAB!$F$14:$F$90,RAB!$C$14:$C$90,C1150)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SUMIFS(RAB!$F$14:$F$90,RAB!$C$14:$C$90,C1151)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SUMIFS(RAB!$F$14:$F$90,RAB!$C$14:$C$90,C1152)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SUMIFS(RAB!$F$14:$F$90,RAB!$C$14:$C$90,C1153)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SUMIFS(RAB!$F$14:$F$90,RAB!$C$14:$C$90,C1154)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SUMIFS(RAB!$F$14:$F$90,RAB!$C$14:$C$90,C1155)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SUMIFS(RAB!$F$14:$F$90,RAB!$C$14:$C$90,C1156)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SUMIFS(RAB!$F$14:$F$90,RAB!$C$14:$C$90,C1157)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SUMIFS(RAB!$F$14:$F$90,RAB!$C$14:$C$90,C1158)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SUMIFS(RAB!$F$14:$F$90,RAB!$C$14:$C$90,C1159)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SUMIFS(RAB!$F$14:$F$90,RAB!$C$14:$C$90,C1160)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SUMIFS(RAB!$F$14:$F$90,RAB!$C$14:$C$90,C1161)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SUMIFS(RAB!$F$14:$F$90,RAB!$C$14:$C$90,C1162)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SUMIFS(RAB!$F$14:$F$90,RAB!$C$14:$C$90,C1163)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SUMIFS(RAB!$F$14:$F$90,RAB!$C$14:$C$90,C1164)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SUMIFS(RAB!$F$14:$F$90,RAB!$C$14:$C$90,C1165)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SUMIFS(RAB!$F$14:$F$90,RAB!$C$14:$C$90,C1166)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SUMIFS(RAB!$F$14:$F$90,RAB!$C$14:$C$90,C1167)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SUMIFS(RAB!$F$14:$F$90,RAB!$C$14:$C$90,C1168)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SUMIFS(RAB!$F$14:$F$90,RAB!$C$14:$C$90,C1169)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SUMIFS(RAB!$F$14:$F$90,RAB!$C$14:$C$90,C1170)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SUMIFS(RAB!$F$14:$F$90,RAB!$C$14:$C$90,C1171)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SUMIFS(RAB!$F$14:$F$90,RAB!$C$14:$C$90,C1172)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SUMIFS(RAB!$F$14:$F$90,RAB!$C$14:$C$90,C1173)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SUMIFS(RAB!$F$14:$F$90,RAB!$C$14:$C$90,C1174)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SUMIFS(RAB!$F$14:$F$90,RAB!$C$14:$C$90,C1175)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SUMIFS(RAB!$F$14:$F$90,RAB!$C$14:$C$90,C1176)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SUMIFS(RAB!$F$14:$F$90,RAB!$C$14:$C$90,C1177)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SUMIFS(RAB!$F$14:$F$90,RAB!$C$14:$C$90,C1178)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SUMIFS(RAB!$F$14:$F$90,RAB!$C$14:$C$90,C1179)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SUMIFS(RAB!$F$14:$F$90,RAB!$C$14:$C$90,C1180)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SUMIFS(RAB!$F$14:$F$90,RAB!$C$14:$C$90,C1181)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SUMIFS(RAB!$F$14:$F$90,RAB!$C$14:$C$90,C1182)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SUMIFS(RAB!$F$14:$F$90,RAB!$C$14:$C$90,C1183)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SUMIFS(RAB!$F$14:$F$90,RAB!$C$14:$C$90,C1184)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SUMIFS(RAB!$F$14:$F$90,RAB!$C$14:$C$90,C1185)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SUMIFS(RAB!$F$14:$F$90,RAB!$C$14:$C$90,C1186)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SUMIFS(RAB!$F$14:$F$90,RAB!$C$14:$C$90,C1187)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SUMIFS(RAB!$F$14:$F$90,RAB!$C$14:$C$90,C1188)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SUMIFS(RAB!$F$14:$F$90,RAB!$C$14:$C$90,C1189)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SUMIFS(RAB!$F$14:$F$90,RAB!$C$14:$C$90,C1190)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SUMIFS(RAB!$F$14:$F$90,RAB!$C$14:$C$90,C1191)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SUMIFS(RAB!$F$14:$F$90,RAB!$C$14:$C$90,C1192)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SUMIFS(RAB!$F$14:$F$90,RAB!$C$14:$C$90,C1193)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SUMIFS(RAB!$F$14:$F$90,RAB!$C$14:$C$90,C1194)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SUMIFS(RAB!$F$14:$F$90,RAB!$C$14:$C$90,C1195)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SUMIFS(RAB!$F$14:$F$90,RAB!$C$14:$C$90,C1196)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SUMIFS(RAB!$F$14:$F$90,RAB!$C$14:$C$90,C1197)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SUMIFS(RAB!$F$14:$F$90,RAB!$C$14:$C$90,C1198)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SUMIFS(RAB!$F$14:$F$90,RAB!$C$14:$C$90,C1199)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SUMIFS(RAB!$F$14:$F$90,RAB!$C$14:$C$90,C1200)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SUMIFS(RAB!$F$14:$F$90,RAB!$C$14:$C$90,C1201)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SUMIFS(RAB!$F$14:$F$90,RAB!$C$14:$C$90,C1202)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SUMIFS(RAB!$F$14:$F$90,RAB!$C$14:$C$90,C1203)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SUMIFS(RAB!$F$14:$F$90,RAB!$C$14:$C$90,C1204)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SUMIFS(RAB!$F$14:$F$90,RAB!$C$14:$C$90,C1205)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SUMIFS(RAB!$F$14:$F$90,RAB!$C$14:$C$90,C1206)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SUMIFS(RAB!$F$14:$F$90,RAB!$C$14:$C$90,C1207)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SUMIFS(RAB!$F$14:$F$90,RAB!$C$14:$C$90,C1208)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SUMIFS(RAB!$F$14:$F$90,RAB!$C$14:$C$90,C1209)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SUMIFS(RAB!$F$14:$F$90,RAB!$C$14:$C$90,C1210)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SUMIFS(RAB!$F$14:$F$90,RAB!$C$14:$C$90,C1211)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SUMIFS(RAB!$F$14:$F$90,RAB!$C$14:$C$90,C1212)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SUMIFS(RAB!$F$14:$F$90,RAB!$C$14:$C$90,C1213)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SUMIFS(RAB!$F$14:$F$90,RAB!$C$14:$C$90,C1214)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SUMIFS(RAB!$F$14:$F$90,RAB!$C$14:$C$90,C1215)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SUMIFS(RAB!$F$14:$F$90,RAB!$C$14:$C$90,C1216)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SUMIFS(RAB!$F$14:$F$90,RAB!$C$14:$C$90,C1217)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SUMIFS(RAB!$F$14:$F$90,RAB!$C$14:$C$90,C1218)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SUMIFS(RAB!$F$14:$F$90,RAB!$C$14:$C$90,C1219)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SUMIFS(RAB!$F$14:$F$90,RAB!$C$14:$C$90,C1220)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SUMIFS(RAB!$F$14:$F$90,RAB!$C$14:$C$90,C1221)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SUMIFS(RAB!$F$14:$F$90,RAB!$C$14:$C$90,C1222)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SUMIFS(RAB!$F$14:$F$90,RAB!$C$14:$C$90,C1223)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SUMIFS(RAB!$F$14:$F$90,RAB!$C$14:$C$90,C1224)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SUMIFS(RAB!$F$14:$F$90,RAB!$C$14:$C$90,C1225)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SUMIFS(RAB!$F$14:$F$90,RAB!$C$14:$C$90,C1226)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SUMIFS(RAB!$F$14:$F$90,RAB!$C$14:$C$90,C1227)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SUMIFS(RAB!$F$14:$F$90,RAB!$C$14:$C$90,C1228)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SUMIFS(RAB!$F$14:$F$90,RAB!$C$14:$C$90,C1229)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SUMIFS(RAB!$F$14:$F$90,RAB!$C$14:$C$90,C1230)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SUMIFS(RAB!$F$14:$F$90,RAB!$C$14:$C$90,C1231)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SUMIFS(RAB!$F$14:$F$90,RAB!$C$14:$C$90,C1232)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SUMIFS(RAB!$F$14:$F$90,RAB!$C$14:$C$90,C1233)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SUMIFS(RAB!$F$14:$F$90,RAB!$C$14:$C$90,C1234)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SUMIFS(RAB!$F$14:$F$90,RAB!$C$14:$C$90,C1235)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SUMIFS(RAB!$F$14:$F$90,RAB!$C$14:$C$90,C1236)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SUMIFS(RAB!$F$14:$F$90,RAB!$C$14:$C$90,C1237)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SUMIFS(RAB!$F$14:$F$90,RAB!$C$14:$C$90,C1238)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SUMIFS(RAB!$F$14:$F$90,RAB!$C$14:$C$90,C1239)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SUMIFS(RAB!$F$14:$F$90,RAB!$C$14:$C$90,C1240)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SUMIFS(RAB!$F$14:$F$90,RAB!$C$14:$C$90,C1241)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SUMIFS(RAB!$F$14:$F$90,RAB!$C$14:$C$90,C1242)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SUMIFS(RAB!$F$14:$F$90,RAB!$C$14:$C$90,C1243)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SUMIFS(RAB!$F$14:$F$90,RAB!$C$14:$C$90,C1244)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SUMIFS(RAB!$F$14:$F$90,RAB!$C$14:$C$90,C1245)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SUMIFS(RAB!$F$14:$F$90,RAB!$C$14:$C$90,C1246)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SUMIFS(RAB!$F$14:$F$90,RAB!$C$14:$C$90,C1247)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SUMIFS(RAB!$F$14:$F$90,RAB!$C$14:$C$90,C1248)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SUMIFS(RAB!$F$14:$F$90,RAB!$C$14:$C$90,C1249)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SUMIFS(RAB!$F$14:$F$90,RAB!$C$14:$C$90,C1250)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SUMIFS(RAB!$F$14:$F$90,RAB!$C$14:$C$90,C1251)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SUMIFS(RAB!$F$14:$F$90,RAB!$C$14:$C$90,C1252)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SUMIFS(RAB!$F$14:$F$90,RAB!$C$14:$C$90,C1253)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SUMIFS(RAB!$F$14:$F$90,RAB!$C$14:$C$90,C1254)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SUMIFS(RAB!$F$14:$F$90,RAB!$C$14:$C$90,C1255)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SUMIFS(RAB!$F$14:$F$90,RAB!$C$14:$C$90,C1256)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SUMIFS(RAB!$F$14:$F$90,RAB!$C$14:$C$90,C1257)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SUMIFS(RAB!$F$14:$F$90,RAB!$C$14:$C$90,C1258)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SUMIFS(RAB!$F$14:$F$90,RAB!$C$14:$C$90,C1259)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SUMIFS(RAB!$F$14:$F$90,RAB!$C$14:$C$90,C1260)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SUMIFS(RAB!$F$14:$F$90,RAB!$C$14:$C$90,C1261)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SUMIFS(RAB!$F$14:$F$90,RAB!$C$14:$C$90,C1262)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SUMIFS(RAB!$F$14:$F$90,RAB!$C$14:$C$90,C1263)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SUMIFS(RAB!$F$14:$F$90,RAB!$C$14:$C$90,C1264)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SUMIFS(RAB!$F$14:$F$90,RAB!$C$14:$C$90,C1265)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SUMIFS(RAB!$F$14:$F$90,RAB!$C$14:$C$90,C1266)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SUMIFS(RAB!$F$14:$F$90,RAB!$C$14:$C$90,C1267)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SUMIFS(RAB!$F$14:$F$90,RAB!$C$14:$C$90,C1268)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SUMIFS(RAB!$F$14:$F$90,RAB!$C$14:$C$90,C1269)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SUMIFS(RAB!$F$14:$F$90,RAB!$C$14:$C$90,C1270)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SUMIFS(RAB!$F$14:$F$90,RAB!$C$14:$C$90,C1271)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SUMIFS(RAB!$F$14:$F$90,RAB!$C$14:$C$90,C1272)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SUMIFS(RAB!$F$14:$F$90,RAB!$C$14:$C$90,C1273)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SUMIFS(RAB!$F$14:$F$90,RAB!$C$14:$C$90,C1274)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SUMIFS(RAB!$F$14:$F$90,RAB!$C$14:$C$90,C1275)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SUMIFS(RAB!$F$14:$F$90,RAB!$C$14:$C$90,C1276)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SUMIFS(RAB!$F$14:$F$90,RAB!$C$14:$C$90,C1277)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SUMIFS(RAB!$F$14:$F$90,RAB!$C$14:$C$90,C1278)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SUMIFS(RAB!$F$14:$F$90,RAB!$C$14:$C$90,C1279)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SUMIFS(RAB!$F$14:$F$90,RAB!$C$14:$C$90,C1280)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SUMIFS(RAB!$F$14:$F$90,RAB!$C$14:$C$90,C1281)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SUMIFS(RAB!$F$14:$F$90,RAB!$C$14:$C$90,C1282)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SUMIFS(RAB!$F$14:$F$90,RAB!$C$14:$C$90,C1283)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SUMIFS(RAB!$F$14:$F$90,RAB!$C$14:$C$90,C1284)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SUMIFS(RAB!$F$14:$F$90,RAB!$C$14:$C$90,C1285)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SUMIFS(RAB!$F$14:$F$90,RAB!$C$14:$C$90,C1286)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SUMIFS(RAB!$F$14:$F$90,RAB!$C$14:$C$90,C1287)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SUMIFS(RAB!$F$14:$F$90,RAB!$C$14:$C$90,C1288)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SUMIFS(RAB!$F$14:$F$90,RAB!$C$14:$C$90,C1289)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SUMIFS(RAB!$F$14:$F$90,RAB!$C$14:$C$90,C1290)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SUMIFS(RAB!$F$14:$F$90,RAB!$C$14:$C$90,C1291)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SUMIFS(RAB!$F$14:$F$90,RAB!$C$14:$C$90,C1292)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SUMIFS(RAB!$F$14:$F$90,RAB!$C$14:$C$90,C1293)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SUMIFS(RAB!$F$14:$F$90,RAB!$C$14:$C$90,C1294)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SUMIFS(RAB!$F$14:$F$90,RAB!$C$14:$C$90,C1295)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SUMIFS(RAB!$F$14:$F$90,RAB!$C$14:$C$90,C1296)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SUMIFS(RAB!$F$14:$F$90,RAB!$C$14:$C$90,C1297)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SUMIFS(RAB!$F$14:$F$90,RAB!$C$14:$C$90,C1298)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SUMIFS(RAB!$F$14:$F$90,RAB!$C$14:$C$90,C1299)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SUMIFS(RAB!$F$14:$F$90,RAB!$C$14:$C$90,C1300)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SUMIFS(RAB!$F$14:$F$90,RAB!$C$14:$C$90,C1301)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SUMIFS(RAB!$F$14:$F$90,RAB!$C$14:$C$90,C1302)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SUMIFS(RAB!$F$14:$F$90,RAB!$C$14:$C$90,C1303)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SUMIFS(RAB!$F$14:$F$90,RAB!$C$14:$C$90,C1304)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SUMIFS(RAB!$F$14:$F$90,RAB!$C$14:$C$90,C1305)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SUMIFS(RAB!$F$14:$F$90,RAB!$C$14:$C$90,C1306)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SUMIFS(RAB!$F$14:$F$90,RAB!$C$14:$C$90,C1307)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SUMIFS(RAB!$F$14:$F$90,RAB!$C$14:$C$90,C1308)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SUMIFS(RAB!$F$14:$F$90,RAB!$C$14:$C$90,C1309)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SUMIFS(RAB!$F$14:$F$90,RAB!$C$14:$C$90,C1310)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SUMIFS(RAB!$F$14:$F$90,RAB!$C$14:$C$90,C1311)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SUMIFS(RAB!$F$14:$F$90,RAB!$C$14:$C$90,C1312)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SUMIFS(RAB!$F$14:$F$90,RAB!$C$14:$C$90,C1313)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SUMIFS(RAB!$F$14:$F$90,RAB!$C$14:$C$90,C1314)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SUMIFS(RAB!$F$14:$F$90,RAB!$C$14:$C$90,C1315)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SUMIFS(RAB!$F$14:$F$90,RAB!$C$14:$C$90,C1316)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SUMIFS(RAB!$F$14:$F$90,RAB!$C$14:$C$90,C1317)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SUMIFS(RAB!$F$14:$F$90,RAB!$C$14:$C$90,C1318)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SUMIFS(RAB!$F$14:$F$90,RAB!$C$14:$C$90,C1319)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SUMIFS(RAB!$F$14:$F$90,RAB!$C$14:$C$90,C1320)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 xml:space="preserve">PT YAXING CONSTRUKSION 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MORODEMAK,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SUMIFS(RAB!$F$14:$F$90,RAB!$C$14:$C$90,'REKAP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SUMIFS(RAB!$F$14:$F$90,RAB!$C$14:$C$90,'REKAP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SUMIFS(RAB!$F$14:$F$90,RAB!$C$14:$C$90,'REKAP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SUMIFS(RAB!$F$14:$F$90,RAB!$C$14:$C$90,'REKAP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SUMIFS(RAB!$F$14:$F$90,RAB!$C$14:$C$90,'REKAP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SUMIFS(RAB!$F$14:$F$90,RAB!$C$14:$C$90,'REKAP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SUMIFS(RAB!$F$14:$F$90,RAB!$C$14:$C$90,'REKAP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SUMIFS(RAB!$F$14:$F$90,RAB!$C$14:$C$90,'REKAP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SUMIFS(RAB!$F$14:$F$90,RAB!$C$14:$C$90,'REKAP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SUMIFS(RAB!$F$14:$F$90,RAB!$C$14:$C$90,'REKAP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SUMIFS(RAB!$F$14:$F$90,RAB!$C$14:$C$90,'REKAP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SUMIFS(RAB!$F$14:$F$90,RAB!$C$14:$C$90,'REKAP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SUMIFS(RAB!$F$14:$F$90,RAB!$C$14:$C$90,'REKAP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SUMIFS(RAB!$F$14:$F$90,RAB!$C$14:$C$90,'REKAP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SUMIFS(RAB!$F$14:$F$90,RAB!$C$14:$C$90,'REKAP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SUMIFS(RAB!$F$14:$F$90,RAB!$C$14:$C$90,'REKAP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SUMIFS(RAB!$F$14:$F$90,RAB!$C$14:$C$90,'REKAP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SUMIFS(RAB!$F$14:$F$90,RAB!$C$14:$C$90,'REKAP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SUMIFS(RAB!$F$14:$F$90,RAB!$C$14:$C$90,'REKAP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SUMIFS(RAB!$F$14:$F$90,RAB!$C$14:$C$90,'REKAP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 xml:space="preserve">PT YAXING CONSTRUKSION 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MORODEMAK,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655200</v>
      </c>
      <c r="I16" s="42">
        <f t="shared" ca="1" si="2"/>
        <v>0</v>
      </c>
      <c r="J16" s="42">
        <f t="shared" ca="1" si="3"/>
        <v>0</v>
      </c>
      <c r="K16" s="43">
        <f t="shared" ca="1" si="0"/>
        <v>655200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380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20254000</v>
      </c>
      <c r="I18" s="42">
        <f t="shared" ca="1" si="2"/>
        <v>0</v>
      </c>
      <c r="J18" s="42">
        <f t="shared" ca="1" si="3"/>
        <v>0</v>
      </c>
      <c r="K18" s="43">
        <f t="shared" ca="1" si="0"/>
        <v>20254000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70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462000</v>
      </c>
      <c r="I19" s="42">
        <f t="shared" ca="1" si="2"/>
        <v>0</v>
      </c>
      <c r="J19" s="42">
        <f t="shared" ca="1" si="3"/>
        <v>0</v>
      </c>
      <c r="K19" s="43">
        <f t="shared" ca="1" si="0"/>
        <v>462000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21449200</v>
      </c>
      <c r="I168" s="55">
        <f ca="1">SUM(I14:I167)</f>
        <v>0</v>
      </c>
      <c r="J168" s="55">
        <f ca="1">SUM(J14:J167)</f>
        <v>0</v>
      </c>
      <c r="K168" s="55">
        <f ca="1">SUM(K14:K167)</f>
        <v>21449200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2144920</v>
      </c>
      <c r="I169" s="60">
        <f ca="1">I168*0.1</f>
        <v>0</v>
      </c>
      <c r="J169" s="60">
        <f ca="1">J168*0.1</f>
        <v>0</v>
      </c>
      <c r="K169" s="60">
        <f ca="1">K168*0.1</f>
        <v>2144920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23594120</v>
      </c>
      <c r="I170" s="78">
        <f ca="1">SUM(I168:I169)</f>
        <v>0</v>
      </c>
      <c r="J170" s="61">
        <f ca="1">SUM(J168:J169)</f>
        <v>0</v>
      </c>
      <c r="K170" s="61">
        <f ca="1">SUM(K168:K169)</f>
        <v>23594120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SUMIFS(RAB!$F$14:$F$90,RAB!$C$14:$C$90,C224)</f>
        <v>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SUMIFS(RAB!$F$14:$F$90,RAB!$C$14:$C$90,C225)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SUMIFS(RAB!$F$14:$F$90,RAB!$C$14:$C$90,C226)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SUMIFS(RAB!$F$14:$F$90,RAB!$C$14:$C$90,C227)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SUMIFS(RAB!$F$14:$F$90,RAB!$C$14:$C$90,C228)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SUMIFS(RAB!$F$14:$F$90,RAB!$C$14:$C$90,C229)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SUMIFS(RAB!$F$14:$F$90,RAB!$C$14:$C$90,C230)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SUMIFS(RAB!$F$14:$F$90,RAB!$C$14:$C$90,C231)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SUMIFS(RAB!$F$14:$F$90,RAB!$C$14:$C$90,C232)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SUMIFS(RAB!$F$14:$F$90,RAB!$C$14:$C$90,C233)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SUMIFS(RAB!$F$14:$F$90,RAB!$C$14:$C$90,C234)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SUMIFS(RAB!$F$14:$F$90,RAB!$C$14:$C$90,C235)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SUMIFS(RAB!$F$14:$F$90,RAB!$C$14:$C$90,C236)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SUMIFS(RAB!$F$14:$F$90,RAB!$C$14:$C$90,C237)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SUMIFS(RAB!$F$14:$F$90,RAB!$C$14:$C$90,C238)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SUMIFS(RAB!$F$14:$F$90,RAB!$C$14:$C$90,C239)</f>
        <v>2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SUMIFS(RAB!$F$14:$F$90,RAB!$C$14:$C$90,C240)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SUMIFS(RAB!$F$14:$F$90,RAB!$C$14:$C$90,C241)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SUMIFS(RAB!$F$14:$F$90,RAB!$C$14:$C$90,C242)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SUMIFS(RAB!$F$14:$F$90,RAB!$C$14:$C$90,C243)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SUMIFS(RAB!$F$14:$F$90,RAB!$C$14:$C$90,C244)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SUMIFS(RAB!$F$14:$F$90,RAB!$C$14:$C$90,C245)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SUMIFS(RAB!$F$14:$F$90,RAB!$C$14:$C$90,C246)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SUMIFS(RAB!$F$14:$F$90,RAB!$C$14:$C$90,C247)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SUMIFS(RAB!$F$14:$F$90,RAB!$C$14:$C$90,C248)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SUMIFS(RAB!$F$14:$F$90,RAB!$C$14:$C$90,C249)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SUMIFS(RAB!$F$14:$F$90,RAB!$C$14:$C$90,C250)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SUMIFS(RAB!$F$14:$F$90,RAB!$C$14:$C$90,C251)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SUMIFS(RAB!$F$14:$F$90,RAB!$C$14:$C$90,C252)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SUMIFS(RAB!$F$14:$F$90,RAB!$C$14:$C$90,C253)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SUMIFS(RAB!$F$14:$F$90,RAB!$C$14:$C$90,C254)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SUMIFS(RAB!$F$14:$F$90,RAB!$C$14:$C$90,C255)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SUMIFS(RAB!$F$14:$F$90,RAB!$C$14:$C$90,C256)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SUMIFS(RAB!$F$14:$F$90,RAB!$C$14:$C$90,C257)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SUMIFS(RAB!$F$14:$F$90,RAB!$C$14:$C$90,C258)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SUMIFS(RAB!$F$14:$F$90,RAB!$C$14:$C$90,C259)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SUMIFS(RAB!$F$14:$F$90,RAB!$C$14:$C$90,C260)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SUMIFS(RAB!$F$14:$F$90,RAB!$C$14:$C$90,C261)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SUMIFS(RAB!$F$14:$F$90,RAB!$C$14:$C$90,C262)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SUMIFS(RAB!$F$14:$F$90,RAB!$C$14:$C$90,C263)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SUMIFS(RAB!$F$14:$F$90,RAB!$C$14:$C$90,C264)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SUMIFS(RAB!$F$14:$F$90,RAB!$C$14:$C$90,C265)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SUMIFS(RAB!$F$14:$F$90,RAB!$C$14:$C$90,C266)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SUMIFS(RAB!$F$14:$F$90,RAB!$C$14:$C$90,C267)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SUMIFS(RAB!$F$14:$F$90,RAB!$C$14:$C$90,C268)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SUMIFS(RAB!$F$14:$F$90,RAB!$C$14:$C$90,C269)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SUMIFS(RAB!$F$14:$F$90,RAB!$C$14:$C$90,C270)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SUMIFS(RAB!$F$14:$F$90,RAB!$C$14:$C$90,C271)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SUMIFS(RAB!$F$14:$F$90,RAB!$C$14:$C$90,C272)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SUMIFS(RAB!$F$14:$F$90,RAB!$C$14:$C$90,C273)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SUMIFS(RAB!$F$14:$F$90,RAB!$C$14:$C$90,C274)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SUMIFS(RAB!$F$14:$F$90,RAB!$C$14:$C$90,C275)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SUMIFS(RAB!$F$14:$F$90,RAB!$C$14:$C$90,C276)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SUMIFS(RAB!$F$14:$F$90,RAB!$C$14:$C$90,C277)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SUMIFS(RAB!$F$14:$F$90,RAB!$C$14:$C$90,C278)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SUMIFS(RAB!$F$14:$F$90,RAB!$C$14:$C$90,C279)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SUMIFS(RAB!$F$14:$F$90,RAB!$C$14:$C$90,C280)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SUMIFS(RAB!$F$14:$F$90,RAB!$C$14:$C$90,C281)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SUMIFS(RAB!$F$14:$F$90,RAB!$C$14:$C$90,C282)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SUMIFS(RAB!$F$14:$F$90,RAB!$C$14:$C$90,C283)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SUMIFS(RAB!$F$14:$F$90,RAB!$C$14:$C$90,C284)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SUMIFS(RAB!$F$14:$F$90,RAB!$C$14:$C$90,C285)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SUMIFS(RAB!$F$14:$F$90,RAB!$C$14:$C$90,C286)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SUMIFS(RAB!$F$14:$F$90,RAB!$C$14:$C$90,C287)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SUMIFS(RAB!$F$14:$F$90,RAB!$C$14:$C$90,C288)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SUMIFS(RAB!$F$14:$F$90,RAB!$C$14:$C$90,C289)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SUMIFS(RAB!$F$14:$F$90,RAB!$C$14:$C$90,C290)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SUMIFS(RAB!$F$14:$F$90,RAB!$C$14:$C$90,C291)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SUMIFS(RAB!$F$14:$F$90,RAB!$C$14:$C$90,C292)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SUMIFS(RAB!$F$14:$F$90,RAB!$C$14:$C$90,C293)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SUMIFS(RAB!$F$14:$F$90,RAB!$C$14:$C$90,C294)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SUMIFS(RAB!$F$14:$F$90,RAB!$C$14:$C$90,C295)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SUMIFS(RAB!$F$14:$F$90,RAB!$C$14:$C$90,C296)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SUMIFS(RAB!$F$14:$F$90,RAB!$C$14:$C$90,C297)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SUMIFS(RAB!$F$14:$F$90,RAB!$C$14:$C$90,C298)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SUMIFS(RAB!$F$14:$F$90,RAB!$C$14:$C$90,C299)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SUMIFS(RAB!$F$14:$F$90,RAB!$C$14:$C$90,C300)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SUMIFS(RAB!$F$14:$F$90,RAB!$C$14:$C$90,C301)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SUMIFS(RAB!$F$14:$F$90,RAB!$C$14:$C$90,C302)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SUMIFS(RAB!$F$14:$F$90,RAB!$C$14:$C$90,C303)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SUMIFS(RAB!$F$14:$F$90,RAB!$C$14:$C$90,C304)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SUMIFS(RAB!$F$14:$F$90,RAB!$C$14:$C$90,C305)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SUMIFS(RAB!$F$14:$F$90,RAB!$C$14:$C$90,C306)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SUMIFS(RAB!$F$14:$F$90,RAB!$C$14:$C$90,C307)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SUMIFS(RAB!$F$14:$F$90,RAB!$C$14:$C$90,C308)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SUMIFS(RAB!$F$14:$F$90,RAB!$C$14:$C$90,C309)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SUMIFS(RAB!$F$14:$F$90,RAB!$C$14:$C$90,C310)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SUMIFS(RAB!$F$14:$F$90,RAB!$C$14:$C$90,C311)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SUMIFS(RAB!$F$14:$F$90,RAB!$C$14:$C$90,C312)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SUMIFS(RAB!$F$14:$F$90,RAB!$C$14:$C$90,C313)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SUMIFS(RAB!$F$14:$F$90,RAB!$C$14:$C$90,C314)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SUMIFS(RAB!$F$14:$F$90,RAB!$C$14:$C$90,C315)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SUMIFS(RAB!$F$14:$F$90,RAB!$C$14:$C$90,C316)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SUMIFS(RAB!$F$14:$F$90,RAB!$C$14:$C$90,C317)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SUMIFS(RAB!$F$14:$F$90,RAB!$C$14:$C$90,C318)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SUMIFS(RAB!$F$14:$F$90,RAB!$C$14:$C$90,C319)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SUMIFS(RAB!$F$14:$F$90,RAB!$C$14:$C$90,C320)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SUMIFS(RAB!$F$14:$F$90,RAB!$C$14:$C$90,C321)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SUMIFS(RAB!$F$14:$F$90,RAB!$C$14:$C$90,C322)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SUMIFS(RAB!$F$14:$F$90,RAB!$C$14:$C$90,C323)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SUMIFS(RAB!$F$14:$F$90,RAB!$C$14:$C$90,C324)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SUMIFS(RAB!$F$14:$F$90,RAB!$C$14:$C$90,C325)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SUMIFS(RAB!$F$14:$F$90,RAB!$C$14:$C$90,C326)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SUMIFS(RAB!$F$14:$F$90,RAB!$C$14:$C$90,C327)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SUMIFS(RAB!$F$14:$F$90,RAB!$C$14:$C$90,C328)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SUMIFS(RAB!$F$14:$F$90,RAB!$C$14:$C$90,C329)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SUMIFS(RAB!$F$14:$F$90,RAB!$C$14:$C$90,C330)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SUMIFS(RAB!$F$14:$F$90,RAB!$C$14:$C$90,C331)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SUMIFS(RAB!$F$14:$F$90,RAB!$C$14:$C$90,C332)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SUMIFS(RAB!$F$14:$F$90,RAB!$C$14:$C$90,C333)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SUMIFS(RAB!$F$14:$F$90,RAB!$C$14:$C$90,C334)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SUMIFS(RAB!$F$14:$F$90,RAB!$C$14:$C$90,C335)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SUMIFS(RAB!$F$14:$F$90,RAB!$C$14:$C$90,C336)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SUMIFS(RAB!$F$14:$F$90,RAB!$C$14:$C$90,C337)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SUMIFS(RAB!$F$14:$F$90,RAB!$C$14:$C$90,C338)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SUMIFS(RAB!$F$14:$F$90,RAB!$C$14:$C$90,C339)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SUMIFS(RAB!$F$14:$F$90,RAB!$C$14:$C$90,C340)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SUMIFS(RAB!$F$14:$F$90,RAB!$C$14:$C$90,C341)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SUMIFS(RAB!$F$14:$F$90,RAB!$C$14:$C$90,C342)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SUMIFS(RAB!$F$14:$F$90,RAB!$C$14:$C$90,C343)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SUMIFS(RAB!$F$14:$F$90,RAB!$C$14:$C$90,C344)</f>
        <v>380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SUMIFS(RAB!$F$14:$F$90,RAB!$C$14:$C$90,C345)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SUMIFS(RAB!$F$14:$F$90,RAB!$C$14:$C$90,C346)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SUMIFS(RAB!$F$14:$F$90,RAB!$C$14:$C$90,C347)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SUMIFS(RAB!$F$14:$F$90,RAB!$C$14:$C$90,C348)</f>
        <v>70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SUMIFS(RAB!$F$14:$F$90,RAB!$C$14:$C$90,C349)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SUMIFS(RAB!$F$14:$F$90,RAB!$C$14:$C$90,C350)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SUMIFS(RAB!$F$14:$F$90,RAB!$C$14:$C$90,C351)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SUMIFS(RAB!$F$14:$F$90,RAB!$C$14:$C$90,C352)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SUMIFS(RAB!$F$14:$F$90,RAB!$C$14:$C$90,C353)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SUMIFS(RAB!$F$14:$F$90,RAB!$C$14:$C$90,C354)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SUMIFS(RAB!$F$14:$F$90,RAB!$C$14:$C$90,C355)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SUMIFS(RAB!$F$14:$F$90,RAB!$C$14:$C$90,C356)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SUMIFS(RAB!$F$14:$F$90,RAB!$C$14:$C$90,C357)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SUMIFS(RAB!$F$14:$F$90,RAB!$C$14:$C$90,C358)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SUMIFS(RAB!$F$14:$F$90,RAB!$C$14:$C$90,C359)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SUMIFS(RAB!$F$14:$F$90,RAB!$C$14:$C$90,C360)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SUMIFS(RAB!$F$14:$F$90,RAB!$C$14:$C$90,C361)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SUMIFS(RAB!$F$14:$F$90,RAB!$C$14:$C$90,C362)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SUMIFS(RAB!$F$14:$F$90,RAB!$C$14:$C$90,C363)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SUMIFS(RAB!$F$14:$F$90,RAB!$C$14:$C$90,C364)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SUMIFS(RAB!$F$14:$F$90,RAB!$C$14:$C$90,C365)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SUMIFS(RAB!$F$14:$F$90,RAB!$C$14:$C$90,C366)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SUMIFS(RAB!$F$14:$F$90,RAB!$C$14:$C$90,C367)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SUMIFS(RAB!$F$14:$F$90,RAB!$C$14:$C$90,C368)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SUMIFS(RAB!$F$14:$F$90,RAB!$C$14:$C$90,C369)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SUMIFS(RAB!$F$14:$F$90,RAB!$C$14:$C$90,C370)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SUMIFS(RAB!$F$14:$F$90,RAB!$C$14:$C$90,C371)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SUMIFS(RAB!$F$14:$F$90,RAB!$C$14:$C$90,C372)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SUMIFS(RAB!$F$14:$F$90,RAB!$C$14:$C$90,C373)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1609</v>
      </c>
      <c r="G4" s="108" t="s">
        <v>1608</v>
      </c>
      <c r="H4" s="56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5" t="s">
        <v>1454</v>
      </c>
      <c r="C2" s="595"/>
      <c r="D2" s="595"/>
      <c r="E2" s="59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0" t="s">
        <v>1532</v>
      </c>
      <c r="C4" s="601"/>
      <c r="D4" s="601"/>
      <c r="E4" s="602"/>
      <c r="F4" s="442"/>
      <c r="G4" s="442"/>
      <c r="H4" s="443"/>
      <c r="I4" s="564" t="s">
        <v>1533</v>
      </c>
      <c r="J4" s="565"/>
      <c r="K4" s="565"/>
      <c r="L4" s="566"/>
    </row>
    <row r="5" spans="1:12" ht="34.5" customHeight="1">
      <c r="A5" s="204"/>
      <c r="B5" s="445" t="s">
        <v>1379</v>
      </c>
      <c r="C5" s="277" t="s">
        <v>9</v>
      </c>
      <c r="D5" s="596" t="str">
        <f>DATA!D14</f>
        <v xml:space="preserve">PT YAXING CONSTRUKSION </v>
      </c>
      <c r="E5" s="597"/>
      <c r="F5" s="208"/>
      <c r="G5" s="208"/>
      <c r="I5" s="446" t="s">
        <v>1379</v>
      </c>
      <c r="J5" s="277" t="s">
        <v>9</v>
      </c>
      <c r="K5" s="567" t="str">
        <f>D5</f>
        <v xml:space="preserve">PT YAXING CONSTRUKSION </v>
      </c>
      <c r="L5" s="568"/>
    </row>
    <row r="6" spans="1:12" ht="31.5" customHeight="1">
      <c r="A6" s="204"/>
      <c r="B6" s="445" t="s">
        <v>1529</v>
      </c>
      <c r="C6" s="277" t="s">
        <v>9</v>
      </c>
      <c r="D6" s="605">
        <f>DATA!D17*1000</f>
        <v>0</v>
      </c>
      <c r="E6" s="606"/>
      <c r="F6" s="208"/>
      <c r="G6" s="208"/>
      <c r="I6" s="446" t="s">
        <v>1530</v>
      </c>
      <c r="J6" s="277" t="s">
        <v>9</v>
      </c>
      <c r="K6" s="569">
        <f>DATA!D20*1000</f>
        <v>11000</v>
      </c>
      <c r="L6" s="570"/>
    </row>
    <row r="7" spans="1:12" ht="30.75" customHeight="1">
      <c r="A7" s="204"/>
      <c r="B7" s="445" t="s">
        <v>1441</v>
      </c>
      <c r="C7" s="277" t="s">
        <v>9</v>
      </c>
      <c r="D7" s="603">
        <f>DATA!D18</f>
        <v>1</v>
      </c>
      <c r="E7" s="604"/>
      <c r="F7" s="444" t="s">
        <v>1453</v>
      </c>
      <c r="I7" s="446" t="s">
        <v>1441</v>
      </c>
      <c r="J7" s="277" t="s">
        <v>9</v>
      </c>
      <c r="K7" s="571">
        <f>DATA!D21</f>
        <v>1</v>
      </c>
      <c r="L7" s="572"/>
    </row>
    <row r="8" spans="1:12" ht="51" customHeight="1">
      <c r="A8" s="204"/>
      <c r="B8" s="445" t="s">
        <v>1442</v>
      </c>
      <c r="C8" s="277" t="s">
        <v>9</v>
      </c>
      <c r="D8" s="603">
        <f>DATA!D19</f>
        <v>220</v>
      </c>
      <c r="E8" s="604"/>
      <c r="F8" s="444" t="s">
        <v>1453</v>
      </c>
      <c r="G8" s="439">
        <v>220</v>
      </c>
      <c r="I8" s="446" t="s">
        <v>1442</v>
      </c>
      <c r="J8" s="277" t="s">
        <v>9</v>
      </c>
      <c r="K8" s="571">
        <f>DATA!D22</f>
        <v>220</v>
      </c>
      <c r="L8" s="572"/>
    </row>
    <row r="9" spans="1:12" ht="30" customHeight="1" thickBot="1">
      <c r="A9" s="204"/>
      <c r="B9" s="451" t="s">
        <v>1541</v>
      </c>
      <c r="C9" s="441" t="s">
        <v>9</v>
      </c>
      <c r="D9" s="598">
        <f>IF(D7=1,D6/(380/3^0.5),(D6/(380*3^0.5)))</f>
        <v>0</v>
      </c>
      <c r="E9" s="599"/>
      <c r="F9" s="207"/>
      <c r="G9" s="440">
        <v>380</v>
      </c>
      <c r="I9" s="452" t="s">
        <v>1541</v>
      </c>
      <c r="J9" s="441" t="s">
        <v>9</v>
      </c>
      <c r="K9" s="575">
        <f>IF(K7=1,K6/(380/3^0.5),(K6/(380*3^0.5)))</f>
        <v>50.138312850678027</v>
      </c>
      <c r="L9" s="576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7"/>
      <c r="E12" s="608"/>
      <c r="F12" s="208"/>
      <c r="G12" s="208"/>
      <c r="I12" s="468" t="s">
        <v>1534</v>
      </c>
      <c r="J12" s="469" t="s">
        <v>9</v>
      </c>
      <c r="K12" s="607"/>
      <c r="L12" s="608"/>
    </row>
    <row r="13" spans="1:12" ht="31.5" customHeight="1">
      <c r="A13" s="204"/>
      <c r="B13" s="476" t="s">
        <v>1380</v>
      </c>
      <c r="C13" s="456" t="s">
        <v>9</v>
      </c>
      <c r="D13" s="573"/>
      <c r="E13" s="574"/>
      <c r="F13" s="208"/>
      <c r="G13" s="208"/>
      <c r="I13" s="470" t="s">
        <v>1380</v>
      </c>
      <c r="J13" s="456" t="s">
        <v>9</v>
      </c>
      <c r="K13" s="573"/>
      <c r="L13" s="574"/>
    </row>
    <row r="14" spans="1:12" ht="30.75" customHeight="1">
      <c r="A14" s="204"/>
      <c r="B14" s="476" t="s">
        <v>1535</v>
      </c>
      <c r="C14" s="456" t="s">
        <v>9</v>
      </c>
      <c r="D14" s="577"/>
      <c r="E14" s="578"/>
      <c r="F14" s="444" t="s">
        <v>1453</v>
      </c>
      <c r="G14" s="448">
        <v>50</v>
      </c>
      <c r="I14" s="470" t="s">
        <v>1535</v>
      </c>
      <c r="J14" s="456" t="s">
        <v>9</v>
      </c>
      <c r="K14" s="579"/>
      <c r="L14" s="580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1">
        <v>0</v>
      </c>
      <c r="E16" s="582"/>
      <c r="F16" s="444"/>
      <c r="G16" s="448">
        <v>160</v>
      </c>
      <c r="I16" s="470" t="s">
        <v>1537</v>
      </c>
      <c r="J16" s="456" t="s">
        <v>9</v>
      </c>
      <c r="K16" s="585">
        <f>K9</f>
        <v>50.138312850678027</v>
      </c>
      <c r="L16" s="586"/>
    </row>
    <row r="17" spans="1:12" ht="34.5" customHeight="1">
      <c r="A17" s="204"/>
      <c r="B17" s="476" t="s">
        <v>1538</v>
      </c>
      <c r="C17" s="456" t="s">
        <v>9</v>
      </c>
      <c r="D17" s="583">
        <f>IF(D15=1,D14/(20/3^0.5),(D14/(20*3^0.5)))</f>
        <v>0</v>
      </c>
      <c r="E17" s="584"/>
      <c r="F17" s="444" t="s">
        <v>1453</v>
      </c>
      <c r="G17" s="449">
        <v>200</v>
      </c>
      <c r="I17" s="470" t="s">
        <v>1538</v>
      </c>
      <c r="J17" s="456" t="s">
        <v>9</v>
      </c>
      <c r="K17" s="589">
        <f>IF(K15=1,K14/(20/3^0.5),(K14/(20*3^0.5)))</f>
        <v>0</v>
      </c>
      <c r="L17" s="590"/>
    </row>
    <row r="18" spans="1:12" ht="34.5" customHeight="1">
      <c r="A18" s="204"/>
      <c r="B18" s="476" t="s">
        <v>1539</v>
      </c>
      <c r="C18" s="456" t="s">
        <v>9</v>
      </c>
      <c r="D18" s="583">
        <f>IF(D15=1,D14/(380/3^0.5),(D14/(380*3^0.5)))*1000</f>
        <v>0</v>
      </c>
      <c r="E18" s="584"/>
      <c r="F18" s="444" t="s">
        <v>1453</v>
      </c>
      <c r="G18" s="449">
        <v>250</v>
      </c>
      <c r="I18" s="470" t="s">
        <v>1539</v>
      </c>
      <c r="J18" s="456" t="s">
        <v>9</v>
      </c>
      <c r="K18" s="589">
        <f>IF(K15=1,K14/(380/3^0.5),(K14/(380*3^0.5)))*1000</f>
        <v>0</v>
      </c>
      <c r="L18" s="590"/>
    </row>
    <row r="19" spans="1:12" ht="30" customHeight="1">
      <c r="A19" s="204"/>
      <c r="B19" s="477" t="s">
        <v>1531</v>
      </c>
      <c r="C19" s="455" t="s">
        <v>9</v>
      </c>
      <c r="D19" s="583">
        <f>IF(D15=1,D14/(380/3^0.5),(D14/(380*3^0.5)))</f>
        <v>0</v>
      </c>
      <c r="E19" s="584"/>
      <c r="F19" s="207"/>
      <c r="G19" s="440"/>
      <c r="I19" s="472" t="s">
        <v>1531</v>
      </c>
      <c r="J19" s="455" t="s">
        <v>9</v>
      </c>
      <c r="K19" s="589">
        <f>IF(K15=1,K14/(380/3^0.5),(K14/(380*3^0.5)))</f>
        <v>0</v>
      </c>
      <c r="L19" s="590"/>
    </row>
    <row r="20" spans="1:12" ht="30" customHeight="1" thickBot="1">
      <c r="A20" s="204"/>
      <c r="B20" s="478" t="s">
        <v>1540</v>
      </c>
      <c r="C20" s="474" t="s">
        <v>9</v>
      </c>
      <c r="D20" s="609" t="e">
        <f>D16/D18</f>
        <v>#DIV/0!</v>
      </c>
      <c r="E20" s="610"/>
      <c r="F20" s="207"/>
      <c r="G20" s="440"/>
      <c r="I20" s="473" t="s">
        <v>1531</v>
      </c>
      <c r="J20" s="474" t="s">
        <v>9</v>
      </c>
      <c r="K20" s="587" t="e">
        <f>K16/K18</f>
        <v>#DIV/0!</v>
      </c>
      <c r="L20" s="588"/>
    </row>
    <row r="21" spans="1:12" ht="9.75" customHeight="1">
      <c r="A21" s="204"/>
      <c r="B21" s="463" t="s">
        <v>1540</v>
      </c>
      <c r="C21" s="464" t="s">
        <v>9</v>
      </c>
      <c r="D21" s="594">
        <v>1</v>
      </c>
      <c r="E21" s="594"/>
      <c r="F21" s="465"/>
      <c r="G21" s="466"/>
      <c r="H21" s="467"/>
      <c r="I21" s="463" t="s">
        <v>1531</v>
      </c>
      <c r="J21" s="464" t="s">
        <v>9</v>
      </c>
      <c r="K21" s="594">
        <v>1</v>
      </c>
      <c r="L21" s="594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F14" sqref="F1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1"/>
      <c r="C1" s="611"/>
      <c r="D1" s="61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RAB!K96</f>
        <v>31493096.016400002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629861.92032800009</v>
      </c>
    </row>
    <row r="12" spans="2:11" ht="9" customHeight="1">
      <c r="B12" s="612"/>
      <c r="C12" s="612"/>
      <c r="D12" s="612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1633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1629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9" t="s">
        <v>1357</v>
      </c>
      <c r="C3" s="619"/>
      <c r="D3" s="619"/>
      <c r="E3" s="619"/>
      <c r="F3" s="305" t="str">
        <f>DATA!D14</f>
        <v xml:space="preserve">PT YAXING CONSTRUKSION 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3" t="s">
        <v>1349</v>
      </c>
      <c r="C5" s="613" t="s">
        <v>1358</v>
      </c>
      <c r="D5" s="618" t="s">
        <v>1359</v>
      </c>
      <c r="E5" s="618" t="s">
        <v>1360</v>
      </c>
      <c r="F5" s="613" t="s">
        <v>1361</v>
      </c>
      <c r="G5" s="613"/>
      <c r="H5" s="613"/>
      <c r="I5" s="613"/>
      <c r="J5" s="613"/>
      <c r="K5" s="613" t="s">
        <v>1362</v>
      </c>
      <c r="L5" s="613"/>
      <c r="M5" s="307"/>
      <c r="N5" s="616" t="s">
        <v>1363</v>
      </c>
      <c r="O5" s="618" t="s">
        <v>1364</v>
      </c>
      <c r="P5" s="618" t="s">
        <v>1365</v>
      </c>
      <c r="Q5" s="618" t="s">
        <v>1366</v>
      </c>
      <c r="R5" s="308"/>
      <c r="S5" s="309"/>
      <c r="T5" s="614" t="s">
        <v>1367</v>
      </c>
      <c r="U5" s="310"/>
    </row>
    <row r="6" spans="1:21" ht="20.100000000000001" customHeight="1">
      <c r="B6" s="613"/>
      <c r="C6" s="613"/>
      <c r="D6" s="613"/>
      <c r="E6" s="61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7"/>
      <c r="O6" s="613"/>
      <c r="P6" s="613"/>
      <c r="Q6" s="613"/>
      <c r="R6" s="308"/>
      <c r="S6" s="309"/>
      <c r="T6" s="613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31.493096016400003</v>
      </c>
      <c r="G7" s="318">
        <f ca="1">DATA!$D$11/1000000</f>
        <v>0.62986192032800015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36.024940801882998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-20.280596801882997</v>
      </c>
      <c r="O7" s="314">
        <v>1</v>
      </c>
      <c r="P7" s="316">
        <f ca="1">O7*N7</f>
        <v>-20.280596801882997</v>
      </c>
      <c r="Q7" s="316">
        <f ca="1">P7</f>
        <v>-20.280596801882997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0.62986192032800015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6.4828362180604904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1.1451797819395093</v>
      </c>
      <c r="O8" s="315">
        <f>1/(1+'[93]Asumsi I'!$C$3)^(KKF!A8)</f>
        <v>0.89285714285714279</v>
      </c>
      <c r="P8" s="316">
        <f ca="1">O8*N8</f>
        <v>1.022481948160276</v>
      </c>
      <c r="Q8" s="316">
        <f ca="1">Q7+P8</f>
        <v>-19.25811485372272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0.62986192032800015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6.4828362180604904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1.1451797819395093</v>
      </c>
      <c r="O9" s="322">
        <f>1/(1+'[93]Asumsi I'!$C$3)^(KKF!A9)</f>
        <v>0.79719387755102034</v>
      </c>
      <c r="P9" s="316">
        <f t="shared" ref="P9:P32" ca="1" si="7">O9*N9</f>
        <v>0.9129303108573894</v>
      </c>
      <c r="Q9" s="316">
        <f ca="1">Q8+P9</f>
        <v>-18.345184542865329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0.62986192032800015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6.4828362180604904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1.1451797819395093</v>
      </c>
      <c r="O10" s="315">
        <f>1/(1+'[93]Asumsi I'!$C$3)^(KKF!A10)</f>
        <v>0.71178024781341087</v>
      </c>
      <c r="P10" s="316">
        <f t="shared" ca="1" si="7"/>
        <v>0.81511634897981178</v>
      </c>
      <c r="Q10" s="316">
        <f t="shared" ref="Q10:Q30" ca="1" si="9">Q9+P10</f>
        <v>-17.530068193885519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0.62986192032800015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6.4828362180604904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1.1451797819395093</v>
      </c>
      <c r="O11" s="315">
        <f>1/(1+'[93]Asumsi I'!$C$3)^(KKF!A11)</f>
        <v>0.63551807840483121</v>
      </c>
      <c r="P11" s="316">
        <f t="shared" ca="1" si="7"/>
        <v>0.72778245444626055</v>
      </c>
      <c r="Q11" s="316">
        <f t="shared" ca="1" si="9"/>
        <v>-16.80228573943926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0.62986192032800015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6.4828362180604904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1.1451797819395093</v>
      </c>
      <c r="O12" s="315">
        <f>1/(1+'[93]Asumsi I'!$C$3)^(KKF!A12)</f>
        <v>0.56742685571859919</v>
      </c>
      <c r="P12" s="316">
        <f t="shared" ca="1" si="7"/>
        <v>0.64980576289844683</v>
      </c>
      <c r="Q12" s="316">
        <f t="shared" ca="1" si="9"/>
        <v>-16.152479976540814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0.62986192032800015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6.4828362180604904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1.1451797819395093</v>
      </c>
      <c r="O13" s="315">
        <f>1/(1+'[93]Asumsi I'!$C$3)^(KKF!A13)</f>
        <v>0.50663112117732068</v>
      </c>
      <c r="P13" s="316">
        <f t="shared" ca="1" si="7"/>
        <v>0.58018371687361325</v>
      </c>
      <c r="Q13" s="316">
        <f t="shared" ca="1" si="9"/>
        <v>-15.572296259667201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0.62986192032800015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6.4828362180604904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1.1451797819395093</v>
      </c>
      <c r="O14" s="315">
        <f>1/(1+'[93]Asumsi I'!$C$3)^(KKF!A14)</f>
        <v>0.45234921533689343</v>
      </c>
      <c r="P14" s="316">
        <f t="shared" ca="1" si="7"/>
        <v>0.51802117578001172</v>
      </c>
      <c r="Q14" s="316">
        <f t="shared" ca="1" si="9"/>
        <v>-15.054275083887189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0.62986192032800015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6.4828362180604904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1.1451797819395093</v>
      </c>
      <c r="O15" s="315">
        <f>1/(1+'[93]Asumsi I'!$C$3)^(KKF!A15)</f>
        <v>0.4038832279793691</v>
      </c>
      <c r="P15" s="316">
        <f t="shared" ca="1" si="7"/>
        <v>0.46251890694643905</v>
      </c>
      <c r="Q15" s="316">
        <f t="shared" ca="1" si="9"/>
        <v>-14.59175617694075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0.62986192032800015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6.4828362180604904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1.1451797819395093</v>
      </c>
      <c r="O16" s="315">
        <f>1/(1+'[93]Asumsi I'!$C$3)^(KKF!A16)</f>
        <v>0.36061002498157957</v>
      </c>
      <c r="P16" s="316">
        <f t="shared" ca="1" si="7"/>
        <v>0.41296330977360629</v>
      </c>
      <c r="Q16" s="316">
        <f t="shared" ca="1" si="9"/>
        <v>-14.178792867167143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0.62986192032800015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6.4828362180604904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1.1451797819395093</v>
      </c>
      <c r="O17" s="315">
        <f>1/(1+'[93]Asumsi I'!$C$3)^(KKF!A17)</f>
        <v>0.32197323659069599</v>
      </c>
      <c r="P17" s="316">
        <f t="shared" ca="1" si="7"/>
        <v>0.36871724086929125</v>
      </c>
      <c r="Q17" s="316">
        <f t="shared" ca="1" si="9"/>
        <v>-13.810075626297852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0.62986192032800015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6.4828362180604904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1.1451797819395093</v>
      </c>
      <c r="O18" s="315">
        <f>1/(1+'[93]Asumsi I'!$C$3)^(KKF!A18)</f>
        <v>0.28747610409883567</v>
      </c>
      <c r="P18" s="316">
        <f t="shared" ca="1" si="7"/>
        <v>0.32921182220472434</v>
      </c>
      <c r="Q18" s="316">
        <f t="shared" ca="1" si="9"/>
        <v>-13.480863804093127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0.62986192032800015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6.4828362180604904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1.1451797819395093</v>
      </c>
      <c r="O19" s="315">
        <f>1/(1+'[93]Asumsi I'!$C$3)^(KKF!A19)</f>
        <v>0.25667509294538904</v>
      </c>
      <c r="P19" s="316">
        <f t="shared" ca="1" si="7"/>
        <v>0.29393912696850388</v>
      </c>
      <c r="Q19" s="316">
        <f t="shared" ca="1" si="9"/>
        <v>-13.186924677124624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0.62986192032800015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6.4828362180604904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1.1451797819395093</v>
      </c>
      <c r="O20" s="315">
        <f>1/(1+'[93]Asumsi I'!$C$3)^(KKF!A20)</f>
        <v>0.22917419012981158</v>
      </c>
      <c r="P20" s="316">
        <f t="shared" ca="1" si="7"/>
        <v>0.26244564907902129</v>
      </c>
      <c r="Q20" s="316">
        <f t="shared" ca="1" si="9"/>
        <v>-12.924479028045603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0.62986192032800015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6.4828362180604904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1.1451797819395093</v>
      </c>
      <c r="O21" s="315">
        <f>1/(1+'[93]Asumsi I'!$C$3)^(KKF!A21)</f>
        <v>0.20461981261590317</v>
      </c>
      <c r="P21" s="316">
        <f t="shared" ca="1" si="7"/>
        <v>0.23432647239198326</v>
      </c>
      <c r="Q21" s="316">
        <f t="shared" ca="1" si="9"/>
        <v>-12.69015255565362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0.62986192032800015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6.4828362180604904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1.1451797819395093</v>
      </c>
      <c r="O22" s="315">
        <f>1/(1+'[93]Asumsi I'!$C$3)^(KKF!A22)</f>
        <v>0.18269626126419927</v>
      </c>
      <c r="P22" s="316">
        <f t="shared" ca="1" si="7"/>
        <v>0.20922006463569934</v>
      </c>
      <c r="Q22" s="316">
        <f t="shared" ca="1" si="9"/>
        <v>-12.480932491017921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0.62986192032800015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6.4828362180604904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1.1451797819395093</v>
      </c>
      <c r="O23" s="315">
        <f>1/(1+'[93]Asumsi I'!$C$3)^(KKF!A23)</f>
        <v>0.16312166184303503</v>
      </c>
      <c r="P23" s="316">
        <f t="shared" ca="1" si="7"/>
        <v>0.18680362913901724</v>
      </c>
      <c r="Q23" s="316">
        <f t="shared" ca="1" si="9"/>
        <v>-12.294128861878903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0.62986192032800015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6.4828362180604904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1.1451797819395093</v>
      </c>
      <c r="O24" s="315">
        <f>1/(1+'[93]Asumsi I'!$C$3)^(KKF!A24)</f>
        <v>0.14564434093128129</v>
      </c>
      <c r="P24" s="316">
        <f t="shared" ca="1" si="7"/>
        <v>0.16678895458840826</v>
      </c>
      <c r="Q24" s="316">
        <f t="shared" ca="1" si="9"/>
        <v>-12.127339907290494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0.62986192032800015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6.4828362180604904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1.1451797819395093</v>
      </c>
      <c r="O25" s="315">
        <f>1/(1+'[93]Asumsi I'!$C$3)^(KKF!A25)</f>
        <v>0.13003959011721541</v>
      </c>
      <c r="P25" s="316">
        <f t="shared" ca="1" si="7"/>
        <v>0.14891870945393593</v>
      </c>
      <c r="Q25" s="316">
        <f t="shared" ca="1" si="9"/>
        <v>-11.978421197836559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0.62986192032800015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6.4828362180604904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1.1451797819395093</v>
      </c>
      <c r="O26" s="315">
        <f>1/(1+'[93]Asumsi I'!$C$3)^(KKF!A26)</f>
        <v>0.1161067768903709</v>
      </c>
      <c r="P26" s="316">
        <f t="shared" ca="1" si="7"/>
        <v>0.13296313344101421</v>
      </c>
      <c r="Q26" s="316">
        <f t="shared" ca="1" si="9"/>
        <v>-11.845458064395544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0.62986192032800015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6.4828362180604904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1.1451797819395093</v>
      </c>
      <c r="O27" s="315">
        <f>1/(1+'[93]Asumsi I'!$C$3)^(KKF!A27)</f>
        <v>0.1036667650806883</v>
      </c>
      <c r="P27" s="316">
        <f t="shared" ca="1" si="7"/>
        <v>0.11871708342947697</v>
      </c>
      <c r="Q27" s="316">
        <f t="shared" ca="1" si="9"/>
        <v>-11.726740980966067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0.62986192032800015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6.4828362180604904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1.1451797819395093</v>
      </c>
      <c r="O28" s="315">
        <f>1/(1+'[93]Asumsi I'!$C$3)^(KKF!A28)</f>
        <v>9.2559611679185971E-2</v>
      </c>
      <c r="P28" s="316">
        <f t="shared" ca="1" si="7"/>
        <v>0.10599739591917585</v>
      </c>
      <c r="Q28" s="316">
        <f t="shared" ca="1" si="9"/>
        <v>-11.620743585046892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0.62986192032800015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6.4828362180604904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1.1451797819395093</v>
      </c>
      <c r="O29" s="315">
        <f>1/(1+'[93]Asumsi I'!$C$3)^(KKF!A29)</f>
        <v>8.2642510427844609E-2</v>
      </c>
      <c r="P29" s="316">
        <f t="shared" ca="1" si="7"/>
        <v>9.4640532070692715E-2</v>
      </c>
      <c r="Q29" s="316">
        <f t="shared" ca="1" si="9"/>
        <v>-11.526103052976199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0.62986192032800015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6.4828362180604904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1.1451797819395093</v>
      </c>
      <c r="O30" s="315">
        <f>1/(1+'[93]Asumsi I'!$C$3)^(KKF!A30)</f>
        <v>7.3787955739146982E-2</v>
      </c>
      <c r="P30" s="316">
        <f t="shared" ca="1" si="7"/>
        <v>8.4500475063118502E-2</v>
      </c>
      <c r="Q30" s="316">
        <f t="shared" ca="1" si="9"/>
        <v>-11.441602577913081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0.62986192032800015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6.4828362180604904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1.1451797819395093</v>
      </c>
      <c r="O31" s="315">
        <f>1/(1+'[93]Asumsi I'!$C$3)^(KKF!A31)</f>
        <v>6.5882103338524081E-2</v>
      </c>
      <c r="P31" s="316">
        <f t="shared" ca="1" si="7"/>
        <v>7.5446852734927225E-2</v>
      </c>
      <c r="Q31" s="316">
        <f ca="1">Q30+P31</f>
        <v>-11.366155725178153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0.62986192032800015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6.4828362180604904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1.1451797819395093</v>
      </c>
      <c r="O32" s="315">
        <f>1/(1+'[93]Asumsi I'!$C$3)^(KKF!A32)</f>
        <v>5.8823306552253637E-2</v>
      </c>
      <c r="P32" s="316">
        <f t="shared" ca="1" si="7"/>
        <v>6.7363261370470731E-2</v>
      </c>
      <c r="Q32" s="316">
        <f ca="1">Q31+P32</f>
        <v>-11.298792463807683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5" t="s">
        <v>1374</v>
      </c>
      <c r="G33" s="615"/>
      <c r="H33" s="615"/>
      <c r="I33" s="324"/>
      <c r="J33" s="325">
        <f ca="1">SUM(J7:J32)</f>
        <v>198.09584625339528</v>
      </c>
      <c r="K33" s="615" t="s">
        <v>1375</v>
      </c>
      <c r="L33" s="615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31.45789104036584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1.042145748659087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-10.088207556971145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2.8491299861207464E-2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1"/>
  <sheetViews>
    <sheetView showGridLines="0" tabSelected="1" zoomScale="70" zoomScaleNormal="70" zoomScaleSheetLayoutView="70" workbookViewId="0">
      <pane ySplit="13" topLeftCell="A68" activePane="bottomLeft" state="frozen"/>
      <selection activeCell="H1093" sqref="H1093"/>
      <selection pane="bottomLeft" activeCell="P90" sqref="P90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8" t="s">
        <v>1036</v>
      </c>
      <c r="P3" s="638"/>
      <c r="Q3" s="346"/>
      <c r="T3" s="344"/>
      <c r="U3" s="345" t="s">
        <v>1041</v>
      </c>
      <c r="V3" s="344"/>
    </row>
    <row r="4" spans="1:22" ht="15.75" customHeight="1">
      <c r="B4" s="639" t="s">
        <v>1023</v>
      </c>
      <c r="C4" s="639"/>
      <c r="D4" s="639"/>
      <c r="E4" s="639"/>
      <c r="F4" s="639"/>
      <c r="G4" s="639"/>
      <c r="H4" s="639"/>
      <c r="I4" s="639"/>
      <c r="J4" s="639"/>
      <c r="K4" s="639"/>
      <c r="O4" s="638"/>
      <c r="P4" s="63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2" t="str">
        <f>DATA!D14</f>
        <v xml:space="preserve">PT YAXING CONSTRUKSION </v>
      </c>
      <c r="H6" s="622"/>
      <c r="I6" s="622"/>
      <c r="J6" s="622"/>
      <c r="K6" s="62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1" t="s">
        <v>0</v>
      </c>
      <c r="C11" s="643" t="s">
        <v>1</v>
      </c>
      <c r="D11" s="632" t="s">
        <v>42</v>
      </c>
      <c r="E11" s="632" t="s">
        <v>43</v>
      </c>
      <c r="F11" s="632" t="s">
        <v>2</v>
      </c>
      <c r="G11" s="646" t="s">
        <v>41</v>
      </c>
      <c r="H11" s="632" t="s">
        <v>3</v>
      </c>
      <c r="I11" s="632"/>
      <c r="J11" s="632"/>
      <c r="K11" s="633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2"/>
      <c r="C12" s="644"/>
      <c r="D12" s="636"/>
      <c r="E12" s="636"/>
      <c r="F12" s="636"/>
      <c r="G12" s="647"/>
      <c r="H12" s="634" t="s">
        <v>46</v>
      </c>
      <c r="I12" s="634" t="s">
        <v>5</v>
      </c>
      <c r="J12" s="636" t="s">
        <v>47</v>
      </c>
      <c r="K12" s="637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2"/>
      <c r="C13" s="645"/>
      <c r="D13" s="636"/>
      <c r="E13" s="636"/>
      <c r="F13" s="636"/>
      <c r="G13" s="648"/>
      <c r="H13" s="635"/>
      <c r="I13" s="635"/>
      <c r="J13" s="636"/>
      <c r="K13" s="637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3382600</v>
      </c>
      <c r="J17" s="361">
        <f t="shared" ref="J17" ca="1" si="10">IF(D17="JASA",G17*F17,0)</f>
        <v>0</v>
      </c>
      <c r="K17" s="362">
        <f t="shared" ref="K17" ca="1" si="11">SUM(H17:J17)</f>
        <v>3382600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10066.666666666668</v>
      </c>
      <c r="K18" s="362">
        <f t="shared" ref="K18" ca="1" si="15">SUM(H18:J18)</f>
        <v>10066.666666666668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6">IF(OR(D19="MDU",D19="MDU-KD"),(IF($O$3="RAB NON MDU","PLN KD",G19*F19)),0)</f>
        <v>0</v>
      </c>
      <c r="I19" s="361">
        <f t="shared" ref="I19:I21" ca="1" si="17">IF(D19="HDW",G19*F19,0)</f>
        <v>200000</v>
      </c>
      <c r="J19" s="361">
        <f t="shared" ref="J19:J21" ca="1" si="18">IF(D19="JASA",G19*F19,0)</f>
        <v>0</v>
      </c>
      <c r="K19" s="362">
        <f t="shared" ref="K19:K21" ca="1" si="19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1613</v>
      </c>
      <c r="C21" s="367" t="s">
        <v>1619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20">IF(OR(D22="MDU",D22="MDU-KD"),(IF($O$3="RAB NON MDU","PLN KD",G22*F22)),0)</f>
        <v>0</v>
      </c>
      <c r="I22" s="361">
        <f t="shared" ref="I22:I36" ca="1" si="21">IF(D22="HDW",G22*F22,0)</f>
        <v>0</v>
      </c>
      <c r="J22" s="361">
        <f t="shared" ref="J22:J36" ca="1" si="22">IF(D22="JASA",G22*F22,0)</f>
        <v>0</v>
      </c>
      <c r="K22" s="362">
        <f t="shared" ref="K22:K36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20" t="s">
        <v>1035</v>
      </c>
      <c r="C23" s="521" t="s">
        <v>1631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1">
        <v>5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0">
        <v>1</v>
      </c>
      <c r="C24" s="521" t="s">
        <v>229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F23*1</f>
        <v>5</v>
      </c>
      <c r="G24" s="360">
        <f ca="1">IF(ISERROR(OFFSET('HARGA SATUAN'!$I$6,MATCH(RAB!C24,'HARGA SATUAN'!$C$7:$C$1492,0),0)),0,OFFSET('HARGA SATUAN'!$I$6,MATCH(RAB!C24,'HARGA SATUAN'!$C$7:$C$1492,0),0))</f>
        <v>4212</v>
      </c>
      <c r="H24" s="361">
        <f t="shared" ca="1" si="20"/>
        <v>0</v>
      </c>
      <c r="I24" s="361">
        <f t="shared" ca="1" si="21"/>
        <v>21060</v>
      </c>
      <c r="J24" s="361">
        <f t="shared" ca="1" si="22"/>
        <v>0</v>
      </c>
      <c r="K24" s="362">
        <f t="shared" ca="1" si="23"/>
        <v>21060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0">
        <v>2</v>
      </c>
      <c r="C25" s="521" t="s">
        <v>266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f>F23*1</f>
        <v>5</v>
      </c>
      <c r="G25" s="360">
        <f ca="1">IF(ISERROR(OFFSET('HARGA SATUAN'!$I$6,MATCH(RAB!C25,'HARGA SATUAN'!$C$7:$C$1492,0),0)),0,OFFSET('HARGA SATUAN'!$I$6,MATCH(RAB!C25,'HARGA SATUAN'!$C$7:$C$1492,0),0))</f>
        <v>23310</v>
      </c>
      <c r="H25" s="361">
        <f t="shared" ca="1" si="20"/>
        <v>0</v>
      </c>
      <c r="I25" s="361">
        <f t="shared" ca="1" si="21"/>
        <v>116550</v>
      </c>
      <c r="J25" s="361">
        <f t="shared" ca="1" si="22"/>
        <v>0</v>
      </c>
      <c r="K25" s="362">
        <f t="shared" ca="1" si="23"/>
        <v>116550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0">
        <v>3</v>
      </c>
      <c r="C26" s="521" t="s">
        <v>35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F23*1</f>
        <v>5</v>
      </c>
      <c r="G26" s="360">
        <f ca="1">IF(ISERROR(OFFSET('HARGA SATUAN'!$I$6,MATCH(RAB!C26,'HARGA SATUAN'!$C$7:$C$1492,0),0)),0,OFFSET('HARGA SATUAN'!$I$6,MATCH(RAB!C26,'HARGA SATUAN'!$C$7:$C$1492,0),0))</f>
        <v>2300</v>
      </c>
      <c r="H26" s="361">
        <f t="shared" ca="1" si="20"/>
        <v>0</v>
      </c>
      <c r="I26" s="361">
        <f t="shared" ca="1" si="21"/>
        <v>11500</v>
      </c>
      <c r="J26" s="361">
        <f t="shared" ca="1" si="22"/>
        <v>0</v>
      </c>
      <c r="K26" s="362">
        <f t="shared" ca="1" si="23"/>
        <v>11500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0">
        <v>4</v>
      </c>
      <c r="C27" s="521" t="s">
        <v>609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F23*1</f>
        <v>5</v>
      </c>
      <c r="G27" s="360">
        <f ca="1">IF(ISERROR(OFFSET('HARGA SATUAN'!$I$6,MATCH(RAB!C27,'HARGA SATUAN'!$C$7:$C$1492,0),0)),0,OFFSET('HARGA SATUAN'!$I$6,MATCH(RAB!C27,'HARGA SATUAN'!$C$7:$C$1492,0),0))</f>
        <v>71000</v>
      </c>
      <c r="H27" s="361">
        <f t="shared" ca="1" si="20"/>
        <v>0</v>
      </c>
      <c r="I27" s="361">
        <f t="shared" ca="1" si="21"/>
        <v>355000</v>
      </c>
      <c r="J27" s="361">
        <f t="shared" ca="1" si="22"/>
        <v>0</v>
      </c>
      <c r="K27" s="362">
        <f t="shared" ca="1" si="23"/>
        <v>355000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20">
        <v>5</v>
      </c>
      <c r="C28" s="521" t="s">
        <v>629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F23*1</f>
        <v>5</v>
      </c>
      <c r="G28" s="360">
        <f ca="1">IF(ISERROR(OFFSET('HARGA SATUAN'!$I$6,MATCH(RAB!C28,'HARGA SATUAN'!$C$7:$C$1492,0),0)),0,OFFSET('HARGA SATUAN'!$I$6,MATCH(RAB!C28,'HARGA SATUAN'!$C$7:$C$1492,0),0))</f>
        <v>29400</v>
      </c>
      <c r="H28" s="361">
        <f t="shared" ca="1" si="20"/>
        <v>0</v>
      </c>
      <c r="I28" s="361">
        <f t="shared" ca="1" si="21"/>
        <v>0</v>
      </c>
      <c r="J28" s="361">
        <f t="shared" ca="1" si="22"/>
        <v>147000</v>
      </c>
      <c r="K28" s="362">
        <f t="shared" ca="1" si="23"/>
        <v>147000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20"/>
      <c r="C29" s="521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20" t="s">
        <v>1035</v>
      </c>
      <c r="C30" s="521" t="s">
        <v>1620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1">
        <v>4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0"/>
        <v>0</v>
      </c>
      <c r="I30" s="361">
        <f t="shared" ca="1" si="21"/>
        <v>0</v>
      </c>
      <c r="J30" s="361">
        <f t="shared" ca="1" si="22"/>
        <v>0</v>
      </c>
      <c r="K30" s="362">
        <f t="shared" ca="1" si="23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20">
        <v>1</v>
      </c>
      <c r="C31" s="521" t="s">
        <v>595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F30*1</f>
        <v>4</v>
      </c>
      <c r="G31" s="360">
        <f ca="1">IF(ISERROR(OFFSET('HARGA SATUAN'!$I$6,MATCH(RAB!C31,'HARGA SATUAN'!$C$7:$C$1492,0),0)),0,OFFSET('HARGA SATUAN'!$I$6,MATCH(RAB!C31,'HARGA SATUAN'!$C$7:$C$1492,0),0))</f>
        <v>78500</v>
      </c>
      <c r="H31" s="361">
        <f t="shared" ca="1" si="20"/>
        <v>0</v>
      </c>
      <c r="I31" s="361">
        <f t="shared" ca="1" si="21"/>
        <v>314000</v>
      </c>
      <c r="J31" s="361">
        <f t="shared" ca="1" si="22"/>
        <v>0</v>
      </c>
      <c r="K31" s="362">
        <f t="shared" ca="1" si="23"/>
        <v>314000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20">
        <v>2</v>
      </c>
      <c r="C32" s="521" t="s">
        <v>229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F30*1</f>
        <v>4</v>
      </c>
      <c r="G32" s="360">
        <f ca="1">IF(ISERROR(OFFSET('HARGA SATUAN'!$I$6,MATCH(RAB!C32,'HARGA SATUAN'!$C$7:$C$1492,0),0)),0,OFFSET('HARGA SATUAN'!$I$6,MATCH(RAB!C32,'HARGA SATUAN'!$C$7:$C$1492,0),0))</f>
        <v>4212</v>
      </c>
      <c r="H32" s="361">
        <f t="shared" ca="1" si="20"/>
        <v>0</v>
      </c>
      <c r="I32" s="361">
        <f t="shared" ca="1" si="21"/>
        <v>16848</v>
      </c>
      <c r="J32" s="361">
        <f t="shared" ca="1" si="22"/>
        <v>0</v>
      </c>
      <c r="K32" s="362">
        <f t="shared" ca="1" si="23"/>
        <v>16848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20">
        <v>3</v>
      </c>
      <c r="C33" s="521" t="s">
        <v>266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Mtr</v>
      </c>
      <c r="F33" s="501">
        <f>F30*1</f>
        <v>4</v>
      </c>
      <c r="G33" s="360">
        <f ca="1">IF(ISERROR(OFFSET('HARGA SATUAN'!$I$6,MATCH(RAB!C33,'HARGA SATUAN'!$C$7:$C$1492,0),0)),0,OFFSET('HARGA SATUAN'!$I$6,MATCH(RAB!C33,'HARGA SATUAN'!$C$7:$C$1492,0),0))</f>
        <v>23310</v>
      </c>
      <c r="H33" s="361">
        <f t="shared" ca="1" si="20"/>
        <v>0</v>
      </c>
      <c r="I33" s="361">
        <f t="shared" ca="1" si="21"/>
        <v>93240</v>
      </c>
      <c r="J33" s="361">
        <f t="shared" ca="1" si="22"/>
        <v>0</v>
      </c>
      <c r="K33" s="362">
        <f t="shared" ca="1" si="23"/>
        <v>93240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20">
        <v>4</v>
      </c>
      <c r="C34" s="521" t="s">
        <v>35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F30*1</f>
        <v>4</v>
      </c>
      <c r="G34" s="360">
        <f ca="1">IF(ISERROR(OFFSET('HARGA SATUAN'!$I$6,MATCH(RAB!C34,'HARGA SATUAN'!$C$7:$C$1492,0),0)),0,OFFSET('HARGA SATUAN'!$I$6,MATCH(RAB!C34,'HARGA SATUAN'!$C$7:$C$1492,0),0))</f>
        <v>2300</v>
      </c>
      <c r="H34" s="361">
        <f t="shared" ca="1" si="20"/>
        <v>0</v>
      </c>
      <c r="I34" s="361">
        <f t="shared" ca="1" si="21"/>
        <v>9200</v>
      </c>
      <c r="J34" s="361">
        <f t="shared" ca="1" si="22"/>
        <v>0</v>
      </c>
      <c r="K34" s="362">
        <f t="shared" ca="1" si="23"/>
        <v>9200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20">
        <v>5</v>
      </c>
      <c r="C35" s="521" t="s">
        <v>630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f>F30*1</f>
        <v>4</v>
      </c>
      <c r="G35" s="360">
        <f ca="1">IF(ISERROR(OFFSET('HARGA SATUAN'!$I$6,MATCH(RAB!C35,'HARGA SATUAN'!$C$7:$C$1492,0),0)),0,OFFSET('HARGA SATUAN'!$I$6,MATCH(RAB!C35,'HARGA SATUAN'!$C$7:$C$1492,0),0))</f>
        <v>35700</v>
      </c>
      <c r="H35" s="361">
        <f t="shared" ca="1" si="20"/>
        <v>0</v>
      </c>
      <c r="I35" s="361">
        <f t="shared" ca="1" si="21"/>
        <v>0</v>
      </c>
      <c r="J35" s="361">
        <f t="shared" ca="1" si="22"/>
        <v>142800</v>
      </c>
      <c r="K35" s="362">
        <f t="shared" ca="1" si="23"/>
        <v>142800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20"/>
      <c r="C36" s="521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1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0"/>
        <v>0</v>
      </c>
      <c r="I36" s="361">
        <f t="shared" ca="1" si="21"/>
        <v>0</v>
      </c>
      <c r="J36" s="361">
        <f t="shared" ca="1" si="22"/>
        <v>0</v>
      </c>
      <c r="K36" s="362">
        <f t="shared" ca="1" si="23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6" t="s">
        <v>1035</v>
      </c>
      <c r="C37" s="517" t="s">
        <v>1621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1">
        <v>1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39" ca="1" si="24">IF(OR(D37="MDU",D37="MDU-KD"),(IF($O$3="RAB NON MDU","PLN KD",G37*F37)),0)</f>
        <v>0</v>
      </c>
      <c r="I37" s="361">
        <f t="shared" ref="I37:I39" ca="1" si="25">IF(D37="HDW",G37*F37,0)</f>
        <v>0</v>
      </c>
      <c r="J37" s="361">
        <f t="shared" ref="J37:J39" ca="1" si="26">IF(D37="JASA",G37*F37,0)</f>
        <v>0</v>
      </c>
      <c r="K37" s="362">
        <f t="shared" ref="K37:K39" ca="1" si="27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6">
        <v>1</v>
      </c>
      <c r="C38" s="517" t="s">
        <v>598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F37*1</f>
        <v>1</v>
      </c>
      <c r="G38" s="360">
        <f ca="1">IF(ISERROR(OFFSET('HARGA SATUAN'!$I$6,MATCH(RAB!C38,'HARGA SATUAN'!$C$7:$C$1492,0),0)),0,OFFSET('HARGA SATUAN'!$I$6,MATCH(RAB!C38,'HARGA SATUAN'!$C$7:$C$1492,0),0))</f>
        <v>3965</v>
      </c>
      <c r="H38" s="361">
        <f t="shared" ca="1" si="24"/>
        <v>0</v>
      </c>
      <c r="I38" s="361">
        <f t="shared" ca="1" si="25"/>
        <v>3965</v>
      </c>
      <c r="J38" s="361">
        <f t="shared" ca="1" si="26"/>
        <v>0</v>
      </c>
      <c r="K38" s="362">
        <f t="shared" ca="1" si="27"/>
        <v>3965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6">
        <v>2</v>
      </c>
      <c r="C39" s="517" t="s">
        <v>474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F37*1</f>
        <v>1</v>
      </c>
      <c r="G39" s="360">
        <f ca="1">IF(ISERROR(OFFSET('HARGA SATUAN'!$I$6,MATCH(RAB!C39,'HARGA SATUAN'!$C$7:$C$1492,0),0)),0,OFFSET('HARGA SATUAN'!$I$6,MATCH(RAB!C39,'HARGA SATUAN'!$C$7:$C$1492,0),0))</f>
        <v>3711.24</v>
      </c>
      <c r="H39" s="361">
        <f t="shared" ca="1" si="24"/>
        <v>0</v>
      </c>
      <c r="I39" s="361">
        <f t="shared" ca="1" si="25"/>
        <v>3711.24</v>
      </c>
      <c r="J39" s="361">
        <f t="shared" ca="1" si="26"/>
        <v>0</v>
      </c>
      <c r="K39" s="362">
        <f t="shared" ca="1" si="27"/>
        <v>3711.24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6">
        <v>3</v>
      </c>
      <c r="C40" s="517" t="s">
        <v>266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01">
        <f>F37*1</f>
        <v>1</v>
      </c>
      <c r="G40" s="360">
        <f ca="1">IF(ISERROR(OFFSET('HARGA SATUAN'!$I$6,MATCH(RAB!C40,'HARGA SATUAN'!$C$7:$C$1492,0),0)),0,OFFSET('HARGA SATUAN'!$I$6,MATCH(RAB!C40,'HARGA SATUAN'!$C$7:$C$1492,0),0))</f>
        <v>23310</v>
      </c>
      <c r="H40" s="361">
        <f t="shared" ref="H40:H44" ca="1" si="28">IF(OR(D40="MDU",D40="MDU-KD"),(IF($O$3="RAB NON MDU","PLN KD",G40*F40)),0)</f>
        <v>0</v>
      </c>
      <c r="I40" s="361">
        <f t="shared" ref="I40:I44" ca="1" si="29">IF(D40="HDW",G40*F40,0)</f>
        <v>23310</v>
      </c>
      <c r="J40" s="361">
        <f t="shared" ref="J40:J44" ca="1" si="30">IF(D40="JASA",G40*F40,0)</f>
        <v>0</v>
      </c>
      <c r="K40" s="362">
        <f t="shared" ref="K40:K44" ca="1" si="31">SUM(H40:J40)</f>
        <v>23310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6">
        <v>4</v>
      </c>
      <c r="C41" s="517" t="s">
        <v>35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F37*1</f>
        <v>1</v>
      </c>
      <c r="G41" s="360">
        <f ca="1">IF(ISERROR(OFFSET('HARGA SATUAN'!$I$6,MATCH(RAB!C41,'HARGA SATUAN'!$C$7:$C$1492,0),0)),0,OFFSET('HARGA SATUAN'!$I$6,MATCH(RAB!C41,'HARGA SATUAN'!$C$7:$C$1492,0),0))</f>
        <v>2300</v>
      </c>
      <c r="H41" s="361">
        <f t="shared" ca="1" si="28"/>
        <v>0</v>
      </c>
      <c r="I41" s="361">
        <f t="shared" ca="1" si="29"/>
        <v>2300</v>
      </c>
      <c r="J41" s="361">
        <f t="shared" ca="1" si="30"/>
        <v>0</v>
      </c>
      <c r="K41" s="362">
        <f t="shared" ca="1" si="31"/>
        <v>2300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516">
        <v>5</v>
      </c>
      <c r="C42" s="517" t="s">
        <v>632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f>F37*1</f>
        <v>1</v>
      </c>
      <c r="G42" s="360">
        <f ca="1">IF(ISERROR(OFFSET('HARGA SATUAN'!$I$6,MATCH(RAB!C42,'HARGA SATUAN'!$C$7:$C$1492,0),0)),0,OFFSET('HARGA SATUAN'!$I$6,MATCH(RAB!C42,'HARGA SATUAN'!$C$7:$C$1492,0),0))</f>
        <v>22700</v>
      </c>
      <c r="H42" s="361">
        <f t="shared" ca="1" si="28"/>
        <v>0</v>
      </c>
      <c r="I42" s="361">
        <f t="shared" ca="1" si="29"/>
        <v>0</v>
      </c>
      <c r="J42" s="361">
        <f t="shared" ca="1" si="30"/>
        <v>22700</v>
      </c>
      <c r="K42" s="362">
        <f t="shared" ca="1" si="31"/>
        <v>22700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498"/>
      <c r="C43" s="499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8"/>
        <v>0</v>
      </c>
      <c r="I43" s="361">
        <f t="shared" ca="1" si="29"/>
        <v>0</v>
      </c>
      <c r="J43" s="361">
        <f t="shared" ca="1" si="30"/>
        <v>0</v>
      </c>
      <c r="K43" s="362">
        <f t="shared" ca="1" si="31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498"/>
      <c r="C44" s="515" t="s">
        <v>1626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501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8"/>
        <v>0</v>
      </c>
      <c r="I44" s="361">
        <f t="shared" ca="1" si="29"/>
        <v>0</v>
      </c>
      <c r="J44" s="361">
        <f t="shared" ca="1" si="30"/>
        <v>0</v>
      </c>
      <c r="K44" s="362">
        <f t="shared" ca="1" si="31"/>
        <v>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498">
        <v>1</v>
      </c>
      <c r="C45" s="109" t="s">
        <v>1402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1">
        <v>380</v>
      </c>
      <c r="G45" s="360">
        <f ca="1">IF(ISERROR(OFFSET('HARGA SATUAN'!$I$6,MATCH(RAB!C45,'HARGA SATUAN'!$C$7:$C$1492,0),0)),0,OFFSET('HARGA SATUAN'!$I$6,MATCH(RAB!C45,'HARGA SATUAN'!$C$7:$C$1492,0),0))</f>
        <v>53300</v>
      </c>
      <c r="H45" s="361">
        <f t="shared" ref="H45:H47" ca="1" si="32">IF(OR(D45="MDU",D45="MDU-KD"),(IF($O$3="RAB NON MDU","PLN KD",G45*F45)),0)</f>
        <v>20254000</v>
      </c>
      <c r="I45" s="361">
        <f t="shared" ref="I45:I47" ca="1" si="33">IF(D45="HDW",G45*F45,0)</f>
        <v>0</v>
      </c>
      <c r="J45" s="361">
        <f t="shared" ref="J45:J47" ca="1" si="34">IF(D45="JASA",G45*F45,0)</f>
        <v>0</v>
      </c>
      <c r="K45" s="362">
        <f t="shared" ref="K45:K47" ca="1" si="35">SUM(H45:J45)</f>
        <v>20254000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>
        <v>2</v>
      </c>
      <c r="C46" s="109" t="s">
        <v>347</v>
      </c>
      <c r="D46" s="509" t="s">
        <v>47</v>
      </c>
      <c r="E46" s="510" t="s">
        <v>297</v>
      </c>
      <c r="F46" s="510">
        <f>F45/50</f>
        <v>7.6</v>
      </c>
      <c r="G46" s="511">
        <v>85000</v>
      </c>
      <c r="H46" s="361">
        <f t="shared" si="32"/>
        <v>0</v>
      </c>
      <c r="I46" s="361">
        <f t="shared" si="33"/>
        <v>0</v>
      </c>
      <c r="J46" s="361">
        <f t="shared" si="34"/>
        <v>646000</v>
      </c>
      <c r="K46" s="362">
        <f t="shared" si="35"/>
        <v>646000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8"/>
      <c r="C47" s="499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32"/>
        <v>0</v>
      </c>
      <c r="I47" s="361">
        <f t="shared" ca="1" si="33"/>
        <v>0</v>
      </c>
      <c r="J47" s="361">
        <f t="shared" ca="1" si="34"/>
        <v>0</v>
      </c>
      <c r="K47" s="362">
        <f t="shared" ca="1" si="35"/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498"/>
      <c r="C48" s="515" t="s">
        <v>1625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:H70" ca="1" si="36">IF(OR(D48="MDU",D48="MDU-KD"),(IF($O$3="RAB NON MDU","PLN KD",G48*F48)),0)</f>
        <v>0</v>
      </c>
      <c r="I48" s="361">
        <f t="shared" ref="I48:I70" ca="1" si="37">IF(D48="HDW",G48*F48,0)</f>
        <v>0</v>
      </c>
      <c r="J48" s="361">
        <f t="shared" ref="J48:J70" ca="1" si="38">IF(D48="JASA",G48*F48,0)</f>
        <v>0</v>
      </c>
      <c r="K48" s="362">
        <f t="shared" ref="K48:K70" ca="1" si="39">SUM(H48:J48)</f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07" t="s">
        <v>1035</v>
      </c>
      <c r="C49" s="508" t="s">
        <v>1622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1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36"/>
        <v>0</v>
      </c>
      <c r="I49" s="361">
        <f t="shared" ca="1" si="37"/>
        <v>0</v>
      </c>
      <c r="J49" s="361">
        <f t="shared" ca="1" si="38"/>
        <v>0</v>
      </c>
      <c r="K49" s="362">
        <f t="shared" ca="1" si="39"/>
        <v>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07">
        <v>1</v>
      </c>
      <c r="C50" s="508" t="s">
        <v>28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F49*1</f>
        <v>1</v>
      </c>
      <c r="G50" s="360">
        <f ca="1">IF(ISERROR(OFFSET('HARGA SATUAN'!$I$6,MATCH(RAB!C50,'HARGA SATUAN'!$C$7:$C$1492,0),0)),0,OFFSET('HARGA SATUAN'!$I$6,MATCH(RAB!C50,'HARGA SATUAN'!$C$7:$C$1492,0),0))</f>
        <v>26500</v>
      </c>
      <c r="H50" s="361">
        <f t="shared" ca="1" si="36"/>
        <v>0</v>
      </c>
      <c r="I50" s="361">
        <f t="shared" ca="1" si="37"/>
        <v>26500</v>
      </c>
      <c r="J50" s="361">
        <f t="shared" ca="1" si="38"/>
        <v>0</v>
      </c>
      <c r="K50" s="362">
        <f t="shared" ca="1" si="39"/>
        <v>26500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07">
        <v>2</v>
      </c>
      <c r="C51" s="508" t="s">
        <v>203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F49*1</f>
        <v>1</v>
      </c>
      <c r="G51" s="360">
        <f ca="1">IF(ISERROR(OFFSET('HARGA SATUAN'!$I$6,MATCH(RAB!C51,'HARGA SATUAN'!$C$7:$C$1492,0),0)),0,OFFSET('HARGA SATUAN'!$I$6,MATCH(RAB!C51,'HARGA SATUAN'!$C$7:$C$1492,0),0))</f>
        <v>12500</v>
      </c>
      <c r="H51" s="361">
        <f t="shared" ca="1" si="36"/>
        <v>0</v>
      </c>
      <c r="I51" s="361">
        <f t="shared" ca="1" si="37"/>
        <v>12500</v>
      </c>
      <c r="J51" s="361">
        <f t="shared" ca="1" si="38"/>
        <v>0</v>
      </c>
      <c r="K51" s="362">
        <f t="shared" ca="1" si="39"/>
        <v>12500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07">
        <v>3</v>
      </c>
      <c r="C52" s="508" t="s">
        <v>206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501">
        <f>F49*12</f>
        <v>12</v>
      </c>
      <c r="G52" s="360">
        <f ca="1">IF(ISERROR(OFFSET('HARGA SATUAN'!$I$6,MATCH(RAB!C52,'HARGA SATUAN'!$C$7:$C$1492,0),0)),0,OFFSET('HARGA SATUAN'!$I$6,MATCH(RAB!C52,'HARGA SATUAN'!$C$7:$C$1492,0),0))</f>
        <v>39204</v>
      </c>
      <c r="H52" s="361">
        <f t="shared" ca="1" si="36"/>
        <v>0</v>
      </c>
      <c r="I52" s="361">
        <f t="shared" ca="1" si="37"/>
        <v>470448</v>
      </c>
      <c r="J52" s="361">
        <f t="shared" ca="1" si="38"/>
        <v>0</v>
      </c>
      <c r="K52" s="362">
        <f t="shared" ca="1" si="39"/>
        <v>470448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07">
        <v>4</v>
      </c>
      <c r="C53" s="508" t="s">
        <v>287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F49*2</f>
        <v>2</v>
      </c>
      <c r="G53" s="360">
        <f ca="1">IF(ISERROR(OFFSET('HARGA SATUAN'!$I$6,MATCH(RAB!C53,'HARGA SATUAN'!$C$7:$C$1492,0),0)),0,OFFSET('HARGA SATUAN'!$I$6,MATCH(RAB!C53,'HARGA SATUAN'!$C$7:$C$1492,0),0))</f>
        <v>40000</v>
      </c>
      <c r="H53" s="361">
        <f t="shared" ca="1" si="36"/>
        <v>0</v>
      </c>
      <c r="I53" s="361">
        <f t="shared" ca="1" si="37"/>
        <v>80000</v>
      </c>
      <c r="J53" s="361">
        <f t="shared" ca="1" si="38"/>
        <v>0</v>
      </c>
      <c r="K53" s="362">
        <f t="shared" ca="1" si="39"/>
        <v>80000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07">
        <v>5</v>
      </c>
      <c r="C54" s="508" t="s">
        <v>26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F49*1</f>
        <v>1</v>
      </c>
      <c r="G54" s="360">
        <f ca="1">IF(ISERROR(OFFSET('HARGA SATUAN'!$I$6,MATCH(RAB!C54,'HARGA SATUAN'!$C$7:$C$1492,0),0)),0,OFFSET('HARGA SATUAN'!$I$6,MATCH(RAB!C54,'HARGA SATUAN'!$C$7:$C$1492,0),0))</f>
        <v>2500</v>
      </c>
      <c r="H54" s="361">
        <f t="shared" ca="1" si="36"/>
        <v>0</v>
      </c>
      <c r="I54" s="361">
        <f t="shared" ca="1" si="37"/>
        <v>2500</v>
      </c>
      <c r="J54" s="361">
        <f t="shared" ca="1" si="38"/>
        <v>0</v>
      </c>
      <c r="K54" s="362">
        <f t="shared" ca="1" si="39"/>
        <v>2500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07">
        <v>6</v>
      </c>
      <c r="C55" s="508" t="s">
        <v>760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1">
        <f>F49*1</f>
        <v>1</v>
      </c>
      <c r="G55" s="360">
        <f ca="1">IF(ISERROR(OFFSET('HARGA SATUAN'!$I$6,MATCH(RAB!C55,'HARGA SATUAN'!$C$7:$C$1492,0),0)),0,OFFSET('HARGA SATUAN'!$I$6,MATCH(RAB!C55,'HARGA SATUAN'!$C$7:$C$1492,0),0))</f>
        <v>36600</v>
      </c>
      <c r="H55" s="361">
        <f t="shared" ca="1" si="36"/>
        <v>0</v>
      </c>
      <c r="I55" s="361">
        <f t="shared" ca="1" si="37"/>
        <v>0</v>
      </c>
      <c r="J55" s="361">
        <f t="shared" ca="1" si="38"/>
        <v>36600</v>
      </c>
      <c r="K55" s="362">
        <f t="shared" ca="1" si="39"/>
        <v>36600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498"/>
      <c r="C56" s="499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501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6"/>
        <v>0</v>
      </c>
      <c r="I56" s="361">
        <f t="shared" ca="1" si="37"/>
        <v>0</v>
      </c>
      <c r="J56" s="361">
        <f t="shared" ca="1" si="38"/>
        <v>0</v>
      </c>
      <c r="K56" s="362">
        <f t="shared" ca="1" si="39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07" t="s">
        <v>1035</v>
      </c>
      <c r="C57" s="508" t="s">
        <v>1623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01">
        <v>1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36"/>
        <v>0</v>
      </c>
      <c r="I57" s="361">
        <f t="shared" ca="1" si="37"/>
        <v>0</v>
      </c>
      <c r="J57" s="361">
        <f t="shared" ca="1" si="38"/>
        <v>0</v>
      </c>
      <c r="K57" s="362">
        <f t="shared" ca="1" si="39"/>
        <v>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2">
        <v>1</v>
      </c>
      <c r="C58" s="513" t="s">
        <v>597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F57*1</f>
        <v>1</v>
      </c>
      <c r="G58" s="360">
        <f ca="1">IF(ISERROR(OFFSET('HARGA SATUAN'!$I$6,MATCH(RAB!C58,'HARGA SATUAN'!$C$7:$C$1492,0),0)),0,OFFSET('HARGA SATUAN'!$I$6,MATCH(RAB!C58,'HARGA SATUAN'!$C$7:$C$1492,0),0))</f>
        <v>120900</v>
      </c>
      <c r="H58" s="361">
        <f t="shared" ca="1" si="36"/>
        <v>0</v>
      </c>
      <c r="I58" s="361">
        <f t="shared" ca="1" si="37"/>
        <v>120900</v>
      </c>
      <c r="J58" s="361">
        <f t="shared" ca="1" si="38"/>
        <v>0</v>
      </c>
      <c r="K58" s="362">
        <f t="shared" ca="1" si="39"/>
        <v>120900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2">
        <v>2</v>
      </c>
      <c r="C59" s="503" t="s">
        <v>261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F57*1</f>
        <v>1</v>
      </c>
      <c r="G59" s="360">
        <f ca="1">IF(ISERROR(OFFSET('HARGA SATUAN'!$I$6,MATCH(RAB!C59,'HARGA SATUAN'!$C$7:$C$1492,0),0)),0,OFFSET('HARGA SATUAN'!$I$6,MATCH(RAB!C59,'HARGA SATUAN'!$C$7:$C$1492,0),0))</f>
        <v>135800</v>
      </c>
      <c r="H59" s="361">
        <f t="shared" ca="1" si="36"/>
        <v>0</v>
      </c>
      <c r="I59" s="361">
        <f t="shared" ca="1" si="37"/>
        <v>135800</v>
      </c>
      <c r="J59" s="361">
        <f t="shared" ca="1" si="38"/>
        <v>0</v>
      </c>
      <c r="K59" s="362">
        <f t="shared" ca="1" si="39"/>
        <v>135800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2">
        <v>3</v>
      </c>
      <c r="C60" s="504" t="s">
        <v>214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4">
        <f>F57*1</f>
        <v>1</v>
      </c>
      <c r="G60" s="360">
        <f ca="1">IF(ISERROR(OFFSET('HARGA SATUAN'!$I$6,MATCH(RAB!C60,'HARGA SATUAN'!$C$7:$C$1492,0),0)),0,OFFSET('HARGA SATUAN'!$I$6,MATCH(RAB!C60,'HARGA SATUAN'!$C$7:$C$1492,0),0))</f>
        <v>4500</v>
      </c>
      <c r="H60" s="361">
        <f t="shared" ca="1" si="36"/>
        <v>0</v>
      </c>
      <c r="I60" s="361">
        <f t="shared" ca="1" si="37"/>
        <v>4500</v>
      </c>
      <c r="J60" s="361">
        <f t="shared" ca="1" si="38"/>
        <v>0</v>
      </c>
      <c r="K60" s="362">
        <f t="shared" ca="1" si="39"/>
        <v>4500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07">
        <v>4</v>
      </c>
      <c r="C61" s="508" t="s">
        <v>768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1">
        <f>F57*1</f>
        <v>1</v>
      </c>
      <c r="G61" s="360">
        <f ca="1">IF(ISERROR(OFFSET('HARGA SATUAN'!$I$6,MATCH(RAB!C61,'HARGA SATUAN'!$C$7:$C$1492,0),0)),0,OFFSET('HARGA SATUAN'!$I$6,MATCH(RAB!C61,'HARGA SATUAN'!$C$7:$C$1492,0),0))</f>
        <v>55500</v>
      </c>
      <c r="H61" s="361">
        <f t="shared" ca="1" si="36"/>
        <v>0</v>
      </c>
      <c r="I61" s="361">
        <f t="shared" ca="1" si="37"/>
        <v>0</v>
      </c>
      <c r="J61" s="361">
        <f t="shared" ca="1" si="38"/>
        <v>55500</v>
      </c>
      <c r="K61" s="362">
        <f t="shared" ca="1" si="39"/>
        <v>55500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07"/>
      <c r="C62" s="508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1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07" t="s">
        <v>1035</v>
      </c>
      <c r="C63" s="508" t="s">
        <v>1624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1">
        <v>1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36"/>
        <v>0</v>
      </c>
      <c r="I63" s="361">
        <f t="shared" ca="1" si="37"/>
        <v>0</v>
      </c>
      <c r="J63" s="361">
        <f t="shared" ca="1" si="38"/>
        <v>0</v>
      </c>
      <c r="K63" s="362">
        <f t="shared" ca="1" si="39"/>
        <v>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07">
        <v>1</v>
      </c>
      <c r="C64" s="508" t="s">
        <v>30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1">
        <f>F63*1</f>
        <v>1</v>
      </c>
      <c r="G64" s="360">
        <f ca="1">IF(ISERROR(OFFSET('HARGA SATUAN'!$I$6,MATCH(RAB!C64,'HARGA SATUAN'!$C$7:$C$1492,0),0)),0,OFFSET('HARGA SATUAN'!$I$6,MATCH(RAB!C64,'HARGA SATUAN'!$C$7:$C$1492,0),0))</f>
        <v>47459</v>
      </c>
      <c r="H64" s="361">
        <f t="shared" ca="1" si="36"/>
        <v>0</v>
      </c>
      <c r="I64" s="361">
        <f t="shared" ca="1" si="37"/>
        <v>47459</v>
      </c>
      <c r="J64" s="361">
        <f t="shared" ca="1" si="38"/>
        <v>0</v>
      </c>
      <c r="K64" s="362">
        <f t="shared" ca="1" si="39"/>
        <v>47459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07">
        <v>2</v>
      </c>
      <c r="C65" s="508" t="s">
        <v>32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501">
        <f>F63*1</f>
        <v>1</v>
      </c>
      <c r="G65" s="360">
        <f ca="1">IF(ISERROR(OFFSET('HARGA SATUAN'!$I$6,MATCH(RAB!C65,'HARGA SATUAN'!$C$7:$C$1492,0),0)),0,OFFSET('HARGA SATUAN'!$I$6,MATCH(RAB!C65,'HARGA SATUAN'!$C$7:$C$1492,0),0))</f>
        <v>30000</v>
      </c>
      <c r="H65" s="361">
        <f t="shared" ca="1" si="36"/>
        <v>0</v>
      </c>
      <c r="I65" s="361">
        <f t="shared" ca="1" si="37"/>
        <v>30000</v>
      </c>
      <c r="J65" s="361">
        <f t="shared" ca="1" si="38"/>
        <v>0</v>
      </c>
      <c r="K65" s="362">
        <f t="shared" ca="1" si="39"/>
        <v>30000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07">
        <v>3</v>
      </c>
      <c r="C66" s="508" t="s">
        <v>33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F63*1</f>
        <v>1</v>
      </c>
      <c r="G66" s="360">
        <f ca="1">IF(ISERROR(OFFSET('HARGA SATUAN'!$I$6,MATCH(RAB!C66,'HARGA SATUAN'!$C$7:$C$1492,0),0)),0,OFFSET('HARGA SATUAN'!$I$6,MATCH(RAB!C66,'HARGA SATUAN'!$C$7:$C$1492,0),0))</f>
        <v>9500</v>
      </c>
      <c r="H66" s="361">
        <f t="shared" ca="1" si="36"/>
        <v>0</v>
      </c>
      <c r="I66" s="361">
        <f t="shared" ca="1" si="37"/>
        <v>9500</v>
      </c>
      <c r="J66" s="361">
        <f t="shared" ca="1" si="38"/>
        <v>0</v>
      </c>
      <c r="K66" s="362">
        <f t="shared" ca="1" si="39"/>
        <v>9500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07">
        <v>4</v>
      </c>
      <c r="C67" s="508" t="s">
        <v>738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501">
        <f>F63*1</f>
        <v>1</v>
      </c>
      <c r="G67" s="360">
        <f ca="1">IF(ISERROR(OFFSET('HARGA SATUAN'!$I$6,MATCH(RAB!C67,'HARGA SATUAN'!$C$7:$C$1492,0),0)),0,OFFSET('HARGA SATUAN'!$I$6,MATCH(RAB!C67,'HARGA SATUAN'!$C$7:$C$1492,0),0))</f>
        <v>21200</v>
      </c>
      <c r="H67" s="361">
        <f t="shared" ca="1" si="36"/>
        <v>0</v>
      </c>
      <c r="I67" s="361">
        <f t="shared" ca="1" si="37"/>
        <v>0</v>
      </c>
      <c r="J67" s="361">
        <f t="shared" ca="1" si="38"/>
        <v>21200</v>
      </c>
      <c r="K67" s="362">
        <f t="shared" ca="1" si="39"/>
        <v>21200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498"/>
      <c r="C68" s="499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1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6"/>
        <v>0</v>
      </c>
      <c r="I68" s="361">
        <f t="shared" ca="1" si="37"/>
        <v>0</v>
      </c>
      <c r="J68" s="361">
        <f t="shared" ca="1" si="38"/>
        <v>0</v>
      </c>
      <c r="K68" s="362">
        <f t="shared" ca="1" si="39"/>
        <v>0</v>
      </c>
      <c r="L68" s="342"/>
      <c r="M68" s="342"/>
      <c r="N68" s="369"/>
      <c r="O68" s="344"/>
      <c r="P68" s="397"/>
      <c r="Q68" s="344"/>
    </row>
    <row r="69" spans="1:17">
      <c r="B69" s="366" t="s">
        <v>1614</v>
      </c>
      <c r="C69" s="367" t="s">
        <v>1616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1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36"/>
        <v>0</v>
      </c>
      <c r="I69" s="361">
        <f t="shared" ca="1" si="37"/>
        <v>0</v>
      </c>
      <c r="J69" s="361">
        <f t="shared" ca="1" si="38"/>
        <v>0</v>
      </c>
      <c r="K69" s="362">
        <f t="shared" ca="1" si="39"/>
        <v>0</v>
      </c>
    </row>
    <row r="70" spans="1:17">
      <c r="B70" s="494"/>
      <c r="C70" s="497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36"/>
        <v>0</v>
      </c>
      <c r="I70" s="361">
        <f t="shared" ca="1" si="37"/>
        <v>0</v>
      </c>
      <c r="J70" s="361">
        <f t="shared" ca="1" si="38"/>
        <v>0</v>
      </c>
      <c r="K70" s="362">
        <f t="shared" ca="1" si="39"/>
        <v>0</v>
      </c>
    </row>
    <row r="71" spans="1:17">
      <c r="B71" s="495" t="s">
        <v>1615</v>
      </c>
      <c r="C71" s="500" t="s">
        <v>1618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368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77" ca="1" si="40">IF(OR(D71="MDU",D71="MDU-KD"),(IF($O$3="RAB NON MDU","PLN KD",G71*F71)),0)</f>
        <v>0</v>
      </c>
      <c r="I71" s="361">
        <f t="shared" ref="I71:I77" ca="1" si="41">IF(D71="HDW",G71*F71,0)</f>
        <v>0</v>
      </c>
      <c r="J71" s="361">
        <f t="shared" ref="J71:J77" ca="1" si="42">IF(D71="JASA",G71*F71,0)</f>
        <v>0</v>
      </c>
      <c r="K71" s="362">
        <f t="shared" ref="K71:K77" ca="1" si="43">SUM(H71:J71)</f>
        <v>0</v>
      </c>
    </row>
    <row r="72" spans="1:17">
      <c r="B72" s="495"/>
      <c r="C72" s="496"/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506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40"/>
        <v>0</v>
      </c>
      <c r="I72" s="361">
        <f t="shared" ca="1" si="41"/>
        <v>0</v>
      </c>
      <c r="J72" s="361">
        <f t="shared" ca="1" si="42"/>
        <v>0</v>
      </c>
      <c r="K72" s="362">
        <f t="shared" ca="1" si="43"/>
        <v>0</v>
      </c>
    </row>
    <row r="73" spans="1:17">
      <c r="B73" s="495" t="s">
        <v>1035</v>
      </c>
      <c r="C73" s="496" t="s">
        <v>1628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19">
        <v>2</v>
      </c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40"/>
        <v>0</v>
      </c>
      <c r="I73" s="361">
        <f t="shared" ca="1" si="41"/>
        <v>0</v>
      </c>
      <c r="J73" s="361">
        <f t="shared" ca="1" si="42"/>
        <v>0</v>
      </c>
      <c r="K73" s="362">
        <f t="shared" ca="1" si="43"/>
        <v>0</v>
      </c>
    </row>
    <row r="74" spans="1:17">
      <c r="B74" s="516">
        <v>1</v>
      </c>
      <c r="C74" s="109" t="s">
        <v>482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19">
        <f>F73*1</f>
        <v>2</v>
      </c>
      <c r="G74" s="360">
        <f ca="1">IF(ISERROR(OFFSET('HARGA SATUAN'!$I$6,MATCH(RAB!C74,'HARGA SATUAN'!$C$7:$C$1492,0),0)),0,OFFSET('HARGA SATUAN'!$I$6,MATCH(RAB!C74,'HARGA SATUAN'!$C$7:$C$1492,0),0))</f>
        <v>327600</v>
      </c>
      <c r="H74" s="361">
        <f t="shared" ca="1" si="40"/>
        <v>655200</v>
      </c>
      <c r="I74" s="361">
        <f t="shared" ca="1" si="41"/>
        <v>0</v>
      </c>
      <c r="J74" s="361">
        <f t="shared" ca="1" si="42"/>
        <v>0</v>
      </c>
      <c r="K74" s="362">
        <f t="shared" ca="1" si="43"/>
        <v>655200</v>
      </c>
    </row>
    <row r="75" spans="1:17">
      <c r="B75" s="516">
        <v>2</v>
      </c>
      <c r="C75" s="518" t="s">
        <v>493</v>
      </c>
      <c r="D75" s="358" t="str">
        <f ca="1">IF(ISERROR(OFFSET('HARGA SATUAN'!$D$6,MATCH(RAB!C75,'HARGA SATUAN'!$C$7:$C$1492,0),0)),"",OFFSET('HARGA SATUAN'!$D$6,MATCH(RAB!C75,'HARGA SATUAN'!$C$7:$C$1492,0),0))</f>
        <v>MDU-KD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19">
        <f>F73*1</f>
        <v>2</v>
      </c>
      <c r="G75" s="360">
        <f ca="1">IF(ISERROR(OFFSET('HARGA SATUAN'!$I$6,MATCH(RAB!C75,'HARGA SATUAN'!$C$7:$C$1492,0),0)),0,OFFSET('HARGA SATUAN'!$I$6,MATCH(RAB!C75,'HARGA SATUAN'!$C$7:$C$1492,0),0))</f>
        <v>39000</v>
      </c>
      <c r="H75" s="361">
        <f t="shared" ca="1" si="40"/>
        <v>78000</v>
      </c>
      <c r="I75" s="361">
        <f t="shared" ca="1" si="41"/>
        <v>0</v>
      </c>
      <c r="J75" s="361">
        <f t="shared" ca="1" si="42"/>
        <v>0</v>
      </c>
      <c r="K75" s="362">
        <f t="shared" ca="1" si="43"/>
        <v>78000</v>
      </c>
    </row>
    <row r="76" spans="1:17">
      <c r="B76" s="516">
        <v>3</v>
      </c>
      <c r="C76" s="518" t="s">
        <v>74</v>
      </c>
      <c r="D76" s="358" t="str">
        <f ca="1">IF(ISERROR(OFFSET('HARGA SATUAN'!$D$6,MATCH(RAB!C76,'HARGA SATUAN'!$C$7:$C$1492,0),0)),"",OFFSET('HARGA SATUAN'!$D$6,MATCH(RAB!C76,'HARGA SATUAN'!$C$7:$C$1492,0),0))</f>
        <v>MDU-KD</v>
      </c>
      <c r="E76" s="359" t="str">
        <f ca="1">IF(B76="+","Unit",IF(ISERROR(OFFSET('HARGA SATUAN'!$E$6,MATCH(RAB!C76,'HARGA SATUAN'!$C$7:$C$1492,0),0)),"",OFFSET('HARGA SATUAN'!$E$6,MATCH(RAB!C76,'HARGA SATUAN'!$C$7:$C$1492,0),0)))</f>
        <v>Mtr</v>
      </c>
      <c r="F76" s="519">
        <f>F73*35</f>
        <v>70</v>
      </c>
      <c r="G76" s="360">
        <f ca="1">IF(ISERROR(OFFSET('HARGA SATUAN'!$I$6,MATCH(RAB!C76,'HARGA SATUAN'!$C$7:$C$1492,0),0)),0,OFFSET('HARGA SATUAN'!$I$6,MATCH(RAB!C76,'HARGA SATUAN'!$C$7:$C$1492,0),0))</f>
        <v>6600</v>
      </c>
      <c r="H76" s="361">
        <f t="shared" ca="1" si="40"/>
        <v>462000</v>
      </c>
      <c r="I76" s="361">
        <f t="shared" ca="1" si="41"/>
        <v>0</v>
      </c>
      <c r="J76" s="361">
        <f t="shared" ca="1" si="42"/>
        <v>0</v>
      </c>
      <c r="K76" s="362">
        <f t="shared" ca="1" si="43"/>
        <v>462000</v>
      </c>
    </row>
    <row r="77" spans="1:17">
      <c r="B77" s="516">
        <v>4</v>
      </c>
      <c r="C77" s="518" t="s">
        <v>798</v>
      </c>
      <c r="D77" s="358" t="str">
        <f ca="1">IF(ISERROR(OFFSET('HARGA SATUAN'!$D$6,MATCH(RAB!C77,'HARGA SATUAN'!$C$7:$C$1492,0),0)),"",OFFSET('HARGA SATUAN'!$D$6,MATCH(RAB!C77,'HARGA SATUAN'!$C$7:$C$1492,0),0))</f>
        <v>JASA</v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19">
        <f>F73*1</f>
        <v>2</v>
      </c>
      <c r="G77" s="360">
        <f ca="1">IF(ISERROR(OFFSET('HARGA SATUAN'!$I$6,MATCH(RAB!C77,'HARGA SATUAN'!$C$7:$C$1492,0),0)),0,OFFSET('HARGA SATUAN'!$I$6,MATCH(RAB!C77,'HARGA SATUAN'!$C$7:$C$1492,0),0))</f>
        <v>54400</v>
      </c>
      <c r="H77" s="361">
        <f t="shared" ca="1" si="40"/>
        <v>0</v>
      </c>
      <c r="I77" s="361">
        <f t="shared" ca="1" si="41"/>
        <v>0</v>
      </c>
      <c r="J77" s="361">
        <f t="shared" ca="1" si="42"/>
        <v>108800</v>
      </c>
      <c r="K77" s="362">
        <f t="shared" ca="1" si="43"/>
        <v>108800</v>
      </c>
    </row>
    <row r="78" spans="1:17">
      <c r="B78" s="374"/>
      <c r="C78" s="505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368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ref="H78:H90" ca="1" si="44">IF(OR(D78="MDU",D78="MDU-KD"),(IF($O$3="RAB NON MDU","PLN KD",G78*F78)),0)</f>
        <v>0</v>
      </c>
      <c r="I78" s="361">
        <f t="shared" ref="I78:I90" ca="1" si="45">IF(D78="HDW",G78*F78,0)</f>
        <v>0</v>
      </c>
      <c r="J78" s="361">
        <f t="shared" ref="J78:J90" ca="1" si="46">IF(D78="JASA",G78*F78,0)</f>
        <v>0</v>
      </c>
      <c r="K78" s="362">
        <f t="shared" ref="K78:K90" ca="1" si="47">SUM(H78:J78)</f>
        <v>0</v>
      </c>
    </row>
    <row r="79" spans="1:17">
      <c r="B79" s="516" t="s">
        <v>1035</v>
      </c>
      <c r="C79" s="518" t="s">
        <v>1627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19">
        <v>1</v>
      </c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44"/>
        <v>0</v>
      </c>
      <c r="I79" s="361">
        <f t="shared" ca="1" si="45"/>
        <v>0</v>
      </c>
      <c r="J79" s="361">
        <f t="shared" ca="1" si="46"/>
        <v>0</v>
      </c>
      <c r="K79" s="362">
        <f t="shared" ca="1" si="47"/>
        <v>0</v>
      </c>
    </row>
    <row r="80" spans="1:17">
      <c r="B80" s="516">
        <v>1</v>
      </c>
      <c r="C80" s="518" t="s">
        <v>115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Set</v>
      </c>
      <c r="F80" s="519">
        <f>F79*1</f>
        <v>1</v>
      </c>
      <c r="G80" s="360">
        <f ca="1">IF(ISERROR(OFFSET('HARGA SATUAN'!$I$6,MATCH(RAB!C80,'HARGA SATUAN'!$C$7:$C$1492,0),0)),0,OFFSET('HARGA SATUAN'!$I$6,MATCH(RAB!C80,'HARGA SATUAN'!$C$7:$C$1492,0),0))</f>
        <v>11500</v>
      </c>
      <c r="H80" s="361">
        <f t="shared" ca="1" si="44"/>
        <v>0</v>
      </c>
      <c r="I80" s="361">
        <f t="shared" ca="1" si="45"/>
        <v>11500</v>
      </c>
      <c r="J80" s="361">
        <f t="shared" ca="1" si="46"/>
        <v>0</v>
      </c>
      <c r="K80" s="362">
        <f t="shared" ca="1" si="47"/>
        <v>11500</v>
      </c>
    </row>
    <row r="81" spans="2:13">
      <c r="B81" s="516">
        <v>2</v>
      </c>
      <c r="C81" s="518" t="s">
        <v>145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Set</v>
      </c>
      <c r="F81" s="519">
        <f>F79*1</f>
        <v>1</v>
      </c>
      <c r="G81" s="360">
        <f ca="1">IF(ISERROR(OFFSET('HARGA SATUAN'!$I$6,MATCH(RAB!C81,'HARGA SATUAN'!$C$7:$C$1492,0),0)),0,OFFSET('HARGA SATUAN'!$I$6,MATCH(RAB!C81,'HARGA SATUAN'!$C$7:$C$1492,0),0))</f>
        <v>6200</v>
      </c>
      <c r="H81" s="361">
        <f t="shared" ca="1" si="44"/>
        <v>0</v>
      </c>
      <c r="I81" s="361">
        <f t="shared" ca="1" si="45"/>
        <v>6200</v>
      </c>
      <c r="J81" s="361">
        <f t="shared" ca="1" si="46"/>
        <v>0</v>
      </c>
      <c r="K81" s="362">
        <f t="shared" ca="1" si="47"/>
        <v>6200</v>
      </c>
    </row>
    <row r="82" spans="2:13">
      <c r="B82" s="516">
        <v>3</v>
      </c>
      <c r="C82" s="518" t="s">
        <v>587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Btg</v>
      </c>
      <c r="F82" s="519">
        <f>F79*1</f>
        <v>1</v>
      </c>
      <c r="G82" s="360">
        <f ca="1">IF(ISERROR(OFFSET('HARGA SATUAN'!$I$6,MATCH(RAB!C82,'HARGA SATUAN'!$C$7:$C$1492,0),0)),0,OFFSET('HARGA SATUAN'!$I$6,MATCH(RAB!C82,'HARGA SATUAN'!$C$7:$C$1492,0),0))</f>
        <v>45796</v>
      </c>
      <c r="H82" s="361">
        <f t="shared" ca="1" si="44"/>
        <v>0</v>
      </c>
      <c r="I82" s="361">
        <f t="shared" ca="1" si="45"/>
        <v>45796</v>
      </c>
      <c r="J82" s="361">
        <f t="shared" ca="1" si="46"/>
        <v>0</v>
      </c>
      <c r="K82" s="362">
        <f t="shared" ca="1" si="47"/>
        <v>45796</v>
      </c>
    </row>
    <row r="83" spans="2:13">
      <c r="B83" s="516">
        <v>4</v>
      </c>
      <c r="C83" s="518" t="s">
        <v>118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Set</v>
      </c>
      <c r="F83" s="519">
        <f>F79*1</f>
        <v>1</v>
      </c>
      <c r="G83" s="360">
        <f ca="1">IF(ISERROR(OFFSET('HARGA SATUAN'!$I$6,MATCH(RAB!C83,'HARGA SATUAN'!$C$7:$C$1492,0),0)),0,OFFSET('HARGA SATUAN'!$I$6,MATCH(RAB!C83,'HARGA SATUAN'!$C$7:$C$1492,0),0))</f>
        <v>5300</v>
      </c>
      <c r="H83" s="361">
        <f t="shared" ca="1" si="44"/>
        <v>0</v>
      </c>
      <c r="I83" s="361">
        <f t="shared" ca="1" si="45"/>
        <v>5300</v>
      </c>
      <c r="J83" s="361">
        <f t="shared" ca="1" si="46"/>
        <v>0</v>
      </c>
      <c r="K83" s="362">
        <f t="shared" ca="1" si="47"/>
        <v>5300</v>
      </c>
    </row>
    <row r="84" spans="2:13">
      <c r="B84" s="516">
        <v>5</v>
      </c>
      <c r="C84" s="518" t="s">
        <v>117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19">
        <f>F79*1</f>
        <v>1</v>
      </c>
      <c r="G84" s="360">
        <f ca="1">IF(ISERROR(OFFSET('HARGA SATUAN'!$I$6,MATCH(RAB!C84,'HARGA SATUAN'!$C$7:$C$1492,0),0)),0,OFFSET('HARGA SATUAN'!$I$6,MATCH(RAB!C84,'HARGA SATUAN'!$C$7:$C$1492,0),0))</f>
        <v>58600</v>
      </c>
      <c r="H84" s="361">
        <f t="shared" ca="1" si="44"/>
        <v>0</v>
      </c>
      <c r="I84" s="361">
        <f t="shared" ca="1" si="45"/>
        <v>58600</v>
      </c>
      <c r="J84" s="361">
        <f t="shared" ca="1" si="46"/>
        <v>0</v>
      </c>
      <c r="K84" s="362">
        <f t="shared" ca="1" si="47"/>
        <v>58600</v>
      </c>
    </row>
    <row r="85" spans="2:13">
      <c r="B85" s="516">
        <v>6</v>
      </c>
      <c r="C85" s="109" t="s">
        <v>1154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Set</v>
      </c>
      <c r="F85" s="519">
        <f>F79*1</f>
        <v>1</v>
      </c>
      <c r="G85" s="360">
        <f ca="1">IF(ISERROR(OFFSET('HARGA SATUAN'!$I$6,MATCH(RAB!C85,'HARGA SATUAN'!$C$7:$C$1492,0),0)),0,OFFSET('HARGA SATUAN'!$I$6,MATCH(RAB!C85,'HARGA SATUAN'!$C$7:$C$1492,0),0))</f>
        <v>3888</v>
      </c>
      <c r="H85" s="361">
        <f t="shared" ca="1" si="44"/>
        <v>0</v>
      </c>
      <c r="I85" s="361">
        <f t="shared" ca="1" si="45"/>
        <v>3888</v>
      </c>
      <c r="J85" s="361">
        <f t="shared" ca="1" si="46"/>
        <v>0</v>
      </c>
      <c r="K85" s="362">
        <f t="shared" ca="1" si="47"/>
        <v>3888</v>
      </c>
    </row>
    <row r="86" spans="2:13">
      <c r="B86" s="516">
        <v>7</v>
      </c>
      <c r="C86" s="518" t="s">
        <v>119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Set</v>
      </c>
      <c r="F86" s="519">
        <f>F79*2</f>
        <v>2</v>
      </c>
      <c r="G86" s="360">
        <f ca="1">IF(ISERROR(OFFSET('HARGA SATUAN'!$I$6,MATCH(RAB!C86,'HARGA SATUAN'!$C$7:$C$1492,0),0)),0,OFFSET('HARGA SATUAN'!$I$6,MATCH(RAB!C86,'HARGA SATUAN'!$C$7:$C$1492,0),0))</f>
        <v>8900</v>
      </c>
      <c r="H86" s="361">
        <f t="shared" ca="1" si="44"/>
        <v>0</v>
      </c>
      <c r="I86" s="361">
        <f t="shared" ca="1" si="45"/>
        <v>17800</v>
      </c>
      <c r="J86" s="361">
        <f t="shared" ca="1" si="46"/>
        <v>0</v>
      </c>
      <c r="K86" s="362">
        <f t="shared" ca="1" si="47"/>
        <v>17800</v>
      </c>
    </row>
    <row r="87" spans="2:13">
      <c r="B87" s="374"/>
      <c r="C87" s="505"/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368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44"/>
        <v>0</v>
      </c>
      <c r="I87" s="361">
        <f t="shared" ca="1" si="45"/>
        <v>0</v>
      </c>
      <c r="J87" s="361">
        <f t="shared" ca="1" si="46"/>
        <v>0</v>
      </c>
      <c r="K87" s="362">
        <f t="shared" ca="1" si="47"/>
        <v>0</v>
      </c>
    </row>
    <row r="88" spans="2:13">
      <c r="B88" s="366" t="s">
        <v>22</v>
      </c>
      <c r="C88" s="367" t="s">
        <v>1617</v>
      </c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368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44"/>
        <v>0</v>
      </c>
      <c r="I88" s="361">
        <f t="shared" ca="1" si="45"/>
        <v>0</v>
      </c>
      <c r="J88" s="361">
        <f t="shared" ca="1" si="46"/>
        <v>0</v>
      </c>
      <c r="K88" s="362">
        <f t="shared" ca="1" si="47"/>
        <v>0</v>
      </c>
    </row>
    <row r="89" spans="2:13">
      <c r="B89" s="374"/>
      <c r="C89" s="373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8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44"/>
        <v>0</v>
      </c>
      <c r="I89" s="361">
        <f t="shared" ca="1" si="45"/>
        <v>0</v>
      </c>
      <c r="J89" s="361">
        <f t="shared" ca="1" si="46"/>
        <v>0</v>
      </c>
      <c r="K89" s="362">
        <f t="shared" ca="1" si="47"/>
        <v>0</v>
      </c>
    </row>
    <row r="90" spans="2:13">
      <c r="B90" s="375"/>
      <c r="C90" s="376" t="s">
        <v>475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368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44"/>
        <v>0</v>
      </c>
      <c r="I90" s="361">
        <f t="shared" ca="1" si="45"/>
        <v>0</v>
      </c>
      <c r="J90" s="361">
        <f t="shared" ca="1" si="46"/>
        <v>0</v>
      </c>
      <c r="K90" s="362">
        <f t="shared" ca="1" si="47"/>
        <v>0</v>
      </c>
    </row>
    <row r="91" spans="2:13">
      <c r="B91" s="378">
        <v>1</v>
      </c>
      <c r="C91" s="379" t="s">
        <v>1091</v>
      </c>
      <c r="D91" s="380" t="str">
        <f ca="1">IF(ISERROR(OFFSET('HARGA SATUAN'!$D$6,MATCH(RAB!C91,'HARGA SATUAN'!$C$7:$C$1492,0),0)),"",OFFSET('HARGA SATUAN'!$D$6,MATCH(RAB!C91,'HARGA SATUAN'!$C$7:$C$1492,0),0))</f>
        <v>JASA</v>
      </c>
      <c r="E91" s="381" t="str">
        <f ca="1">IF(ISERROR(OFFSET('HARGA SATUAN'!$E$6,MATCH(RAB!C91,'HARGA SATUAN'!$C$7:$C$1492,0),0)),"",OFFSET('HARGA SATUAN'!$E$6,MATCH(RAB!C91,'HARGA SATUAN'!$C$7:$C$1492,0),0))</f>
        <v>Lot</v>
      </c>
      <c r="F91" s="382">
        <v>1</v>
      </c>
      <c r="G91" s="383">
        <f ca="1">IF(ISERROR(OFFSET('HARGA SATUAN'!$I$6,MATCH(RAB!C91,'HARGA SATUAN'!$C$7:$C$1492,0),0)),0,OFFSET('HARGA SATUAN'!$I$6,MATCH(RAB!C91,'HARGA SATUAN'!$C$7:$C$1492,0),0))</f>
        <v>2.5000000000000001E-2</v>
      </c>
      <c r="H91" s="384"/>
      <c r="I91" s="384"/>
      <c r="J91" s="384">
        <f ca="1">SUM(K15:K21)*G91</f>
        <v>89816.666666666672</v>
      </c>
      <c r="K91" s="385">
        <f ca="1">SUM(H91:J91)</f>
        <v>89816.666666666672</v>
      </c>
    </row>
    <row r="92" spans="2:13">
      <c r="B92" s="386"/>
      <c r="C92" s="387"/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IF(ISERROR(OFFSET('HARGA SATUAN'!$E$6,MATCH(RAB!C92,'HARGA SATUAN'!$C$7:$C$1492,0),0)),"",OFFSET('HARGA SATUAN'!$E$6,MATCH(RAB!C92,'HARGA SATUAN'!$C$7:$C$1492,0),0))</f>
        <v/>
      </c>
      <c r="F92" s="377"/>
      <c r="G92" s="360" t="str">
        <f ca="1">IF(ISERROR(OFFSET('HARGA SATUAN'!$I$6,MATCH(RAB!C92,'HARGA SATUAN'!$C$7:$C$1492,0),0)),"",OFFSET('HARGA SATUAN'!$I$6,MATCH(RAB!C92,'HARGA SATUAN'!$C$7:$C$1492,0),0))</f>
        <v/>
      </c>
      <c r="H92" s="361">
        <f ca="1">IF(OR(D92="MDU",D92="MDU-KD"),IF(G92="PLN",0,G92*F92),0)</f>
        <v>0</v>
      </c>
      <c r="I92" s="361">
        <f ca="1">IF(D92="HDW",IF(G92="PLN",0,G92*F92),0)</f>
        <v>0</v>
      </c>
      <c r="J92" s="361">
        <f ca="1">IF(D92="JASA",IF(G92="PLN",0,G92*F92),0)</f>
        <v>0</v>
      </c>
      <c r="K92" s="362">
        <f ca="1">SUM(H92:J92)</f>
        <v>0</v>
      </c>
    </row>
    <row r="93" spans="2:13" ht="15.75" thickBot="1">
      <c r="B93" s="388"/>
      <c r="C93" s="389"/>
      <c r="D93" s="390"/>
      <c r="E93" s="391"/>
      <c r="F93" s="391"/>
      <c r="G93" s="391"/>
      <c r="H93" s="392"/>
      <c r="I93" s="392"/>
      <c r="J93" s="392"/>
      <c r="K93" s="393"/>
    </row>
    <row r="94" spans="2:13">
      <c r="B94" s="394"/>
      <c r="C94" s="640" t="s">
        <v>1008</v>
      </c>
      <c r="D94" s="640"/>
      <c r="E94" s="640"/>
      <c r="F94" s="640"/>
      <c r="G94" s="395" t="s">
        <v>9</v>
      </c>
      <c r="H94" s="396">
        <f ca="1">SUM(H14:H92)</f>
        <v>21449200</v>
      </c>
      <c r="I94" s="396">
        <f ca="1">SUM(I14:I92)</f>
        <v>5642475.2400000002</v>
      </c>
      <c r="J94" s="396">
        <f ca="1">SUM(J14:J92)</f>
        <v>1280483.3333333333</v>
      </c>
      <c r="K94" s="396">
        <f ca="1">SUM(K14:K92)</f>
        <v>28372158.573333334</v>
      </c>
    </row>
    <row r="95" spans="2:13">
      <c r="B95" s="398"/>
      <c r="C95" s="623" t="s">
        <v>1457</v>
      </c>
      <c r="D95" s="623"/>
      <c r="E95" s="623"/>
      <c r="F95" s="623"/>
      <c r="G95" s="399" t="s">
        <v>9</v>
      </c>
      <c r="H95" s="400">
        <f ca="1">H94*0.11</f>
        <v>2359412</v>
      </c>
      <c r="I95" s="400">
        <f ca="1">I94*0.11</f>
        <v>620672.27639999997</v>
      </c>
      <c r="J95" s="400">
        <f ca="1">J94*0.11</f>
        <v>140853.16666666666</v>
      </c>
      <c r="K95" s="400">
        <f ca="1">K94*0.11</f>
        <v>3120937.4430666668</v>
      </c>
    </row>
    <row r="96" spans="2:13" ht="15.75" thickBot="1">
      <c r="B96" s="398"/>
      <c r="C96" s="621" t="s">
        <v>463</v>
      </c>
      <c r="D96" s="621"/>
      <c r="E96" s="621"/>
      <c r="F96" s="621"/>
      <c r="G96" s="401" t="s">
        <v>9</v>
      </c>
      <c r="H96" s="402">
        <f ca="1">SUM(H94:H95)</f>
        <v>23808612</v>
      </c>
      <c r="I96" s="402">
        <f ca="1">SUM(I94:I95)</f>
        <v>6263147.5164000001</v>
      </c>
      <c r="J96" s="401">
        <f ca="1">SUM(J94:J95)</f>
        <v>1421336.5</v>
      </c>
      <c r="K96" s="401">
        <f ca="1">SUM(K94:K95)</f>
        <v>31493096.016400002</v>
      </c>
      <c r="M96" s="484"/>
    </row>
    <row r="97" spans="2:11">
      <c r="B97" s="624" t="str">
        <f ca="1">"Terbilang : "&amp;PROPER(IF(K96=0,"nol",IF(K96&lt;0,"minus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IF(--MID(TEXT(ABS(K96),"000000000000000"),1,3)=0,"",MID(TEXT(ABS(K96),"000000000000000"),1,1)&amp;" ratus "&amp;MID(TEXT(ABS(K96),"000000000000000"),2,1)&amp;" puluh "&amp;MID(TEXT(ABS(K96),"000000000000000"),3,1)&amp;" trilyun ")&amp; IF(--MID(TEXT(ABS(K96),"000000000000000"),4,3)=0,"",MID(TEXT(ABS(K96),"000000000000000"),4,1)&amp;" ratus "&amp;MID(TEXT(ABS(K96),"000000000000000"),5,1)&amp;" puluh "&amp;MID(TEXT(ABS(K96),"000000000000000"),6,1)&amp;" milyar ")&amp; IF(--MID(TEXT(ABS(K96),"000000000000000"),7,3)=0,"",MID(TEXT(ABS(K96),"000000000000000"),7,1)&amp;" ratus "&amp;MID(TEXT(ABS(K96),"000000000000000"),8,1)&amp;" puluh "&amp;MID(TEXT(ABS(K96),"000000000000000"),9,1)&amp;" juta ")&amp; IF(--MID(TEXT(ABS(K96),"000000000000000"),10,3)=0,"",IF(--MID(TEXT(ABS(K96),"000000000000000"),10,3)=1,"*",MID(TEXT(ABS(K96),"000000000000000"),10,1)&amp;" ratus "&amp;MID(TEXT(ABS(K96),"000000000000000"),11,1)&amp;" puluh ")&amp;MID(TEXT(ABS(K96),"000000000000000"),12,1)&amp;" ribu ")&amp; IF(--MID(TEXT(ABS(K96),"000000000000000"),13,3)=0,"",MID(TEXT(ABS(K96),"000000000000000"),13,1)&amp;" ratus "&amp;MID(TEXT(ABS(K96),"000000000000000"),14,1)&amp;" puluh "&amp;MID(TEXT(ABS(K96),"000000000000000"),15,1)),1,"satu"),2,"dua"),3,"tiga"),4,"empat"),5,"lima"),6,"enam"),7,"tujuh"),8,"delapan"),9,"sembilan"),"0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Satu Juta Empat Ratus Sembilan Puluh Tiga Ribu Sembilan Puluh Enam Rupiah</v>
      </c>
      <c r="C97" s="625"/>
      <c r="D97" s="625"/>
      <c r="E97" s="625"/>
      <c r="F97" s="625"/>
      <c r="G97" s="625"/>
      <c r="H97" s="625"/>
      <c r="I97" s="625"/>
      <c r="J97" s="625"/>
      <c r="K97" s="626"/>
    </row>
    <row r="98" spans="2:11">
      <c r="B98" s="627"/>
      <c r="C98" s="628"/>
      <c r="D98" s="628"/>
      <c r="E98" s="628"/>
      <c r="F98" s="628"/>
      <c r="G98" s="628"/>
      <c r="H98" s="628"/>
      <c r="I98" s="628"/>
      <c r="J98" s="628"/>
      <c r="K98" s="629"/>
    </row>
    <row r="99" spans="2:11" ht="15.75" thickBot="1">
      <c r="B99" s="403" t="str">
        <f>"Harga yang dipakai adalah "&amp;'HARGA SATUAN'!I5&amp;""</f>
        <v>Harga yang dipakai adalah RAB HSS 2023</v>
      </c>
      <c r="C99" s="404"/>
      <c r="D99" s="405"/>
      <c r="E99" s="405"/>
      <c r="F99" s="405"/>
      <c r="G99" s="406"/>
      <c r="H99" s="406"/>
      <c r="I99" s="406"/>
      <c r="J99" s="406"/>
      <c r="K99" s="407"/>
    </row>
    <row r="100" spans="2:11">
      <c r="C100" s="408"/>
      <c r="E100" s="410"/>
      <c r="F100" s="410"/>
      <c r="G100" s="410"/>
    </row>
    <row r="101" spans="2:11">
      <c r="C101" s="337"/>
      <c r="E101" s="410"/>
      <c r="F101" s="410"/>
      <c r="G101" s="410"/>
      <c r="H101" s="630"/>
      <c r="I101" s="630"/>
      <c r="J101" s="631"/>
      <c r="K101" s="631"/>
    </row>
    <row r="102" spans="2:11">
      <c r="C102" s="337"/>
      <c r="E102" s="410"/>
      <c r="F102" s="410"/>
      <c r="G102" s="410"/>
      <c r="H102" s="411"/>
      <c r="I102" s="620" t="s">
        <v>1610</v>
      </c>
      <c r="J102" s="620"/>
      <c r="K102" s="620"/>
    </row>
    <row r="103" spans="2:11">
      <c r="C103" s="337"/>
      <c r="E103" s="410"/>
      <c r="F103" s="410"/>
      <c r="G103" s="410"/>
      <c r="H103" s="411"/>
      <c r="I103" s="620" t="s">
        <v>1546</v>
      </c>
      <c r="J103" s="620"/>
      <c r="K103" s="620"/>
    </row>
    <row r="104" spans="2:11">
      <c r="C104" s="337"/>
      <c r="E104" s="410"/>
      <c r="F104" s="410"/>
      <c r="G104" s="410"/>
      <c r="H104" s="412"/>
      <c r="I104" s="413"/>
      <c r="J104" s="413"/>
      <c r="K104" s="413"/>
    </row>
    <row r="105" spans="2:11">
      <c r="C105" s="337"/>
      <c r="E105" s="410"/>
      <c r="F105" s="410"/>
      <c r="G105" s="410"/>
      <c r="H105" s="412"/>
      <c r="I105" s="412"/>
      <c r="J105" s="412"/>
      <c r="K105" s="412"/>
    </row>
    <row r="106" spans="2:11">
      <c r="C106" s="337"/>
      <c r="E106" s="410"/>
      <c r="F106" s="410"/>
      <c r="G106" s="410"/>
      <c r="H106" s="412"/>
      <c r="I106" s="412"/>
      <c r="J106" s="412"/>
      <c r="K106" s="412"/>
    </row>
    <row r="107" spans="2:11">
      <c r="C107" s="337"/>
      <c r="E107" s="410"/>
      <c r="F107" s="410"/>
      <c r="G107" s="410"/>
      <c r="H107" s="412"/>
      <c r="I107" s="412"/>
      <c r="J107" s="412"/>
      <c r="K107" s="412"/>
    </row>
    <row r="108" spans="2:11">
      <c r="C108" s="337"/>
      <c r="E108" s="410"/>
      <c r="F108" s="410"/>
      <c r="G108" s="410"/>
      <c r="H108" s="414"/>
      <c r="I108" s="620" t="s">
        <v>1547</v>
      </c>
      <c r="J108" s="620"/>
      <c r="K108" s="620"/>
    </row>
    <row r="109" spans="2:11">
      <c r="C109" s="408"/>
      <c r="E109" s="410"/>
      <c r="F109" s="410"/>
      <c r="G109" s="410"/>
      <c r="H109" s="412"/>
      <c r="I109" s="412"/>
      <c r="J109" s="412"/>
      <c r="K109" s="412"/>
    </row>
    <row r="110" spans="2:11">
      <c r="C110" s="408"/>
      <c r="E110" s="410"/>
      <c r="F110" s="410"/>
      <c r="G110" s="410"/>
      <c r="H110" s="412"/>
      <c r="I110" s="412"/>
      <c r="J110" s="412"/>
      <c r="K110" s="412"/>
    </row>
    <row r="111" spans="2:11">
      <c r="C111" s="408"/>
      <c r="E111" s="410"/>
      <c r="F111" s="410"/>
      <c r="G111" s="410"/>
      <c r="H111" s="412"/>
      <c r="I111" s="412"/>
      <c r="J111" s="412"/>
      <c r="K111" s="412"/>
    </row>
  </sheetData>
  <sheetProtection sort="0" autoFilter="0"/>
  <protectedRanges>
    <protectedRange sqref="B89 B72:B87" name="Range1_1"/>
    <protectedRange sqref="F47:F62 F68:F90 F14:F45" name="Range1_1_2_2"/>
    <protectedRange sqref="C89 C72:C75 C77:C87" name="Range1_1_1"/>
    <protectedRange sqref="B70:C71" name="Range1_6_2"/>
    <protectedRange sqref="C76" name="Range1_1_3_13"/>
    <protectedRange sqref="C17" name="Range1_1_3_14"/>
    <protectedRange sqref="C18:C20" name="Range1_1_3"/>
    <protectedRange sqref="G46" name="Range1_3_7"/>
    <protectedRange sqref="C46" name="Range1_1_3_5"/>
    <protectedRange sqref="C45" name="Range1_1_3_6"/>
  </protectedRanges>
  <mergeCells count="22">
    <mergeCell ref="O3:P4"/>
    <mergeCell ref="B4:K4"/>
    <mergeCell ref="C94:F94"/>
    <mergeCell ref="B11:B13"/>
    <mergeCell ref="C11:C13"/>
    <mergeCell ref="D11:D13"/>
    <mergeCell ref="E11:E13"/>
    <mergeCell ref="F11:F13"/>
    <mergeCell ref="G11:G13"/>
    <mergeCell ref="I12:I13"/>
    <mergeCell ref="I103:K103"/>
    <mergeCell ref="I108:K108"/>
    <mergeCell ref="C96:F96"/>
    <mergeCell ref="G6:K6"/>
    <mergeCell ref="I102:K102"/>
    <mergeCell ref="C95:F95"/>
    <mergeCell ref="B97:K98"/>
    <mergeCell ref="H101:K101"/>
    <mergeCell ref="H11:K11"/>
    <mergeCell ref="H12:H13"/>
    <mergeCell ref="J12:J13"/>
    <mergeCell ref="K12:K13"/>
  </mergeCells>
  <phoneticPr fontId="139" type="noConversion"/>
  <conditionalFormatting sqref="C15 C17:C21">
    <cfRule type="cellIs" dxfId="9" priority="495" operator="equal">
      <formula>0</formula>
    </cfRule>
  </conditionalFormatting>
  <conditionalFormatting sqref="C45:C46">
    <cfRule type="cellIs" dxfId="8" priority="13" operator="equal">
      <formula>0</formula>
    </cfRule>
  </conditionalFormatting>
  <conditionalFormatting sqref="C69">
    <cfRule type="cellIs" dxfId="7" priority="120" operator="equal">
      <formula>0</formula>
    </cfRule>
  </conditionalFormatting>
  <conditionalFormatting sqref="C74">
    <cfRule type="cellIs" dxfId="6" priority="9" operator="equal">
      <formula>0</formula>
    </cfRule>
  </conditionalFormatting>
  <conditionalFormatting sqref="C85">
    <cfRule type="cellIs" dxfId="5" priority="11" operator="equal">
      <formula>0</formula>
    </cfRule>
  </conditionalFormatting>
  <conditionalFormatting sqref="C88">
    <cfRule type="cellIs" dxfId="4" priority="118" operator="equal">
      <formula>0</formula>
    </cfRule>
  </conditionalFormatting>
  <conditionalFormatting sqref="D46:G46">
    <cfRule type="cellIs" dxfId="3" priority="21" operator="equal">
      <formula>0</formula>
    </cfRule>
  </conditionalFormatting>
  <conditionalFormatting sqref="E1:E3 G1:G13 E5:E13 H12:I12 O13 H46:K46 E91:G91 H91:K93 E92:H92 E93:F93 E71:K90 S14:V21 E14:K45">
    <cfRule type="cellIs" dxfId="2" priority="1075" stopIfTrue="1" operator="equal">
      <formula>0</formula>
    </cfRule>
  </conditionalFormatting>
  <conditionalFormatting sqref="E47:K70">
    <cfRule type="cellIs" dxfId="1" priority="2" stopIfTrue="1" operator="equal">
      <formula>0</formula>
    </cfRule>
  </conditionalFormatting>
  <conditionalFormatting sqref="G92:G65558 E97:E65558">
    <cfRule type="cellIs" dxfId="0" priority="209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47:F59 F61:F70 F23:F45 H14:K9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6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8" zoomScale="130" zoomScaleNormal="115" zoomScaleSheetLayoutView="130" workbookViewId="0">
      <selection activeCell="R39" sqref="R39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3" t="s">
        <v>1439</v>
      </c>
      <c r="X2" s="704"/>
      <c r="Y2" s="704"/>
      <c r="Z2" s="704"/>
      <c r="AA2" s="704"/>
      <c r="AB2" s="704"/>
      <c r="AC2" s="704"/>
      <c r="AD2" s="705"/>
    </row>
    <row r="3" spans="3:30">
      <c r="C3" s="238"/>
      <c r="W3" s="706"/>
      <c r="X3" s="707"/>
      <c r="Y3" s="707"/>
      <c r="Z3" s="707"/>
      <c r="AA3" s="707"/>
      <c r="AB3" s="707"/>
      <c r="AC3" s="707"/>
      <c r="AD3" s="708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238"/>
      <c r="W6" s="241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238"/>
      <c r="E7" s="490" t="str">
        <f>PETA!C6</f>
        <v>KOORDINAT : -6.925480, 110.48361183</v>
      </c>
      <c r="W7" s="241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238"/>
      <c r="W8" s="241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238"/>
      <c r="W9" s="241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238"/>
      <c r="W10" s="241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238"/>
      <c r="W11" s="241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238"/>
      <c r="W12" s="241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238"/>
      <c r="W13" s="241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238"/>
      <c r="W14" s="241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238"/>
      <c r="W15" s="241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238"/>
      <c r="W16" s="241">
        <v>11</v>
      </c>
      <c r="X16" s="652" t="s">
        <v>1455</v>
      </c>
      <c r="Y16" s="652"/>
      <c r="Z16" s="652"/>
      <c r="AA16" s="652"/>
      <c r="AB16" s="652"/>
      <c r="AC16" s="652"/>
      <c r="AD16" s="653"/>
    </row>
    <row r="17" spans="3:30">
      <c r="C17" s="238"/>
      <c r="S17" s="242"/>
      <c r="W17" s="241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243"/>
      <c r="D18" s="244"/>
      <c r="E18" s="244"/>
      <c r="W18" s="241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238"/>
      <c r="W19" s="245"/>
      <c r="X19" s="701"/>
      <c r="Y19" s="701"/>
      <c r="Z19" s="701"/>
      <c r="AA19" s="701"/>
      <c r="AB19" s="701"/>
      <c r="AC19" s="701"/>
      <c r="AD19" s="702"/>
    </row>
    <row r="20" spans="3:30">
      <c r="C20" s="238"/>
      <c r="W20" s="688" t="s">
        <v>992</v>
      </c>
      <c r="X20" s="689"/>
      <c r="Y20" s="689"/>
      <c r="Z20" s="689"/>
      <c r="AA20" s="689"/>
      <c r="AB20" s="689"/>
      <c r="AC20" s="689"/>
      <c r="AD20" s="690"/>
    </row>
    <row r="21" spans="3:30">
      <c r="C21" s="238"/>
      <c r="W21" s="691" t="s">
        <v>985</v>
      </c>
      <c r="X21" s="692"/>
      <c r="Y21" s="692"/>
      <c r="Z21" s="693"/>
      <c r="AA21" s="694" t="s">
        <v>986</v>
      </c>
      <c r="AB21" s="695"/>
      <c r="AC21" s="695"/>
      <c r="AD21" s="696"/>
    </row>
    <row r="22" spans="3:30">
      <c r="C22" s="238"/>
      <c r="W22" s="697"/>
      <c r="X22" s="698"/>
      <c r="Y22" s="492"/>
      <c r="Z22" s="493"/>
      <c r="AA22" s="699"/>
      <c r="AB22" s="700"/>
      <c r="AC22" s="248"/>
      <c r="AD22" s="249"/>
    </row>
    <row r="23" spans="3:30">
      <c r="C23" s="238"/>
      <c r="W23" s="697"/>
      <c r="X23" s="698"/>
      <c r="Y23" s="492"/>
      <c r="Z23" s="493"/>
      <c r="AA23" s="686"/>
      <c r="AB23" s="687"/>
      <c r="AC23" s="248"/>
      <c r="AD23" s="249"/>
    </row>
    <row r="24" spans="3:30">
      <c r="C24" s="238"/>
      <c r="W24" s="681"/>
      <c r="X24" s="683"/>
      <c r="Y24" s="246"/>
      <c r="Z24" s="247"/>
      <c r="AA24" s="684"/>
      <c r="AB24" s="685"/>
      <c r="AC24" s="248"/>
      <c r="AD24" s="249"/>
    </row>
    <row r="25" spans="3:30">
      <c r="C25" s="238"/>
      <c r="W25" s="681"/>
      <c r="X25" s="683"/>
      <c r="Y25" s="246"/>
      <c r="Z25" s="247"/>
      <c r="AA25" s="686"/>
      <c r="AB25" s="687"/>
      <c r="AC25" s="248"/>
      <c r="AD25" s="249"/>
    </row>
    <row r="26" spans="3:30">
      <c r="C26" s="238"/>
      <c r="W26" s="480"/>
      <c r="X26" s="481"/>
      <c r="Y26" s="246"/>
      <c r="Z26" s="247"/>
      <c r="AA26" s="686"/>
      <c r="AB26" s="687"/>
      <c r="AC26" s="248"/>
      <c r="AD26" s="249"/>
    </row>
    <row r="27" spans="3:30">
      <c r="C27" s="238"/>
      <c r="W27" s="480"/>
      <c r="X27" s="481"/>
      <c r="Y27" s="246"/>
      <c r="Z27" s="247"/>
      <c r="AA27" s="680"/>
      <c r="AB27" s="675"/>
      <c r="AC27" s="248"/>
      <c r="AD27" s="249"/>
    </row>
    <row r="28" spans="3:30">
      <c r="C28" s="238"/>
      <c r="W28" s="480"/>
      <c r="X28" s="481"/>
      <c r="Y28" s="246"/>
      <c r="Z28" s="247"/>
      <c r="AA28" s="680"/>
      <c r="AB28" s="675"/>
      <c r="AC28" s="248"/>
      <c r="AD28" s="249"/>
    </row>
    <row r="29" spans="3:30">
      <c r="C29" s="238"/>
      <c r="W29" s="480"/>
      <c r="X29" s="481"/>
      <c r="Y29" s="246"/>
      <c r="Z29" s="247"/>
      <c r="AA29" s="680"/>
      <c r="AB29" s="675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0"/>
      <c r="AB30" s="675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0"/>
      <c r="AB31" s="675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0"/>
      <c r="AB32" s="675"/>
      <c r="AC32" s="248"/>
      <c r="AD32" s="249"/>
    </row>
    <row r="33" spans="3:30">
      <c r="C33" s="238"/>
      <c r="W33" s="480"/>
      <c r="X33" s="481"/>
      <c r="Y33" s="246"/>
      <c r="Z33" s="247"/>
      <c r="AA33" s="680"/>
      <c r="AB33" s="675"/>
      <c r="AC33" s="248"/>
      <c r="AD33" s="249"/>
    </row>
    <row r="34" spans="3:30">
      <c r="C34" s="238"/>
      <c r="W34" s="480"/>
      <c r="X34" s="481"/>
      <c r="Y34" s="246"/>
      <c r="Z34" s="247"/>
      <c r="AA34" s="680"/>
      <c r="AB34" s="675"/>
      <c r="AC34" s="248"/>
      <c r="AD34" s="249"/>
    </row>
    <row r="35" spans="3:30">
      <c r="C35" s="238"/>
      <c r="W35" s="681"/>
      <c r="X35" s="682"/>
      <c r="Y35" s="246"/>
      <c r="Z35" s="247"/>
      <c r="AA35" s="680"/>
      <c r="AB35" s="675"/>
      <c r="AC35" s="248"/>
      <c r="AD35" s="249"/>
    </row>
    <row r="36" spans="3:30">
      <c r="C36" s="238"/>
      <c r="W36" s="672"/>
      <c r="X36" s="673"/>
      <c r="Y36" s="246"/>
      <c r="Z36" s="251"/>
      <c r="AA36" s="674"/>
      <c r="AB36" s="675"/>
      <c r="AC36" s="248"/>
      <c r="AD36" s="249"/>
    </row>
    <row r="37" spans="3:30" ht="12.75" customHeight="1">
      <c r="C37" s="238"/>
      <c r="W37" s="676"/>
      <c r="X37" s="677"/>
      <c r="Y37" s="246"/>
      <c r="Z37" s="251"/>
      <c r="AA37" s="678"/>
      <c r="AB37" s="679"/>
      <c r="AC37" s="252"/>
      <c r="AD37" s="253"/>
    </row>
    <row r="38" spans="3:30" ht="12.75" customHeight="1">
      <c r="C38" s="238"/>
      <c r="W38" s="676"/>
      <c r="X38" s="677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6"/>
      <c r="X39" s="677"/>
      <c r="Y39" s="254"/>
      <c r="Z39" s="257"/>
      <c r="AA39" s="668"/>
      <c r="AB39" s="669"/>
      <c r="AC39" s="252"/>
      <c r="AD39" s="253"/>
    </row>
    <row r="40" spans="3:30" ht="12" customHeight="1">
      <c r="C40" s="238"/>
      <c r="W40" s="664"/>
      <c r="X40" s="66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6"/>
      <c r="X41" s="667"/>
      <c r="Y41" s="260"/>
      <c r="Z41" s="261"/>
      <c r="AA41" s="668"/>
      <c r="AB41" s="669"/>
      <c r="AC41" s="252"/>
      <c r="AD41" s="253"/>
    </row>
    <row r="42" spans="3:30" ht="12" customHeight="1">
      <c r="C42" s="238"/>
      <c r="W42" s="670" t="s">
        <v>1456</v>
      </c>
      <c r="X42" s="671"/>
      <c r="Y42" s="671"/>
      <c r="Z42" s="67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9" t="s">
        <v>11</v>
      </c>
      <c r="X44" s="650"/>
      <c r="Y44" s="652"/>
      <c r="Z44" s="652"/>
      <c r="AA44" s="652"/>
      <c r="AB44" s="652"/>
      <c r="AC44" s="652"/>
      <c r="AD44" s="653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9" t="s">
        <v>984</v>
      </c>
      <c r="X45" s="650"/>
      <c r="Y45" s="652">
        <v>1</v>
      </c>
      <c r="Z45" s="652"/>
      <c r="AA45" s="652"/>
      <c r="AB45" s="652" t="s">
        <v>12</v>
      </c>
      <c r="AC45" s="652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9" t="s">
        <v>15</v>
      </c>
      <c r="X46" s="650"/>
      <c r="Y46" s="663"/>
      <c r="Z46" s="663"/>
      <c r="AA46" s="663"/>
      <c r="AB46" s="652" t="s">
        <v>16</v>
      </c>
      <c r="AC46" s="652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7" t="s">
        <v>17</v>
      </c>
      <c r="X47" s="657"/>
      <c r="Y47" s="657"/>
      <c r="Z47" s="657"/>
      <c r="AA47" s="657"/>
      <c r="AB47" s="657"/>
      <c r="AC47" s="657"/>
      <c r="AD47" s="65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9" t="str">
        <f>RAB!G6</f>
        <v xml:space="preserve">PT YAXING CONSTRUKSION </v>
      </c>
      <c r="X48" s="659"/>
      <c r="Y48" s="659"/>
      <c r="Z48" s="659"/>
      <c r="AA48" s="659"/>
      <c r="AB48" s="659"/>
      <c r="AC48" s="659"/>
      <c r="AD48" s="66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9"/>
      <c r="X49" s="659"/>
      <c r="Y49" s="659"/>
      <c r="Z49" s="659"/>
      <c r="AA49" s="659"/>
      <c r="AB49" s="659"/>
      <c r="AC49" s="659"/>
      <c r="AD49" s="66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9"/>
      <c r="X50" s="659"/>
      <c r="Y50" s="659"/>
      <c r="Z50" s="659"/>
      <c r="AA50" s="659"/>
      <c r="AB50" s="659"/>
      <c r="AC50" s="659"/>
      <c r="AD50" s="66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1"/>
      <c r="X51" s="661"/>
      <c r="Y51" s="661"/>
      <c r="Z51" s="661"/>
      <c r="AA51" s="661"/>
      <c r="AB51" s="661"/>
      <c r="AC51" s="661"/>
      <c r="AD51" s="66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9" t="s">
        <v>18</v>
      </c>
      <c r="X52" s="650"/>
      <c r="Y52" s="652" t="s">
        <v>1549</v>
      </c>
      <c r="Z52" s="652"/>
      <c r="AA52" s="652"/>
      <c r="AB52" s="652"/>
      <c r="AC52" s="652"/>
      <c r="AD52" s="653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9" t="s">
        <v>19</v>
      </c>
      <c r="X53" s="650"/>
      <c r="Y53" s="652" t="s">
        <v>1549</v>
      </c>
      <c r="Z53" s="652"/>
      <c r="AA53" s="652"/>
      <c r="AB53" s="652"/>
      <c r="AC53" s="652"/>
      <c r="AD53" s="653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9" t="s">
        <v>20</v>
      </c>
      <c r="X54" s="650"/>
      <c r="Y54" s="651" t="s">
        <v>1550</v>
      </c>
      <c r="Z54" s="651"/>
      <c r="AA54" s="651"/>
      <c r="AB54" s="652"/>
      <c r="AC54" s="652"/>
      <c r="AD54" s="653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4" t="s">
        <v>21</v>
      </c>
      <c r="X55" s="655"/>
      <c r="Y55" s="651" t="s">
        <v>1551</v>
      </c>
      <c r="Z55" s="651"/>
      <c r="AA55" s="651"/>
      <c r="AB55" s="651"/>
      <c r="AC55" s="651"/>
      <c r="AD55" s="656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9" t="s">
        <v>1528</v>
      </c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1"/>
      <c r="AD4" s="217"/>
      <c r="AE4" s="216"/>
      <c r="AF4" s="216"/>
    </row>
    <row r="5" spans="2:32" ht="13.5" customHeight="1">
      <c r="B5" s="215"/>
      <c r="C5" s="215"/>
      <c r="D5" s="712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4"/>
      <c r="AD5" s="217"/>
      <c r="AE5" s="216"/>
      <c r="AF5" s="216"/>
    </row>
    <row r="6" spans="2:32" ht="12.75" customHeight="1">
      <c r="B6" s="215"/>
      <c r="C6" s="215"/>
      <c r="D6" s="712"/>
      <c r="E6" s="713"/>
      <c r="F6" s="713"/>
      <c r="G6" s="713"/>
      <c r="H6" s="713"/>
      <c r="I6" s="713"/>
      <c r="J6" s="713"/>
      <c r="K6" s="713"/>
      <c r="L6" s="713"/>
      <c r="M6" s="713"/>
      <c r="N6" s="713"/>
      <c r="O6" s="713"/>
      <c r="P6" s="713"/>
      <c r="Q6" s="713"/>
      <c r="R6" s="713"/>
      <c r="S6" s="713"/>
      <c r="T6" s="713"/>
      <c r="U6" s="713"/>
      <c r="V6" s="713"/>
      <c r="W6" s="713"/>
      <c r="X6" s="713"/>
      <c r="Y6" s="713"/>
      <c r="Z6" s="713"/>
      <c r="AA6" s="713"/>
      <c r="AB6" s="713"/>
      <c r="AC6" s="714"/>
      <c r="AE6" s="216"/>
      <c r="AF6" s="216"/>
    </row>
    <row r="7" spans="2:32" ht="12.75" customHeight="1" thickBot="1">
      <c r="B7" s="215"/>
      <c r="C7" s="215"/>
      <c r="D7" s="715"/>
      <c r="E7" s="716"/>
      <c r="F7" s="716"/>
      <c r="G7" s="716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7" zoomScale="70" zoomScaleNormal="40" zoomScaleSheetLayoutView="70" workbookViewId="0">
      <selection activeCell="U30" sqref="U30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3" t="s">
        <v>1527</v>
      </c>
      <c r="D3" s="713"/>
      <c r="E3" s="713"/>
      <c r="F3" s="713"/>
      <c r="G3" s="713"/>
      <c r="H3" s="713"/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3"/>
      <c r="T3" s="713"/>
      <c r="U3" s="713"/>
      <c r="V3" s="713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3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8" t="s">
        <v>1630</v>
      </c>
      <c r="D6" s="718"/>
      <c r="E6" s="718"/>
      <c r="F6" s="718"/>
      <c r="G6" s="718"/>
      <c r="H6" s="718"/>
      <c r="I6" s="718"/>
      <c r="J6" s="718"/>
      <c r="K6" s="718"/>
      <c r="L6" s="718"/>
      <c r="M6" s="718"/>
      <c r="W6" s="182"/>
      <c r="Y6" s="428"/>
      <c r="Z6" s="428"/>
      <c r="AA6" s="428"/>
      <c r="AB6" s="429"/>
      <c r="AC6" s="429"/>
    </row>
    <row r="7" spans="1:29" ht="18" customHeight="1">
      <c r="A7" s="181"/>
      <c r="C7" s="718"/>
      <c r="D7" s="718"/>
      <c r="E7" s="718"/>
      <c r="F7" s="718"/>
      <c r="G7" s="718"/>
      <c r="H7" s="718"/>
      <c r="I7" s="718"/>
      <c r="J7" s="718"/>
      <c r="K7" s="718"/>
      <c r="L7" s="718"/>
      <c r="M7" s="718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2024-03-06T08:47:23Z</dcterms:modified>
</cp:coreProperties>
</file>