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766AD7DB-C75A-4260-80DB-A3A64676F102}" xr6:coauthVersionLast="47" xr6:coauthVersionMax="47" xr10:uidLastSave="{00000000-0000-0000-0000-000000000000}"/>
  <bookViews>
    <workbookView xWindow="-120" yWindow="-120" windowWidth="29040" windowHeight="1572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8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hidden="1">[13]graf2!$D$14:$L$14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hidden="1">[13]graf2!$D$8:$L$8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hidden="1">[13]graf2!$D$12:$L$12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hidden="1">[13]graf2!$D$8:$L$8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hidden="1">[13]graf2!$D$12:$L$12</definedName>
    <definedName name="_6__123Graph_CCHART_2" localSheetId="10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hidden="1">[13]graf2!$D$10:$L$10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hidden="1">[13]graf2!$D$14:$L$14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[18]JAN09!#REF!</definedName>
    <definedName name="and" localSheetId="9">[18]JAN09!#REF!</definedName>
    <definedName name="and" localSheetId="7">[18]JAN09!#REF!</definedName>
    <definedName name="and">[18]JAN09!#REF!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[19]Area_Data!$C$7:$Y$29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9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9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'[19]Service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[33]JAN07!#REF!</definedName>
    <definedName name="dc" localSheetId="9">[34]JAN07!#REF!</definedName>
    <definedName name="dc" localSheetId="7">[33]JAN07!#REF!</definedName>
    <definedName name="dc" localSheetId="5">[34]JAN07!#REF!</definedName>
    <definedName name="dc">[34]JAN07!#REF!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[38]JAN07!#REF!</definedName>
    <definedName name="FEEDERGGNSLG" localSheetId="6">[14]JAN07!#REF!</definedName>
    <definedName name="FEEDERGGNSLG" localSheetId="7">[14]JAN07!#REF!</definedName>
    <definedName name="FEEDERGGNSLG">[38]JAN07!#REF!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10">INDEX([41]KKO!#REF!,MATCH([41]KKO!#REF!:[41]KKO!#REF!,0)*2)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 localSheetId="10">[43]Format!$AA$1:$AG$1</definedName>
    <definedName name="hari">[44]Format!$AA$1:$AG$1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'[45]MATERIAL juni 05'!$A$1:$AH$65536</definedName>
    <definedName name="HMRIEL">'[45]UPDATE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[46]DTU!$B$2:$D$48</definedName>
    <definedName name="input" localSheetId="6">'[47]Neraca seAPJ'!#REF!</definedName>
    <definedName name="input" localSheetId="9">'[47]Neraca seAPJ'!#REF!</definedName>
    <definedName name="input" localSheetId="7">'[47]Neraca seAPJ'!#REF!</definedName>
    <definedName name="input" localSheetId="5">'[47]Neraca seAPJ'!#REF!</definedName>
    <definedName name="input">'[47]Neraca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9">[17]JAN09!#REF!</definedName>
    <definedName name="ips" localSheetId="5">[17]JAN09!#REF!</definedName>
    <definedName name="ips">[17]JAN09!#REF!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'[48]W-NAD'!#REF!</definedName>
    <definedName name="JAJA" localSheetId="7">'[48]W-NAD'!#REF!</definedName>
    <definedName name="JAJA">'[48]W-NAD'!#REF!</definedName>
    <definedName name="jamkerja">'[49]D2. ANALISA HS INSHAR'!$D$2</definedName>
    <definedName name="JamKerja01">'[50]E3. ANALISA HS HAR TEK SUTM'!$D$2</definedName>
    <definedName name="jamkerjaentri" localSheetId="6">'[49]D2. ANALISA HS INSHAR'!#REF!</definedName>
    <definedName name="jamkerjaentri" localSheetId="9">'[49]D2. ANALISA HS INSHAR'!#REF!</definedName>
    <definedName name="jamkerjaentri" localSheetId="7">'[49]D2. ANALISA HS INSHAR'!#REF!</definedName>
    <definedName name="jamkerjaentri" localSheetId="5">'[49]D2. ANALISA HS INSHAR'!#REF!</definedName>
    <definedName name="jamkerjaentri">'[49]D2. ANALISA HS INSHAR'!#REF!</definedName>
    <definedName name="jamkerjahar">'[50]E6.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[51]Jasa!$B$1:$F$65536</definedName>
    <definedName name="jasa.">[51]Jasa!$B$1:$F$65536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[52]data!$F$2:$F$4</definedName>
    <definedName name="jenis_pph">[52]data!$E$2:$E$7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[18]JAN09!#REF!</definedName>
    <definedName name="kal" localSheetId="7">[18]JAN09!#REF!</definedName>
    <definedName name="kal">[18]JAN09!#REF!</definedName>
    <definedName name="KALIKDS" localSheetId="6">[14]JAN07!#REF!</definedName>
    <definedName name="KALIKDS" localSheetId="7">[14]JAN07!#REF!</definedName>
    <definedName name="KALIKDS">[38]JAN07!#REF!</definedName>
    <definedName name="KALISLG" localSheetId="6">[14]JAN07!#REF!</definedName>
    <definedName name="KALISLG" localSheetId="7">[14]JAN07!#REF!</definedName>
    <definedName name="KALISLG">[38]JAN07!#REF!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[20]Usulan!#REF!</definedName>
    <definedName name="KK" localSheetId="7">[20]Usulan!#REF!</definedName>
    <definedName name="KK">[20]Usulan!#REF!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[53]Cover!$C$5</definedName>
    <definedName name="KursUSD">[54]Asumsi!$E$9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10">INDEX([41]PDL!$B$1:$B$3,IFERROR(MATCH([41]KKO!$D$15,[41]PDL!$A$1:$A$2,),3))</definedName>
    <definedName name="Kutools_PDL0_1">INDEX(PDL!$B$1:$B$3,IFERROR(MATCH(KKO!$D$15,PDL!$A$1:$A$2,),3))</definedName>
    <definedName name="Kutools_PDL1_1" localSheetId="10">INDEX([41]PDL!$D$4:$D$6,IFERROR(MATCH([41]KKO!$D$15,[41]PDL!$C$4:$C$5,),3))</definedName>
    <definedName name="Kutools_PDL1_1">INDEX(PDL!$D$4:$D$6,IFERROR(MATCH(KKO!$D$15,PDL!$C$4:$C$5,),3))</definedName>
    <definedName name="Kutools_PDL10_1" localSheetId="10">INDEX([41]PDL!$V$31:$V$33,IFERROR(MATCH([41]KKO!$K$15,[41]PDL!$U$31:$U$32,),3))</definedName>
    <definedName name="Kutools_PDL10_1">INDEX(PDL!$V$31:$V$33,IFERROR(MATCH(KKO!$K$15,PDL!$U$31:$U$32,),3))</definedName>
    <definedName name="Kutools_PDL2_1" localSheetId="10">INDEX([41]PDL!$F$7:$F$9,IFERROR(MATCH([41]KKO!$K$15,[41]PDL!$E$7:$E$8,),3))</definedName>
    <definedName name="Kutools_PDL2_1">INDEX(PDL!$F$7:$F$9,IFERROR(MATCH(KKO!$K$15,PDL!$E$7:$E$8,),3))</definedName>
    <definedName name="Kutools_PDL3_1" localSheetId="10">INDEX([41]PDL!$H$10:$H$12,IFERROR(MATCH([41]KKO!$D$15,[41]PDL!$G$10:$G$11,),3))</definedName>
    <definedName name="Kutools_PDL3_1">INDEX(PDL!$H$10:$H$12,IFERROR(MATCH(KKO!$D$15,PDL!$G$10:$G$11,),3))</definedName>
    <definedName name="Kutools_PDL4_1" localSheetId="10">INDEX([41]PDL!$J$13:$J$15,IFERROR(MATCH([41]KKO!$D$15,[41]PDL!$I$13:$I$14,),3))</definedName>
    <definedName name="Kutools_PDL4_1">INDEX(PDL!$J$13:$J$15,IFERROR(MATCH(KKO!$D$15,PDL!$I$13:$I$14,),3))</definedName>
    <definedName name="Kutools_PDL5_1" localSheetId="10">INDEX([41]PDL!$L$16:$L$18,IFERROR(MATCH([41]KKO!$K$15,[41]PDL!$K$16:$K$17,),3))</definedName>
    <definedName name="Kutools_PDL5_1">INDEX(PDL!$L$16:$L$18,IFERROR(MATCH(KKO!$K$15,PDL!$K$16:$K$17,),3))</definedName>
    <definedName name="Kutools_PDL6_1" localSheetId="10">INDEX([41]PDL!$N$19:$N$21,IFERROR(MATCH([41]KKO!$D$15,[41]PDL!$M$19:$M$20,),3))</definedName>
    <definedName name="Kutools_PDL6_1">INDEX(PDL!$N$19:$N$21,IFERROR(MATCH(KKO!$D$15,PDL!$M$19:$M$20,),3))</definedName>
    <definedName name="Kutools_PDL7_1" localSheetId="10">INDEX([41]PDL!$P$22:$P$24,IFERROR(MATCH([41]KKO!$D$15,[41]PDL!$O$22:$O$23,),3))</definedName>
    <definedName name="Kutools_PDL7_1">INDEX(PDL!$P$22:$P$24,IFERROR(MATCH(KKO!$D$15,PDL!$O$22:$O$23,),3))</definedName>
    <definedName name="Kutools_PDL8_1" localSheetId="10">INDEX([41]PDL!$R$25:$R$27,IFERROR(MATCH([41]KKO!$D$15,[41]PDL!$Q$25:$Q$26,),3))</definedName>
    <definedName name="Kutools_PDL8_1">INDEX(PDL!$R$25:$R$27,IFERROR(MATCH(KKO!$D$15,PDL!$Q$25:$Q$26,),3))</definedName>
    <definedName name="Kutools_PDL9_1" localSheetId="10">INDEX([41]PDL!$T$28:$T$30,IFERROR(MATCH([41]KKO!$D$15,[41]PDL!$S$28:$S$29,),3))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[55]PMT!#REF!</definedName>
    <definedName name="l" localSheetId="7">[55]PMT!#REF!</definedName>
    <definedName name="l">[55]PMT!#REF!</definedName>
    <definedName name="L_19" localSheetId="6">'[56]FORM-B'!#REF!</definedName>
    <definedName name="L_19" localSheetId="7">'[56]FORM-B'!#REF!</definedName>
    <definedName name="L_19">'[56]FORM-B'!#REF!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[57]Asumsi!$V$2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[58]INPBA!$F$2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INDIRECT("Areas_"&amp;'[19]Working Page'!$B$47)</definedName>
    <definedName name="Listrik">'[59]AHS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'[56]FORM-B'!#REF!</definedName>
    <definedName name="M_19" localSheetId="7">'[56]FORM-B'!#REF!</definedName>
    <definedName name="M_19">'[56]FORM-B'!#REF!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[51]Mat!$B$1:$L$65536</definedName>
    <definedName name="mat.">[51]Mat!$B$1:$L$65536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[60]aruskas!$A$110:$T$180</definedName>
    <definedName name="MD_19">[61]aruskas!$A$110:$T$180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'[62]Standar Konstruksi'!$G$29:$G$29</definedName>
    <definedName name="MmExcelLinker_56E02BF7_1622_44A2_A1B4_91C09D796B1E" localSheetId="7">KKF!RAB-PER '[62]Standar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[63]Cover!$B$7</definedName>
    <definedName name="NEGO" localSheetId="6">[20]Usulan!#REF!</definedName>
    <definedName name="NEGO" localSheetId="9">[20]Usulan!#REF!</definedName>
    <definedName name="NEGO" localSheetId="7">[20]Usulan!#REF!</definedName>
    <definedName name="NEGO" localSheetId="5">[20]Usulan!#REF!</definedName>
    <definedName name="NEGO">[20]Usulan!#REF!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[64]Valuation!$I$53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[65]TABEL!$A$2:$A$81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10">[41]KKO!#REF!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[55]PMT!$D$12:$D$55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[52]data!$G$2:$G$54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9">GAMBAR!$B$1:$AC$55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RAB!$A$1:$K$127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[66]JURNAL!#REF!</definedName>
    <definedName name="PUR" localSheetId="7">[66]JURNAL!#REF!</definedName>
    <definedName name="PUR">[66]JURNAL!#REF!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9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9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'[66]BB PUSAT'!$A$1:$C$65536</definedName>
    <definedName name="Regions">OFFSET('[19]Working Page'!$B$8,0,0,COUNTA('[19]Working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[67]JAN07!#REF!</definedName>
    <definedName name="rtyu" localSheetId="7">[67]JAN07!#REF!</definedName>
    <definedName name="rtyu">[68]JAN07!#REF!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[69]PICKUP!$D$12</definedName>
    <definedName name="SAPBEXwbID" hidden="1">"41NCAAE5PJZ8D7N0HEXL0B90R"</definedName>
    <definedName name="sasa" localSheetId="6">[17]JAN09!#REF!</definedName>
    <definedName name="sasa" localSheetId="9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'[70]Rekap PMG.'!$A$10:$E$51</definedName>
    <definedName name="SATUAN">'[70]Rekap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[71]x!$G$9:$G$47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[46]DTU!$B$2:$D$48</definedName>
    <definedName name="sdffA" localSheetId="6">[17]JAN09!#REF!</definedName>
    <definedName name="sdffA" localSheetId="9">[17]JAN09!#REF!</definedName>
    <definedName name="sdffA" localSheetId="7">[17]JAN09!#REF!</definedName>
    <definedName name="sdffA" localSheetId="5">[17]JAN09!#REF!</definedName>
    <definedName name="sdffA">[17]JAN09!#REF!</definedName>
    <definedName name="sds">'[72]master rab'!$B$1:$H$65536</definedName>
    <definedName name="seapj">'[47]Neraca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[73]LAIN2!$Z$7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[73]LAIN2!$Z$5</definedName>
    <definedName name="serib">[73]LAIN2!$Z$6</definedName>
    <definedName name="Service_Mapping">'[19]Service Mapping'!$C$6:$Y$39</definedName>
    <definedName name="sewadetektorkabel_har">'[59]AHS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'[59]AHS - Non Personel'!$D$27</definedName>
    <definedName name="SewaKantorBulan">'[59]AHS - Non Personel'!$D$23</definedName>
    <definedName name="SewaKomHari">#N/A</definedName>
    <definedName name="SewaLaptopBln">#N/A</definedName>
    <definedName name="SewaMejaKursi">'[59]AHS - Non Personel'!$D$32</definedName>
    <definedName name="SewaMobil">#N/A</definedName>
    <definedName name="sewamobilbak_hari">'[59]AHS - Non Personel'!$D$29</definedName>
    <definedName name="SewaMotorBln">#N/A</definedName>
    <definedName name="SewaMotorHari">#N/A</definedName>
    <definedName name="SewaRumahBulan">'[59]AHS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[74]Sensitivitas!$D$26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>[75]HB2!$A$1:$L$65536</definedName>
    <definedName name="stdpln">'[76]HB BARU'!$A$1:$J$780</definedName>
    <definedName name="stok">[66]DTstok!$A$1:$B$65536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'[77]master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[78]SuMBER!$N$3:$FO$21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[67]JAN07!#REF!</definedName>
    <definedName name="swed" localSheetId="7">[67]JAN07!#REF!</definedName>
    <definedName name="swed">[68]JAN07!#REF!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[79]Sheet1!$E$2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 localSheetId="10">[80]bantu!$M$5:$X$5</definedName>
    <definedName name="Tahun">[81]bantu!$M$5:$X$5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[58]INPBA!$F$2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[73]LAIN2!$Z$10</definedName>
    <definedName name="trp">[15]x!$B$9:$B$47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[64]Valuation!$I$61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'[82]Rekap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[83]Usulan!#REF!</definedName>
    <definedName name="usul" localSheetId="9">[83]Usulan!#REF!</definedName>
    <definedName name="usul" localSheetId="7">[83]Usulan!#REF!</definedName>
    <definedName name="usul" localSheetId="5">[83]Usulan!#REF!</definedName>
    <definedName name="usul">[83]Usulan!#REF!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[18]JAN09!#REF!</definedName>
    <definedName name="WATES" localSheetId="7">[18]JAN09!#REF!</definedName>
    <definedName name="WATES">[18]JAN09!#REF!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[67]JAN07!#REF!</definedName>
    <definedName name="x" localSheetId="7">[67]JAN07!#REF!</definedName>
    <definedName name="x">[68]JAN07!#REF!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[67]JAN07!#REF!</definedName>
    <definedName name="xs" localSheetId="9">[68]JAN07!#REF!</definedName>
    <definedName name="xs" localSheetId="7">[67]JAN07!#REF!</definedName>
    <definedName name="xs" localSheetId="5">[68]JAN07!#REF!</definedName>
    <definedName name="xs">[68]JAN07!#REF!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('[84]Submission Form'!$A$4:$C$5,'[84]Submission Form'!$D$7,'[84]Submission Form'!$D$10:$D$11,'[84]Submission Form'!$D$17:$D$26,'[84]Submission Form'!$D$33)</definedName>
    <definedName name="zz">'[60]Hal-1'!$M$33:$M$33</definedName>
    <definedName name="zz_19">'[61]Hal-1'!$M$33:$M$33</definedName>
    <definedName name="zzz">[60]aruskas!$A$110:$T$180</definedName>
    <definedName name="zzz_19">[61]aruskas!$A$110:$T$180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2" i="11" l="1"/>
  <c r="E72" i="11"/>
  <c r="D72" i="11"/>
  <c r="J72" i="11" s="1"/>
  <c r="G64" i="11"/>
  <c r="E64" i="11"/>
  <c r="D64" i="11"/>
  <c r="J64" i="11" s="1"/>
  <c r="F74" i="11"/>
  <c r="F69" i="11"/>
  <c r="F68" i="11"/>
  <c r="F67" i="11"/>
  <c r="F66" i="11"/>
  <c r="G71" i="11"/>
  <c r="E71" i="11"/>
  <c r="D71" i="11"/>
  <c r="G70" i="11"/>
  <c r="E70" i="11"/>
  <c r="D70" i="11"/>
  <c r="G69" i="11"/>
  <c r="E69" i="11"/>
  <c r="D69" i="11"/>
  <c r="G68" i="11"/>
  <c r="E68" i="11"/>
  <c r="D68" i="11"/>
  <c r="H68" i="11" s="1"/>
  <c r="G67" i="11"/>
  <c r="E67" i="11"/>
  <c r="D67" i="11"/>
  <c r="J67" i="11" s="1"/>
  <c r="G66" i="11"/>
  <c r="E66" i="11"/>
  <c r="D66" i="11"/>
  <c r="J66" i="11" s="1"/>
  <c r="G65" i="11"/>
  <c r="E65" i="11"/>
  <c r="D65" i="11"/>
  <c r="I65" i="11" s="1"/>
  <c r="G63" i="11"/>
  <c r="E63" i="11"/>
  <c r="D63" i="11"/>
  <c r="H63" i="11" s="1"/>
  <c r="G76" i="11"/>
  <c r="E76" i="11"/>
  <c r="D76" i="11"/>
  <c r="J76" i="11" s="1"/>
  <c r="G75" i="11"/>
  <c r="E75" i="11"/>
  <c r="D75" i="11"/>
  <c r="G74" i="11"/>
  <c r="E74" i="11"/>
  <c r="D74" i="11"/>
  <c r="I74" i="11" s="1"/>
  <c r="G73" i="11"/>
  <c r="E73" i="11"/>
  <c r="D73" i="11"/>
  <c r="G78" i="11"/>
  <c r="E78" i="11"/>
  <c r="D78" i="11"/>
  <c r="J78" i="11" s="1"/>
  <c r="G77" i="11"/>
  <c r="E77" i="11"/>
  <c r="D77" i="11"/>
  <c r="J77" i="11" s="1"/>
  <c r="G79" i="11"/>
  <c r="E79" i="11"/>
  <c r="D79" i="11"/>
  <c r="J79" i="11" s="1"/>
  <c r="E15" i="11"/>
  <c r="E16" i="11"/>
  <c r="J15" i="11"/>
  <c r="V48" i="68"/>
  <c r="E5" i="68"/>
  <c r="D86" i="11"/>
  <c r="D87" i="11"/>
  <c r="D88" i="11"/>
  <c r="D89" i="11"/>
  <c r="D90" i="11"/>
  <c r="D91" i="11"/>
  <c r="F53" i="11"/>
  <c r="D82" i="11"/>
  <c r="D83" i="11"/>
  <c r="D84" i="11"/>
  <c r="D85" i="11"/>
  <c r="F88" i="11"/>
  <c r="F86" i="11"/>
  <c r="F85" i="11"/>
  <c r="F84" i="11"/>
  <c r="F52" i="11"/>
  <c r="F51" i="11"/>
  <c r="F50" i="11"/>
  <c r="F49" i="11"/>
  <c r="F48" i="11"/>
  <c r="F47" i="11"/>
  <c r="F46" i="11"/>
  <c r="F45" i="11"/>
  <c r="F44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H72" i="11" l="1"/>
  <c r="I72" i="11"/>
  <c r="K72" i="11" s="1"/>
  <c r="J71" i="11"/>
  <c r="H64" i="11"/>
  <c r="I64" i="11"/>
  <c r="J70" i="11"/>
  <c r="J75" i="11"/>
  <c r="H73" i="11"/>
  <c r="J65" i="11"/>
  <c r="H66" i="11"/>
  <c r="H67" i="11"/>
  <c r="I69" i="11"/>
  <c r="J69" i="11"/>
  <c r="H70" i="11"/>
  <c r="H71" i="11"/>
  <c r="I63" i="11"/>
  <c r="I68" i="11"/>
  <c r="J63" i="11"/>
  <c r="I67" i="11"/>
  <c r="K67" i="11" s="1"/>
  <c r="J68" i="11"/>
  <c r="I71" i="11"/>
  <c r="H65" i="11"/>
  <c r="K65" i="11" s="1"/>
  <c r="I66" i="11"/>
  <c r="H69" i="11"/>
  <c r="I70" i="11"/>
  <c r="J74" i="11"/>
  <c r="H75" i="11"/>
  <c r="H76" i="11"/>
  <c r="I76" i="11"/>
  <c r="H74" i="11"/>
  <c r="K74" i="11" s="1"/>
  <c r="I75" i="11"/>
  <c r="I73" i="11"/>
  <c r="J73" i="11"/>
  <c r="H79" i="11"/>
  <c r="H77" i="11"/>
  <c r="H78" i="11"/>
  <c r="I78" i="11"/>
  <c r="I77" i="11"/>
  <c r="I79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3" i="11"/>
  <c r="G44" i="11"/>
  <c r="G45" i="11"/>
  <c r="G46" i="11"/>
  <c r="G47" i="11"/>
  <c r="G48" i="11"/>
  <c r="G49" i="11"/>
  <c r="G50" i="11"/>
  <c r="G51" i="11"/>
  <c r="G52" i="11"/>
  <c r="G53" i="11"/>
  <c r="G55" i="11"/>
  <c r="G56" i="11"/>
  <c r="G57" i="11"/>
  <c r="G58" i="11"/>
  <c r="G59" i="11"/>
  <c r="D18" i="11"/>
  <c r="H18" i="11" s="1"/>
  <c r="E18" i="11"/>
  <c r="D19" i="11"/>
  <c r="J19" i="11" s="1"/>
  <c r="E19" i="11"/>
  <c r="D20" i="11"/>
  <c r="I20" i="11" s="1"/>
  <c r="E20" i="11"/>
  <c r="D21" i="11"/>
  <c r="H21" i="11" s="1"/>
  <c r="E21" i="11"/>
  <c r="D22" i="11"/>
  <c r="H22" i="11" s="1"/>
  <c r="E22" i="11"/>
  <c r="D23" i="11"/>
  <c r="J23" i="11" s="1"/>
  <c r="E23" i="11"/>
  <c r="D24" i="11"/>
  <c r="I24" i="11" s="1"/>
  <c r="E24" i="11"/>
  <c r="D25" i="11"/>
  <c r="E25" i="11"/>
  <c r="D26" i="11"/>
  <c r="H26" i="11" s="1"/>
  <c r="E26" i="11"/>
  <c r="D27" i="11"/>
  <c r="J27" i="11" s="1"/>
  <c r="E27" i="11"/>
  <c r="D28" i="11"/>
  <c r="E28" i="11"/>
  <c r="D29" i="11"/>
  <c r="H29" i="11" s="1"/>
  <c r="E29" i="11"/>
  <c r="D30" i="11"/>
  <c r="H30" i="11" s="1"/>
  <c r="E30" i="11"/>
  <c r="D31" i="11"/>
  <c r="J31" i="11" s="1"/>
  <c r="E31" i="11"/>
  <c r="D32" i="11"/>
  <c r="E32" i="11"/>
  <c r="D33" i="11"/>
  <c r="H33" i="11" s="1"/>
  <c r="E33" i="11"/>
  <c r="D34" i="11"/>
  <c r="H34" i="11" s="1"/>
  <c r="E34" i="11"/>
  <c r="D35" i="11"/>
  <c r="J35" i="11" s="1"/>
  <c r="E35" i="11"/>
  <c r="D36" i="11"/>
  <c r="E36" i="11"/>
  <c r="D37" i="11"/>
  <c r="H37" i="11" s="1"/>
  <c r="E37" i="11"/>
  <c r="D38" i="11"/>
  <c r="H38" i="11" s="1"/>
  <c r="E38" i="11"/>
  <c r="D39" i="11"/>
  <c r="J39" i="11" s="1"/>
  <c r="E39" i="11"/>
  <c r="D40" i="11"/>
  <c r="I40" i="11" s="1"/>
  <c r="E40" i="11"/>
  <c r="D41" i="11"/>
  <c r="H41" i="11" s="1"/>
  <c r="E41" i="11"/>
  <c r="D43" i="11"/>
  <c r="H43" i="11" s="1"/>
  <c r="E43" i="11"/>
  <c r="D44" i="11"/>
  <c r="J44" i="11" s="1"/>
  <c r="E44" i="11"/>
  <c r="D45" i="11"/>
  <c r="E45" i="11"/>
  <c r="D46" i="11"/>
  <c r="H46" i="11" s="1"/>
  <c r="E46" i="11"/>
  <c r="D47" i="11"/>
  <c r="H47" i="11" s="1"/>
  <c r="E47" i="11"/>
  <c r="D48" i="11"/>
  <c r="J48" i="11" s="1"/>
  <c r="E48" i="11"/>
  <c r="D49" i="11"/>
  <c r="E49" i="11"/>
  <c r="D50" i="11"/>
  <c r="H50" i="11" s="1"/>
  <c r="E50" i="11"/>
  <c r="D51" i="11"/>
  <c r="H51" i="11" s="1"/>
  <c r="E51" i="11"/>
  <c r="D52" i="11"/>
  <c r="E52" i="11"/>
  <c r="D53" i="11"/>
  <c r="E53" i="11"/>
  <c r="D55" i="11"/>
  <c r="I55" i="11" s="1"/>
  <c r="E55" i="11"/>
  <c r="D56" i="11"/>
  <c r="H56" i="11" s="1"/>
  <c r="E56" i="11"/>
  <c r="D57" i="11"/>
  <c r="H57" i="11" s="1"/>
  <c r="E57" i="11"/>
  <c r="D58" i="11"/>
  <c r="J58" i="11" s="1"/>
  <c r="E58" i="11"/>
  <c r="D59" i="11"/>
  <c r="E59" i="11"/>
  <c r="D60" i="11"/>
  <c r="E60" i="11"/>
  <c r="D61" i="11"/>
  <c r="E61" i="11"/>
  <c r="G15" i="11"/>
  <c r="H15" i="11" s="1"/>
  <c r="G14" i="11"/>
  <c r="E14" i="11"/>
  <c r="D14" i="11"/>
  <c r="J14" i="11" s="1"/>
  <c r="G16" i="11"/>
  <c r="D16" i="11"/>
  <c r="G80" i="11"/>
  <c r="E80" i="11"/>
  <c r="D80" i="11"/>
  <c r="J80" i="11" s="1"/>
  <c r="G7" i="11"/>
  <c r="V2" i="68"/>
  <c r="J90" i="11"/>
  <c r="E90" i="11"/>
  <c r="G90" i="11"/>
  <c r="F61" i="11"/>
  <c r="F60" i="11"/>
  <c r="F59" i="11"/>
  <c r="F58" i="11"/>
  <c r="F57" i="11"/>
  <c r="G62" i="11"/>
  <c r="E62" i="11"/>
  <c r="D62" i="11"/>
  <c r="G61" i="11"/>
  <c r="G60" i="11"/>
  <c r="G81" i="11"/>
  <c r="E81" i="11"/>
  <c r="D81" i="11"/>
  <c r="J81" i="11" s="1"/>
  <c r="G89" i="11"/>
  <c r="E89" i="11"/>
  <c r="G88" i="11"/>
  <c r="E88" i="11"/>
  <c r="H88" i="11"/>
  <c r="G87" i="11"/>
  <c r="H87" i="11" s="1"/>
  <c r="E87" i="11"/>
  <c r="J87" i="11"/>
  <c r="G86" i="11"/>
  <c r="E86" i="11"/>
  <c r="G85" i="11"/>
  <c r="E85" i="11"/>
  <c r="J84" i="11"/>
  <c r="I84" i="11"/>
  <c r="G84" i="11"/>
  <c r="H84" i="11" s="1"/>
  <c r="E84" i="11"/>
  <c r="G83" i="11"/>
  <c r="E83" i="11"/>
  <c r="H83" i="11"/>
  <c r="K64" i="11" l="1"/>
  <c r="K66" i="11"/>
  <c r="K69" i="11"/>
  <c r="K75" i="11"/>
  <c r="K70" i="11"/>
  <c r="K71" i="11"/>
  <c r="K63" i="11"/>
  <c r="K78" i="11"/>
  <c r="K76" i="11"/>
  <c r="K68" i="11"/>
  <c r="K77" i="11"/>
  <c r="K73" i="11"/>
  <c r="K79" i="11"/>
  <c r="H25" i="11"/>
  <c r="J53" i="11"/>
  <c r="J52" i="11"/>
  <c r="I49" i="11"/>
  <c r="I45" i="11"/>
  <c r="I36" i="11"/>
  <c r="I32" i="11"/>
  <c r="I28" i="11"/>
  <c r="I59" i="11"/>
  <c r="I52" i="11"/>
  <c r="I35" i="11"/>
  <c r="I19" i="11"/>
  <c r="I48" i="11"/>
  <c r="I31" i="11"/>
  <c r="I44" i="11"/>
  <c r="I27" i="11"/>
  <c r="I58" i="11"/>
  <c r="I53" i="11"/>
  <c r="I39" i="11"/>
  <c r="I23" i="11"/>
  <c r="H58" i="11"/>
  <c r="K58" i="11" s="1"/>
  <c r="I57" i="11"/>
  <c r="J56" i="11"/>
  <c r="H53" i="11"/>
  <c r="H52" i="11"/>
  <c r="I51" i="11"/>
  <c r="J50" i="11"/>
  <c r="H48" i="11"/>
  <c r="I47" i="11"/>
  <c r="J46" i="11"/>
  <c r="H44" i="11"/>
  <c r="I43" i="11"/>
  <c r="J41" i="11"/>
  <c r="H39" i="11"/>
  <c r="I38" i="11"/>
  <c r="J37" i="11"/>
  <c r="H35" i="11"/>
  <c r="I34" i="11"/>
  <c r="J33" i="11"/>
  <c r="H31" i="11"/>
  <c r="I30" i="11"/>
  <c r="J29" i="11"/>
  <c r="H27" i="11"/>
  <c r="I26" i="11"/>
  <c r="J25" i="11"/>
  <c r="H23" i="11"/>
  <c r="I22" i="11"/>
  <c r="J21" i="11"/>
  <c r="H19" i="11"/>
  <c r="I18" i="11"/>
  <c r="H59" i="11"/>
  <c r="J57" i="11"/>
  <c r="H55" i="11"/>
  <c r="J51" i="11"/>
  <c r="H49" i="11"/>
  <c r="J47" i="11"/>
  <c r="H45" i="11"/>
  <c r="J43" i="11"/>
  <c r="H40" i="11"/>
  <c r="J38" i="11"/>
  <c r="H36" i="11"/>
  <c r="J34" i="11"/>
  <c r="H32" i="11"/>
  <c r="J30" i="11"/>
  <c r="H28" i="11"/>
  <c r="J26" i="11"/>
  <c r="H24" i="11"/>
  <c r="J22" i="11"/>
  <c r="H20" i="11"/>
  <c r="J18" i="11"/>
  <c r="J59" i="11"/>
  <c r="I56" i="11"/>
  <c r="J55" i="11"/>
  <c r="I50" i="11"/>
  <c r="J49" i="11"/>
  <c r="I46" i="11"/>
  <c r="J45" i="11"/>
  <c r="I41" i="11"/>
  <c r="J40" i="11"/>
  <c r="I37" i="11"/>
  <c r="K37" i="11" s="1"/>
  <c r="J36" i="11"/>
  <c r="I33" i="11"/>
  <c r="J32" i="11"/>
  <c r="I29" i="11"/>
  <c r="J28" i="11"/>
  <c r="I25" i="11"/>
  <c r="J24" i="11"/>
  <c r="I21" i="11"/>
  <c r="K21" i="11" s="1"/>
  <c r="J20" i="11"/>
  <c r="J16" i="11"/>
  <c r="H16" i="11"/>
  <c r="H14" i="11"/>
  <c r="I15" i="11"/>
  <c r="I14" i="11"/>
  <c r="I16" i="11"/>
  <c r="J62" i="11"/>
  <c r="H80" i="11"/>
  <c r="I80" i="11"/>
  <c r="H90" i="11"/>
  <c r="I90" i="11"/>
  <c r="J61" i="11"/>
  <c r="I60" i="11"/>
  <c r="J60" i="11"/>
  <c r="H60" i="11"/>
  <c r="H62" i="11"/>
  <c r="H61" i="11"/>
  <c r="I62" i="11"/>
  <c r="I61" i="11"/>
  <c r="H81" i="11"/>
  <c r="K84" i="11"/>
  <c r="I81" i="11"/>
  <c r="J88" i="11"/>
  <c r="I85" i="11"/>
  <c r="I86" i="11"/>
  <c r="J89" i="11"/>
  <c r="I83" i="11"/>
  <c r="J85" i="11"/>
  <c r="J86" i="11"/>
  <c r="H89" i="11"/>
  <c r="J83" i="11"/>
  <c r="I89" i="11"/>
  <c r="H85" i="11"/>
  <c r="H86" i="11"/>
  <c r="I87" i="11"/>
  <c r="I88" i="11"/>
  <c r="F105" i="11"/>
  <c r="F104" i="11"/>
  <c r="F103" i="11"/>
  <c r="F102" i="11"/>
  <c r="F101" i="11"/>
  <c r="F98" i="11"/>
  <c r="F97" i="11"/>
  <c r="F96" i="11"/>
  <c r="F95" i="11"/>
  <c r="F94" i="11"/>
  <c r="F93" i="11"/>
  <c r="F92" i="11"/>
  <c r="K31" i="11" l="1"/>
  <c r="K52" i="11"/>
  <c r="K48" i="11"/>
  <c r="K23" i="11"/>
  <c r="K33" i="11"/>
  <c r="K50" i="11"/>
  <c r="K35" i="11"/>
  <c r="K44" i="11"/>
  <c r="K39" i="11"/>
  <c r="K53" i="11"/>
  <c r="K24" i="11"/>
  <c r="K32" i="11"/>
  <c r="K19" i="11"/>
  <c r="K29" i="11"/>
  <c r="K46" i="11"/>
  <c r="K27" i="11"/>
  <c r="K38" i="11"/>
  <c r="K18" i="11"/>
  <c r="K34" i="11"/>
  <c r="K51" i="11"/>
  <c r="K40" i="11"/>
  <c r="K49" i="11"/>
  <c r="K55" i="11"/>
  <c r="K25" i="11"/>
  <c r="K30" i="11"/>
  <c r="K41" i="11"/>
  <c r="K47" i="11"/>
  <c r="K56" i="11"/>
  <c r="K26" i="11"/>
  <c r="K43" i="11"/>
  <c r="K57" i="11"/>
  <c r="K22" i="11"/>
  <c r="K20" i="11"/>
  <c r="K28" i="11"/>
  <c r="K36" i="11"/>
  <c r="K45" i="11"/>
  <c r="K59" i="11"/>
  <c r="K15" i="11"/>
  <c r="K16" i="11"/>
  <c r="K14" i="11"/>
  <c r="K80" i="11"/>
  <c r="K90" i="11"/>
  <c r="K81" i="11"/>
  <c r="K60" i="11"/>
  <c r="K61" i="11"/>
  <c r="K62" i="11"/>
  <c r="K87" i="11"/>
  <c r="K89" i="11"/>
  <c r="K88" i="11"/>
  <c r="K86" i="11"/>
  <c r="K83" i="11"/>
  <c r="K85" i="11"/>
  <c r="J82" i="11"/>
  <c r="E82" i="11"/>
  <c r="G82" i="11"/>
  <c r="J91" i="11"/>
  <c r="E91" i="11"/>
  <c r="G91" i="11"/>
  <c r="D92" i="11"/>
  <c r="E92" i="11"/>
  <c r="G92" i="11"/>
  <c r="D93" i="11"/>
  <c r="H93" i="11" s="1"/>
  <c r="E93" i="11"/>
  <c r="G93" i="11"/>
  <c r="D94" i="11"/>
  <c r="E94" i="11"/>
  <c r="G94" i="11"/>
  <c r="D95" i="11"/>
  <c r="J95" i="11" s="1"/>
  <c r="E95" i="11"/>
  <c r="G95" i="11"/>
  <c r="D96" i="11"/>
  <c r="E96" i="11"/>
  <c r="G96" i="11"/>
  <c r="D97" i="11"/>
  <c r="H97" i="11" s="1"/>
  <c r="E97" i="11"/>
  <c r="G97" i="11"/>
  <c r="D98" i="11"/>
  <c r="J98" i="11" s="1"/>
  <c r="E98" i="11"/>
  <c r="G98" i="11"/>
  <c r="D99" i="11"/>
  <c r="J99" i="11" s="1"/>
  <c r="E99" i="11"/>
  <c r="G99" i="11"/>
  <c r="D100" i="11"/>
  <c r="J100" i="11" s="1"/>
  <c r="E100" i="11"/>
  <c r="G100" i="11"/>
  <c r="D101" i="11"/>
  <c r="E101" i="11"/>
  <c r="G101" i="11"/>
  <c r="D102" i="11"/>
  <c r="E102" i="11"/>
  <c r="G102" i="11"/>
  <c r="D103" i="11"/>
  <c r="J103" i="11" s="1"/>
  <c r="E103" i="11"/>
  <c r="G103" i="11"/>
  <c r="D104" i="11"/>
  <c r="E104" i="11"/>
  <c r="G104" i="11"/>
  <c r="D105" i="11"/>
  <c r="E105" i="11"/>
  <c r="G105" i="11"/>
  <c r="D106" i="11"/>
  <c r="J106" i="11" s="1"/>
  <c r="E106" i="11"/>
  <c r="G106" i="11"/>
  <c r="I102" i="11" l="1"/>
  <c r="H101" i="11"/>
  <c r="I104" i="11"/>
  <c r="I82" i="11"/>
  <c r="H82" i="11"/>
  <c r="I106" i="11"/>
  <c r="J101" i="11"/>
  <c r="H106" i="11"/>
  <c r="I95" i="11"/>
  <c r="I103" i="11"/>
  <c r="I101" i="11"/>
  <c r="I100" i="11"/>
  <c r="I99" i="11"/>
  <c r="I98" i="11"/>
  <c r="H98" i="11"/>
  <c r="J97" i="11"/>
  <c r="I91" i="11"/>
  <c r="H103" i="11"/>
  <c r="J93" i="11"/>
  <c r="H105" i="11"/>
  <c r="I105" i="11"/>
  <c r="J96" i="11"/>
  <c r="H96" i="11"/>
  <c r="J94" i="11"/>
  <c r="H94" i="11"/>
  <c r="J105" i="11"/>
  <c r="H102" i="11"/>
  <c r="J102" i="11"/>
  <c r="I96" i="11"/>
  <c r="I94" i="11"/>
  <c r="H99" i="11"/>
  <c r="H95" i="11"/>
  <c r="I93" i="11"/>
  <c r="H91" i="11"/>
  <c r="H100" i="11"/>
  <c r="J104" i="11"/>
  <c r="H104" i="11"/>
  <c r="J92" i="11"/>
  <c r="H92" i="11"/>
  <c r="I92" i="11"/>
  <c r="I97" i="11"/>
  <c r="K91" i="11" l="1"/>
  <c r="K101" i="11"/>
  <c r="K100" i="11"/>
  <c r="K82" i="11"/>
  <c r="K95" i="11"/>
  <c r="K106" i="11"/>
  <c r="K93" i="11"/>
  <c r="K103" i="11"/>
  <c r="K98" i="11"/>
  <c r="K99" i="11"/>
  <c r="K105" i="11"/>
  <c r="K97" i="11"/>
  <c r="K104" i="11"/>
  <c r="K102" i="11"/>
  <c r="K96" i="11"/>
  <c r="K94" i="11"/>
  <c r="K92" i="11"/>
  <c r="G6" i="11" l="1"/>
  <c r="D17" i="11" l="1"/>
  <c r="E17" i="11"/>
  <c r="G17" i="11"/>
  <c r="K19" i="60"/>
  <c r="D19" i="60"/>
  <c r="J17" i="11" l="1"/>
  <c r="J107" i="11" s="1"/>
  <c r="H17" i="11"/>
  <c r="H107" i="11" s="1"/>
  <c r="I17" i="11"/>
  <c r="I107" i="11" s="1"/>
  <c r="K17" i="11" l="1"/>
  <c r="K107" i="11" s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9" i="11" l="1"/>
  <c r="D107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07" i="11"/>
  <c r="D108" i="11"/>
  <c r="H108" i="11" s="1"/>
  <c r="E108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08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15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07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08" i="11"/>
  <c r="I108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108" i="11"/>
  <c r="K110" i="11" s="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10" i="11"/>
  <c r="H111" i="11" s="1"/>
  <c r="I110" i="11"/>
  <c r="I111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37" i="29" l="1"/>
  <c r="F288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12" i="11"/>
  <c r="I112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11" i="11" l="1"/>
  <c r="K112" i="11" s="1"/>
  <c r="B113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10" i="11"/>
  <c r="J111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12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07" i="41" l="1"/>
  <c r="F827" i="4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<sst xmlns="http://schemas.openxmlformats.org/spreadsheetml/2006/main" count="4779" uniqueCount="1633">
  <si>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</si>
  <si>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</si>
  <si>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</si>
  <si>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</si>
  <si>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</si>
  <si>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</si>
  <si>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</si>
  <si>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</si>
  <si>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</si>
  <si>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</si>
  <si>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</si>
  <si>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</si>
  <si>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</si>
  <si>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</si>
  <si>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</si>
  <si>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</si>
  <si>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</si>
  <si>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</si>
  <si>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</si>
  <si>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</si>
  <si>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</si>
  <si>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</si>
  <si>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</si>
  <si>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</si>
  <si>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</si>
  <si>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</si>
  <si>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</si>
  <si>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</si>
  <si>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</si>
  <si>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</si>
  <si>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</si>
  <si>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</si>
  <si>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</si>
  <si>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</si>
  <si>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</si>
  <si>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</si>
  <si>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</si>
  <si>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</si>
  <si>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</si>
  <si>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</si>
  <si>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</si>
  <si>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</si>
  <si>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</si>
  <si>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</si>
  <si>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</si>
  <si>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</si>
  <si>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</si>
  <si>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</si>
  <si>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</si>
  <si>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</si>
  <si>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</si>
  <si>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</si>
  <si>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</si>
  <si>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</si>
  <si>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</si>
  <si>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</si>
  <si>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</si>
  <si>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</si>
  <si>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</si>
  <si>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</si>
  <si>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</si>
  <si>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</si>
  <si>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</si>
  <si>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</si>
  <si>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</si>
  <si>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</si>
  <si>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</si>
  <si>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</si>
  <si>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</si>
  <si>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</si>
  <si>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</si>
  <si>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</si>
  <si>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</si>
  <si>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</si>
  <si>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</si>
  <si>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</si>
  <si>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</si>
  <si>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</si>
  <si>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</si>
  <si>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</si>
  <si>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</si>
  <si>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</si>
  <si>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</si>
  <si>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</si>
  <si>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</si>
  <si>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</si>
  <si>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</si>
  <si>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</si>
  <si>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</si>
  <si>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</si>
  <si>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</si>
  <si>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</si>
  <si>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</si>
  <si>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</si>
  <si>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</si>
  <si>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</si>
  <si>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</si>
  <si>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</si>
  <si>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</si>
  <si>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</si>
  <si>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</si>
  <si>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</si>
  <si>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</si>
  <si>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</si>
  <si>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</si>
  <si>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</si>
  <si>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</si>
  <si>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</si>
  <si>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</si>
  <si>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</si>
  <si>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</si>
  <si>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</si>
  <si>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</si>
  <si>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</si>
  <si>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</si>
  <si>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</si>
  <si>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</si>
  <si>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</si>
  <si>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</si>
  <si>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</si>
  <si>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</si>
  <si>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</si>
  <si>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</si>
  <si>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</si>
  <si>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</si>
  <si>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</si>
  <si>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</si>
  <si>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</si>
  <si>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</si>
  <si>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</si>
  <si>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</si>
  <si>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</si>
  <si>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</si>
  <si>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</si>
  <si>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</si>
  <si>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</si>
  <si>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</si>
  <si>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</si>
  <si>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</si>
  <si>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</si>
  <si>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</si>
  <si>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</si>
  <si>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</si>
  <si>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</si>
  <si>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</si>
  <si>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</si>
  <si>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</si>
  <si>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</si>
  <si>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</si>
  <si>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</si>
  <si>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</si>
  <si>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</si>
  <si>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</si>
  <si>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</si>
  <si>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</si>
  <si>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</si>
  <si>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</si>
  <si>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</si>
  <si>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</si>
  <si>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</si>
  <si>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</si>
  <si>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</si>
  <si>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</si>
  <si>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</si>
  <si>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</si>
  <si>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</si>
  <si>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</si>
  <si>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</si>
  <si>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</si>
  <si>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</si>
  <si>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</si>
  <si>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</si>
  <si>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</si>
  <si>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</si>
  <si>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</si>
  <si>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</si>
  <si>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</si>
  <si>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</si>
  <si>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</si>
  <si>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</si>
  <si>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</si>
  <si>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</si>
  <si>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</si>
  <si>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</si>
  <si>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</si>
  <si>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</si>
  <si>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</si>
  <si>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</si>
  <si>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</si>
  <si>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</si>
  <si>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</si>
  <si>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</si>
  <si>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</si>
  <si>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</si>
  <si>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</si>
  <si>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</si>
  <si>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</si>
  <si>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</si>
  <si>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</si>
  <si>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</si>
  <si>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</si>
  <si>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</si>
  <si>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</si>
  <si>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</si>
  <si>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</si>
  <si>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</si>
  <si>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</si>
  <si>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</si>
  <si>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</si>
  <si>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</si>
  <si>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</si>
  <si>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</si>
  <si>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</si>
  <si>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</si>
  <si>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</si>
  <si>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</si>
  <si>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</si>
  <si>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</si>
  <si>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</si>
  <si>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</si>
  <si>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</si>
  <si>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</si>
  <si>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</si>
  <si>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</si>
  <si>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</si>
  <si>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</si>
  <si>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</si>
  <si>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</si>
  <si>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</si>
  <si>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</si>
  <si>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</si>
  <si>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</si>
  <si>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</si>
  <si>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</si>
  <si>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</si>
  <si>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</si>
  <si>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</si>
  <si>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</si>
  <si>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</si>
  <si>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</si>
  <si>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</si>
  <si>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</si>
  <si>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</si>
  <si>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</si>
  <si>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</si>
  <si>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</si>
  <si>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</si>
  <si>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</si>
  <si>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</si>
  <si>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</si>
  <si>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</si>
  <si>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</si>
  <si>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</si>
  <si>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</si>
  <si>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</si>
  <si>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</si>
  <si>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</si>
  <si>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</si>
  <si>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</si>
  <si>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</si>
  <si>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</si>
  <si>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</si>
  <si>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</si>
  <si>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</si>
  <si>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</si>
  <si>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</si>
  <si>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</si>
  <si>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</si>
  <si>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</si>
  <si>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</si>
  <si>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</si>
  <si>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</si>
  <si>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</si>
  <si>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</si>
  <si>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</si>
  <si>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</si>
  <si>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</si>
  <si>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</si>
  <si>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</si>
  <si>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</si>
  <si>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</si>
  <si>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</si>
  <si>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</si>
  <si>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</si>
  <si>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</si>
  <si>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</si>
  <si>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</si>
  <si>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</si>
  <si>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</si>
  <si>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</si>
  <si>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</si>
  <si>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</si>
  <si>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</si>
  <si>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</si>
  <si>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</si>
  <si>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</si>
  <si>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</si>
  <si>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</si>
  <si>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</si>
  <si>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</si>
  <si>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</si>
  <si>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</si>
  <si>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</si>
  <si>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</si>
  <si>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</si>
  <si>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</si>
  <si>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</si>
  <si>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</si>
  <si>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</si>
  <si>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</si>
  <si>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</si>
  <si>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</si>
  <si>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</si>
  <si>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</si>
  <si>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</si>
  <si>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</si>
  <si>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</si>
  <si>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</si>
  <si>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</si>
  <si>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</si>
  <si>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</si>
  <si>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</si>
  <si>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</si>
  <si>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</si>
  <si>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</si>
  <si>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</si>
  <si>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</si>
  <si>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</si>
  <si>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</si>
  <si>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</si>
  <si>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</si>
  <si>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</si>
  <si>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</si>
  <si>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</si>
  <si>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</si>
  <si>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</si>
  <si>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</si>
  <si>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</si>
  <si>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</si>
  <si>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</si>
  <si>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</si>
  <si>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</si>
  <si>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</si>
  <si>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</si>
  <si>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</si>
  <si>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</si>
  <si>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</si>
  <si>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</si>
  <si>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</si>
  <si>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</si>
  <si>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</si>
  <si>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</si>
  <si>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</si>
  <si>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</si>
  <si>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</si>
  <si>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</si>
  <si>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</si>
  <si>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</si>
  <si>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</si>
  <si>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</si>
  <si>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</si>
  <si>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</si>
  <si>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</si>
  <si>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</si>
  <si>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</si>
  <si>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</si>
  <si>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</si>
  <si>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</si>
  <si>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</si>
  <si>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</si>
  <si>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</si>
  <si>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</si>
  <si>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</si>
  <si>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</si>
  <si>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</si>
  <si>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</si>
  <si>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</si>
  <si>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</si>
  <si>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</si>
  <si>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</si>
  <si>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</si>
  <si>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</si>
  <si>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</si>
  <si>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</si>
  <si>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</si>
  <si>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</si>
  <si>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</si>
  <si>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</si>
  <si>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</si>
  <si>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</si>
  <si>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</si>
  <si>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</si>
  <si>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</si>
  <si>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</si>
  <si>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</si>
  <si>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</si>
  <si>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</si>
  <si>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</si>
  <si>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</si>
  <si>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</si>
  <si>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</si>
  <si>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</si>
  <si>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</si>
  <si>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</si>
  <si>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</si>
  <si>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</si>
  <si>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</si>
  <si>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</si>
  <si>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</si>
  <si>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</si>
  <si>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</si>
  <si>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</si>
  <si>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</si>
  <si>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</si>
  <si>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</si>
  <si>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</si>
  <si>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</si>
  <si>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</si>
  <si>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</si>
  <si>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</si>
  <si>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</si>
  <si>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</si>
  <si>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</si>
  <si>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</si>
  <si>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</si>
  <si>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</si>
  <si>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</si>
  <si>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</si>
  <si>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</si>
  <si>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</si>
  <si>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</si>
  <si>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</si>
  <si>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</si>
  <si>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</si>
  <si>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</si>
  <si>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</si>
  <si>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</si>
  <si>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</si>
  <si>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</si>
  <si>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</si>
  <si>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</si>
  <si>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</si>
  <si>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</si>
  <si>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</si>
  <si>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</si>
  <si>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</si>
  <si>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</si>
  <si>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</si>
  <si>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</si>
  <si>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</si>
  <si>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</si>
  <si>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</si>
  <si>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</si>
  <si>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</si>
  <si>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</si>
  <si>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</si>
  <si>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</si>
  <si>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</si>
  <si>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</si>
  <si>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</si>
  <si>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</si>
  <si>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</si>
  <si>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</si>
  <si>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</si>
  <si>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</si>
  <si>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</si>
  <si>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</si>
  <si>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</si>
  <si>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</si>
  <si>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</si>
  <si>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</si>
  <si>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</si>
  <si>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</si>
  <si>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</si>
  <si>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</si>
  <si>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</si>
  <si>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</si>
  <si>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</si>
  <si>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</si>
  <si>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</si>
  <si>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</si>
  <si>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</si>
  <si>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</si>
  <si>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</si>
  <si>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</si>
  <si>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</si>
  <si>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</si>
  <si>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</si>
  <si>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</si>
  <si>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</si>
  <si>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</si>
  <si>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</si>
  <si>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</si>
  <si>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</si>
  <si>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</si>
  <si>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</si>
  <si>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</si>
  <si>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</si>
  <si>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</si>
  <si>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</si>
  <si>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</si>
  <si>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</si>
  <si>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</si>
  <si>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</si>
  <si>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</si>
  <si>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</si>
  <si>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</si>
  <si>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</si>
  <si>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</si>
  <si>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</si>
  <si>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</si>
  <si>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</si>
  <si>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</si>
  <si>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</si>
  <si>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</si>
  <si>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</si>
  <si>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</si>
  <si>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</si>
  <si>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</si>
  <si>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</si>
  <si>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</si>
  <si>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</si>
  <si>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</si>
  <si>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</si>
  <si>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</si>
  <si>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</si>
  <si>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</si>
  <si>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</si>
  <si>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</si>
  <si>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</si>
  <si>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</si>
  <si>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</si>
  <si>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</si>
  <si>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</si>
  <si>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</si>
  <si>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</si>
  <si>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</si>
  <si>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</si>
  <si>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</si>
  <si>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</si>
  <si>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</si>
  <si>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</si>
  <si>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</si>
  <si>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</si>
  <si>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</si>
  <si>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</si>
  <si>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</si>
  <si>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</si>
  <si>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</si>
  <si>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</si>
  <si>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</si>
  <si>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</si>
  <si>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</si>
  <si>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</si>
  <si>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</si>
  <si>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</si>
  <si>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</si>
  <si>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</si>
  <si>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</si>
  <si>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</si>
  <si>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</si>
  <si>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</si>
  <si>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</si>
  <si>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</si>
  <si>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</si>
  <si>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</si>
  <si>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</si>
  <si>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</si>
  <si>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</si>
  <si>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</si>
  <si>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</si>
  <si>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</si>
  <si>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</si>
  <si>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</si>
  <si>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</si>
  <si>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</si>
  <si>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</si>
  <si>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</si>
  <si>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</si>
  <si>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</si>
  <si>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</si>
  <si>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</si>
  <si>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</si>
  <si>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</si>
  <si>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</si>
  <si>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</si>
  <si>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</si>
  <si>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</si>
  <si>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</si>
  <si>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</si>
  <si>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</si>
  <si>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</si>
  <si>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</si>
  <si>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</si>
  <si>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</si>
  <si>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</si>
  <si>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</si>
  <si>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</si>
  <si>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</si>
  <si>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</si>
  <si>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</si>
  <si>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</si>
  <si>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</si>
  <si>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</si>
  <si>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</si>
  <si>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</si>
  <si>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</si>
  <si>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</si>
  <si>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</si>
  <si>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</si>
  <si>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</si>
  <si>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</si>
  <si>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</si>
  <si>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</si>
  <si>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</si>
  <si>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</si>
  <si>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</si>
  <si>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</si>
  <si>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</si>
  <si>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</si>
  <si>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</si>
  <si>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</si>
  <si>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</si>
  <si>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</si>
  <si>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</si>
  <si>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</si>
  <si>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</si>
  <si>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</si>
  <si>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</si>
  <si>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</si>
  <si>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</si>
  <si>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</si>
  <si>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</si>
  <si>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</si>
  <si>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</si>
  <si>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</si>
  <si>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</si>
  <si>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</si>
  <si>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</si>
  <si>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</si>
  <si>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</si>
  <si>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</si>
  <si>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</si>
  <si>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</si>
  <si>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</si>
  <si>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</si>
  <si>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</si>
  <si>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</si>
  <si>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</si>
  <si>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</si>
  <si>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</si>
  <si>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</si>
  <si>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</si>
  <si>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</si>
  <si>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</si>
  <si>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</si>
  <si>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</si>
  <si>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</si>
  <si>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</si>
  <si>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</si>
  <si>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</si>
  <si>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</si>
  <si>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</si>
  <si>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</si>
  <si>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</si>
  <si>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</si>
  <si>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</si>
  <si>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</si>
  <si>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</si>
  <si>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</si>
  <si>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</si>
  <si>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</si>
  <si>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</si>
  <si>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</si>
  <si>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</si>
  <si>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</si>
  <si>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</si>
  <si>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</si>
  <si>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</si>
  <si>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</si>
  <si>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</si>
  <si>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</si>
  <si>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</si>
  <si>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</si>
  <si>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</si>
  <si>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</si>
  <si>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</si>
  <si>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</si>
  <si>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</si>
  <si>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</si>
  <si>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</si>
  <si>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</si>
  <si>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</si>
  <si>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</si>
  <si>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</si>
  <si>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</si>
  <si>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</si>
  <si>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</si>
  <si>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</si>
  <si>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</si>
  <si>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</si>
  <si>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</si>
  <si>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</si>
  <si>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</si>
  <si>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</si>
  <si>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</si>
  <si>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</si>
  <si>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</si>
  <si>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</si>
  <si>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</si>
  <si>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</si>
  <si>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</si>
  <si>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</si>
  <si>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</si>
  <si>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</si>
  <si>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</si>
  <si>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</si>
  <si>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</si>
  <si>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</si>
  <si>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</si>
  <si>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</si>
  <si>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</si>
  <si>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</si>
  <si>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</si>
  <si>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</si>
  <si>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</si>
  <si>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</si>
  <si>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</si>
  <si>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</si>
  <si>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</si>
  <si>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</si>
  <si>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</si>
  <si>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</si>
  <si>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</si>
  <si>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</si>
  <si>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</si>
  <si>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</si>
  <si>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</si>
  <si>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</si>
  <si>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</si>
  <si>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</si>
  <si>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</si>
  <si>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</si>
  <si>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</si>
  <si>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</si>
  <si>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</si>
  <si>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</si>
  <si>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</si>
  <si>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</si>
  <si>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</si>
  <si>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</si>
  <si>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</si>
  <si>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</si>
  <si>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</si>
  <si>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</si>
  <si>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</si>
  <si>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</si>
  <si>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</si>
  <si>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</si>
  <si>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</si>
  <si>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</si>
  <si>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</si>
  <si>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</si>
  <si>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</si>
  <si>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</si>
  <si>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</si>
  <si>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</si>
  <si>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</si>
  <si>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</si>
  <si>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</si>
  <si>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</si>
  <si>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</si>
  <si>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</si>
  <si>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</si>
  <si>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</si>
  <si>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</si>
  <si>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</si>
  <si>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</si>
  <si>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</si>
  <si>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</si>
  <si>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</si>
  <si>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</si>
  <si>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</si>
  <si>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</si>
  <si>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</si>
  <si>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</si>
  <si>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</si>
  <si>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</si>
  <si>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</si>
  <si>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</si>
  <si>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</si>
  <si>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</si>
  <si>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</si>
  <si>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</si>
  <si>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</si>
  <si>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</si>
  <si>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</si>
  <si>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</si>
  <si>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</si>
  <si>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</si>
  <si>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</si>
  <si>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</si>
  <si>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</si>
  <si>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</si>
  <si>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</si>
  <si>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</si>
  <si>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</si>
  <si>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</si>
  <si>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</si>
  <si>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</si>
  <si>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</si>
  <si>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</si>
  <si>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</si>
  <si>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</si>
  <si>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</si>
  <si>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</si>
  <si>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</si>
  <si>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</si>
  <si>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</si>
  <si>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</si>
  <si>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</si>
  <si>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</si>
  <si>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</si>
  <si>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</si>
  <si>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</si>
  <si>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</si>
  <si>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</si>
  <si>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</si>
  <si>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</si>
  <si>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</si>
  <si>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</si>
  <si>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</si>
  <si>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</si>
  <si>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</si>
  <si>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</si>
  <si>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</si>
  <si>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</si>
  <si>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</si>
  <si>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</si>
  <si>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</si>
  <si>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</si>
  <si>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</si>
  <si>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</si>
  <si>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</si>
  <si>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</si>
  <si>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</si>
  <si>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</si>
  <si>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</si>
  <si>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</si>
  <si>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</si>
  <si>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</si>
  <si>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</si>
  <si>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</si>
  <si>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</si>
  <si>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</si>
  <si>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</si>
  <si>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</si>
  <si>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</si>
  <si>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</si>
  <si>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</si>
  <si>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</si>
  <si>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</si>
  <si>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</si>
  <si>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</si>
  <si>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</si>
  <si>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</si>
  <si>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</si>
  <si>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</si>
  <si>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</si>
  <si>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</si>
  <si>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</si>
  <si>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</si>
  <si>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</si>
  <si>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</si>
  <si>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</si>
  <si>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</si>
  <si>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</si>
  <si>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</si>
  <si>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</si>
  <si>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</si>
  <si>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</si>
  <si>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</si>
  <si>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</si>
  <si>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</si>
  <si>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</si>
  <si>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</si>
  <si>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</si>
  <si>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</si>
  <si>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</si>
  <si>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</si>
  <si>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</si>
  <si>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</si>
  <si>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</si>
  <si>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</si>
  <si>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</si>
  <si>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</si>
  <si>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</si>
  <si>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</si>
  <si>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</si>
  <si>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</si>
  <si>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</si>
  <si>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</si>
  <si>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</si>
  <si>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</si>
  <si>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</si>
  <si>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</si>
  <si>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</si>
  <si>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</si>
  <si>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</si>
  <si>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</si>
  <si>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</si>
  <si>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</si>
  <si>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</si>
  <si>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</si>
  <si>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</si>
  <si>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</si>
  <si>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</si>
  <si>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</si>
  <si>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</si>
  <si>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</si>
  <si>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</si>
  <si>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</si>
  <si>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</si>
  <si>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</si>
  <si>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</si>
  <si>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</si>
  <si>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</si>
  <si>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</si>
  <si>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</si>
  <si>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</si>
  <si>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</si>
  <si>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</si>
  <si>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</si>
  <si>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</si>
  <si>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</si>
  <si>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</si>
  <si>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</si>
  <si>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</si>
  <si>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</si>
  <si>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</si>
  <si>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</si>
  <si>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</si>
  <si>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</si>
  <si>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</si>
  <si>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</si>
  <si>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</si>
  <si>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</si>
  <si>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</si>
  <si>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</si>
  <si>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</si>
  <si>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</si>
  <si>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</si>
  <si>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</si>
  <si>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</si>
  <si>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</si>
  <si>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</si>
  <si>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</si>
  <si>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</si>
  <si>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</si>
  <si>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</si>
  <si>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</si>
  <si>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</si>
  <si>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</si>
  <si>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</si>
  <si>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</si>
  <si>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</si>
  <si>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</si>
  <si>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</si>
  <si>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</si>
  <si>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</si>
  <si>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</si>
  <si>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</si>
  <si>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</si>
  <si>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</si>
  <si>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</si>
  <si>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</si>
  <si>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</si>
  <si>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</si>
  <si>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</si>
  <si>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</si>
  <si>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</si>
  <si>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</si>
  <si>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</si>
  <si>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</si>
  <si>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</si>
  <si>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</si>
  <si>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</si>
  <si>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</si>
  <si>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</si>
  <si>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</si>
  <si>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</si>
  <si>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</si>
  <si>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</si>
  <si>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</si>
  <si>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</si>
  <si>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</si>
  <si>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</si>
  <si>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</si>
  <si>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</si>
  <si>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</si>
  <si>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</si>
  <si>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</si>
  <si>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</si>
  <si>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</si>
  <si>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</si>
  <si>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</si>
  <si>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</si>
  <si>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</si>
  <si>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</si>
  <si>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</si>
  <si>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</si>
  <si>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</si>
  <si>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</si>
  <si>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</si>
  <si>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</si>
  <si>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</si>
  <si>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</si>
  <si>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</si>
  <si>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</si>
  <si>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</si>
  <si>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</si>
  <si>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</si>
  <si>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</si>
  <si>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</si>
  <si>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</si>
  <si>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</si>
  <si>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</si>
  <si>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</si>
  <si>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</si>
  <si>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</si>
  <si>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</si>
  <si>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</si>
  <si>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</si>
  <si>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</si>
  <si>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</si>
  <si>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</si>
  <si>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</si>
  <si>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</si>
  <si>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</si>
  <si>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</si>
  <si>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</si>
  <si>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</si>
  <si>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</si>
  <si>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</si>
  <si>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</si>
  <si>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</si>
  <si>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</si>
  <si>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</si>
  <si>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</si>
  <si>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</si>
  <si>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</si>
  <si>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</si>
  <si>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</si>
  <si>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</si>
  <si>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</si>
  <si>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</si>
  <si>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</si>
  <si>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</si>
  <si>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</si>
  <si>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</si>
  <si>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</si>
  <si>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</si>
  <si>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</si>
  <si>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</si>
  <si>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</si>
  <si>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</si>
  <si>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</si>
  <si>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</si>
  <si>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</si>
  <si>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</si>
  <si>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</si>
  <si>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</si>
  <si>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</si>
  <si>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</si>
  <si>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</si>
  <si>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</si>
  <si>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</si>
  <si>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</si>
  <si>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</si>
  <si>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</si>
  <si>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</si>
  <si>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</si>
  <si>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</si>
  <si>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</si>
  <si>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</si>
  <si>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</si>
  <si>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</si>
  <si>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</si>
  <si>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</si>
  <si>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</si>
  <si>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</si>
  <si>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</si>
  <si>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</si>
  <si>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</si>
  <si>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</si>
  <si>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</si>
  <si>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</si>
  <si>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</si>
  <si>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</si>
  <si>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</si>
  <si>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</si>
  <si>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</si>
  <si>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</si>
  <si>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</si>
  <si>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</si>
  <si>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</si>
  <si>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</si>
  <si>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</si>
  <si>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</si>
  <si>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</si>
  <si>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</si>
  <si>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</si>
  <si>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</si>
  <si>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</si>
  <si>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</si>
  <si>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</si>
  <si>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</si>
  <si>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</si>
  <si>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</si>
  <si>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</si>
  <si>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</si>
  <si>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</si>
  <si>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</si>
  <si>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</si>
  <si>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</si>
  <si>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</si>
  <si>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</si>
  <si>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</si>
  <si>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</si>
  <si>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</si>
  <si>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</si>
  <si>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</si>
  <si>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</si>
  <si>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</si>
  <si>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</si>
  <si>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</si>
  <si>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</si>
  <si>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</si>
  <si>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</si>
  <si>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</si>
  <si>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</si>
  <si>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</si>
  <si>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</si>
  <si>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</si>
  <si>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</si>
  <si>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</si>
  <si>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</si>
  <si>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</si>
  <si>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</si>
  <si>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</si>
  <si>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</si>
  <si>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</si>
  <si>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</si>
  <si>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</si>
  <si>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</si>
  <si>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</si>
  <si>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</si>
  <si>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</si>
  <si>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</si>
  <si>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</si>
  <si>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</si>
  <si>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</si>
  <si>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</si>
  <si>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</si>
  <si>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</si>
  <si>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</si>
  <si>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</si>
  <si>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</si>
  <si>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</si>
  <si>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</si>
  <si>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</si>
  <si>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</si>
  <si>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</si>
  <si>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</si>
  <si>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</si>
  <si>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</si>
  <si>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</si>
  <si>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</si>
  <si>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</si>
  <si>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</si>
  <si>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</si>
  <si>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</si>
  <si>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</si>
  <si>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</si>
  <si>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</si>
  <si>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</si>
  <si>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</si>
  <si>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</si>
  <si>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</si>
  <si>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</si>
  <si>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</si>
  <si>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</si>
  <si>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</si>
  <si>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</si>
  <si>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</si>
  <si>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</si>
  <si>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</si>
  <si>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</si>
  <si>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</si>
  <si>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</si>
  <si>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</si>
  <si>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</si>
  <si>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</si>
  <si>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</si>
  <si>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</si>
  <si>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</si>
  <si>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</si>
  <si>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</si>
  <si>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</si>
  <si>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</si>
  <si>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</si>
  <si>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</si>
  <si>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</si>
  <si>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</si>
  <si>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</si>
  <si>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</si>
  <si>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</si>
  <si>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</si>
  <si>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</si>
  <si>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</si>
  <si>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</si>
  <si>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</si>
  <si>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</si>
  <si>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</si>
  <si>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</si>
  <si>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</si>
  <si>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</si>
  <si>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</si>
  <si>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</si>
  <si>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</si>
  <si>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</si>
  <si>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</si>
  <si>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</si>
  <si>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</si>
  <si>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</si>
  <si>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</si>
  <si>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</si>
  <si>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</si>
  <si>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</si>
  <si>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</si>
  <si>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</si>
  <si>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</si>
  <si>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</si>
  <si>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</si>
  <si>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</si>
  <si>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</si>
  <si>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</si>
  <si>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</si>
  <si>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</si>
  <si>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</si>
  <si>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</si>
  <si>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</si>
  <si>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</si>
  <si>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</si>
  <si>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</si>
  <si>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</si>
  <si>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</si>
  <si>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</si>
  <si>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</si>
  <si>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</si>
  <si>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</si>
  <si>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</si>
  <si>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</si>
  <si>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</si>
  <si>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</si>
  <si>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</si>
  <si>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</si>
  <si>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</si>
  <si>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</si>
  <si>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</si>
  <si>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</si>
  <si>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</si>
  <si>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</si>
  <si>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</si>
  <si>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</si>
  <si>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</si>
  <si>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</si>
  <si>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</si>
  <si>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</si>
  <si>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</si>
  <si>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</si>
  <si>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</si>
  <si>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</si>
  <si>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</si>
  <si>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</si>
  <si>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</si>
  <si>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</si>
  <si>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</si>
  <si>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</si>
  <si>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</si>
  <si>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</si>
  <si>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</si>
  <si>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</si>
  <si>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</si>
  <si>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</si>
  <si>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</si>
  <si>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</si>
  <si>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</si>
  <si>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</si>
  <si>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</si>
  <si>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</si>
  <si>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</si>
  <si>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</si>
  <si>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</si>
  <si>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</si>
  <si>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</si>
  <si>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</si>
  <si>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</si>
  <si>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</si>
  <si>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</si>
  <si>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</si>
  <si>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</si>
  <si>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</si>
  <si>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</si>
  <si>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</si>
  <si>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</si>
  <si>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</si>
  <si>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</si>
  <si>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</si>
  <si>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</si>
  <si>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</si>
  <si>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</si>
  <si>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</si>
  <si>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</si>
  <si>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</si>
  <si>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</si>
  <si>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</si>
  <si>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</si>
  <si>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</si>
  <si>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</si>
  <si>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</si>
  <si>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</si>
  <si>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</si>
  <si>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</si>
  <si>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</si>
  <si>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</si>
  <si>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</si>
  <si>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</si>
  <si>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</si>
  <si>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</si>
  <si>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</si>
  <si>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</si>
  <si>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</si>
  <si>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</si>
  <si>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</si>
  <si>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</si>
  <si>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</si>
  <si>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</si>
  <si>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</si>
  <si>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</si>
  <si>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</si>
  <si>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</si>
  <si>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</si>
  <si>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</si>
  <si>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</si>
  <si>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</si>
  <si>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</si>
  <si>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</si>
  <si>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</si>
  <si>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</si>
  <si>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</si>
  <si>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</si>
  <si>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</si>
  <si>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</si>
  <si>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</si>
  <si>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</si>
  <si>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</si>
  <si>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</si>
  <si>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</si>
  <si>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</si>
  <si>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</si>
  <si>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</si>
  <si>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</si>
  <si>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</si>
  <si>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</si>
  <si>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</si>
  <si>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</si>
  <si>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</si>
  <si>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</si>
  <si>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</si>
  <si>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</si>
  <si>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</si>
  <si>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</si>
  <si>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</si>
  <si>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</si>
  <si>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</si>
  <si>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</si>
  <si>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</si>
  <si>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</si>
  <si>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</si>
  <si>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</si>
  <si>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</si>
  <si>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</si>
  <si>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</si>
  <si>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</si>
  <si>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</si>
  <si>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</si>
  <si>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</si>
  <si>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</si>
  <si>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</si>
  <si>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</si>
  <si>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</si>
  <si>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</si>
  <si>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</si>
  <si>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</si>
  <si>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</si>
  <si>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</si>
  <si>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</si>
  <si>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</si>
  <si>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</si>
  <si>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</si>
  <si>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</si>
  <si>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</si>
  <si>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</si>
  <si>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</si>
  <si>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</si>
  <si>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</si>
  <si>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</si>
  <si>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</si>
  <si>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</si>
  <si>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</si>
  <si>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</si>
  <si>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</si>
  <si>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</si>
  <si>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</si>
  <si>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</si>
  <si>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</si>
  <si>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</si>
  <si>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</si>
  <si>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</si>
  <si>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</si>
  <si>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</si>
  <si>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</si>
  <si>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</si>
  <si>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</si>
  <si>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</si>
  <si>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</si>
  <si>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</si>
  <si>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</si>
  <si>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</si>
  <si>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</si>
  <si>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</si>
  <si>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</si>
  <si>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</si>
  <si>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</si>
  <si>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</si>
  <si>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</si>
  <si>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</si>
  <si>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</si>
  <si>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</si>
  <si>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</si>
  <si>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</si>
  <si>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</si>
  <si>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</si>
  <si>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</si>
  <si>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</si>
  <si>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</si>
  <si>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</si>
  <si>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</si>
  <si>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</si>
  <si>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</si>
  <si>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</si>
  <si>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</si>
  <si>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</si>
  <si>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</si>
  <si>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</si>
  <si>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</si>
  <si>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</si>
  <si>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</si>
  <si>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</si>
  <si>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</si>
  <si>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</si>
  <si>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</si>
  <si>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</si>
  <si>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</si>
  <si>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</si>
  <si>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</si>
  <si>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</si>
  <si>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</si>
  <si>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</si>
  <si>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</si>
  <si>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</si>
  <si>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</si>
  <si>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</si>
  <si>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</si>
  <si>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</si>
  <si>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</si>
  <si>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</si>
  <si>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</si>
  <si>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</si>
  <si>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</si>
  <si>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</si>
  <si>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</si>
  <si>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</si>
  <si>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</si>
  <si>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</si>
  <si>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</si>
  <si>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</si>
  <si>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</si>
  <si>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</si>
  <si>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</si>
  <si>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</si>
  <si>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</si>
  <si>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</si>
  <si>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</si>
  <si>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</si>
  <si>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</si>
  <si>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</si>
  <si>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</si>
  <si>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</si>
  <si>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</si>
  <si>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</si>
  <si>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</si>
  <si>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</si>
  <si>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</si>
  <si>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</si>
  <si>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</si>
  <si>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</si>
  <si>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</si>
  <si>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</si>
  <si>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</si>
  <si>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</si>
  <si>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</si>
  <si>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</si>
  <si>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</si>
  <si>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</si>
  <si>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</si>
  <si>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</si>
  <si>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</si>
  <si>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</si>
  <si>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</si>
  <si>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</si>
  <si>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</si>
  <si>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</si>
  <si>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</si>
  <si>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</si>
  <si>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</si>
  <si>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</si>
  <si>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</si>
  <si>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</si>
  <si>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</si>
  <si>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</si>
  <si>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</si>
  <si>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</si>
  <si>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</si>
  <si>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</si>
  <si>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</si>
  <si>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</si>
  <si>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</si>
  <si>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</si>
  <si>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</si>
  <si>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</si>
  <si>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</si>
  <si>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</si>
  <si>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</si>
  <si>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</si>
  <si>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</si>
  <si>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</si>
  <si>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</si>
  <si>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</si>
  <si>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</si>
  <si>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</si>
  <si>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</si>
  <si>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</si>
  <si>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</si>
  <si>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</si>
  <si>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</si>
  <si>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</si>
  <si>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</si>
  <si>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</si>
  <si>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</si>
  <si>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</si>
  <si>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</si>
  <si>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</si>
  <si>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</si>
  <si>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</si>
  <si>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</si>
  <si>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</si>
  <si>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</si>
  <si>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</si>
  <si>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</si>
  <si>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</si>
  <si>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</si>
  <si>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</si>
  <si>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</si>
  <si>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</si>
  <si>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</si>
  <si>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</si>
  <si>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</si>
  <si>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</si>
  <si>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</si>
  <si>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</si>
  <si>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</si>
  <si>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</si>
  <si>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</si>
  <si>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</si>
  <si>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</si>
  <si>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</si>
  <si>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</si>
  <si>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</si>
  <si>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</si>
  <si>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</si>
  <si>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</si>
  <si>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</si>
  <si>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</si>
  <si>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</si>
  <si>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</si>
  <si>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CM2-11</t>
  </si>
  <si>
    <t>PEMASANGAN TRAFO</t>
  </si>
  <si>
    <t>PEMASANGAN APP</t>
  </si>
  <si>
    <t>Pemasangan APP 3 Fasa Di Bangunan</t>
  </si>
  <si>
    <t>II</t>
  </si>
  <si>
    <t>PEMASANGAN TIANG</t>
  </si>
  <si>
    <t>CJ6-T</t>
  </si>
  <si>
    <t>PEMASANGAN KONSTRUKSI</t>
  </si>
  <si>
    <t>BTG</t>
  </si>
  <si>
    <t>SPV. RENSIS</t>
  </si>
  <si>
    <t>MB PERENCANAAN</t>
  </si>
  <si>
    <t>MANAGER</t>
  </si>
  <si>
    <t>III</t>
  </si>
  <si>
    <t>IV</t>
  </si>
  <si>
    <t>PLN</t>
  </si>
  <si>
    <t xml:space="preserve">Jumper Wire : </t>
  </si>
  <si>
    <t>CM2-11M</t>
  </si>
  <si>
    <t>Stainless Steel Strap 20 X 0.7 mm</t>
  </si>
  <si>
    <t>KOORDINAT :' -6.91581502, 110.548658</t>
  </si>
  <si>
    <t>C9-200E</t>
  </si>
  <si>
    <t>CJ5-T</t>
  </si>
  <si>
    <t>APP DAYA 105 KVA</t>
  </si>
  <si>
    <t>CG-312A</t>
  </si>
  <si>
    <t>PT. DONLIM 105 KVA</t>
  </si>
  <si>
    <t>Trafo 3 Fasa 100 KVA 1 Tiang (G312-A)</t>
  </si>
  <si>
    <t>Daya 105.000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</si>
</sst>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Roboto"/>
    </font>
    <font>
      <sz val="10"/>
      <color rgb="FF00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5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rgb="FFFF0000"/>
      </top>
      <bottom style="thin">
        <color rgb="FFFF000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64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64"/>
      </right>
      <top style="thin">
        <color indexed="64"/>
      </top>
      <bottom style="thin">
        <color indexed="10"/>
      </bottom>
      <diagonal/>
    </border>
    <border>
      <left style="thin">
        <color indexed="10"/>
      </left>
      <right style="thin">
        <color indexed="64"/>
      </right>
      <top style="thin">
        <color indexed="10"/>
      </top>
      <bottom style="thin">
        <color indexed="64"/>
      </bottom>
      <diagonal/>
    </border>
  </borders>
  <cellStyleXfs count="5654">
    <xf numFmtId="0" fontId="0" fillId="0" borderId="0"/>
    <xf numFmtId="171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4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5" fontId="37" fillId="0" borderId="3"/>
    <xf numFmtId="185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71" fillId="0" borderId="0" applyFont="0" applyFill="0" applyBorder="0" applyAlignment="0" applyProtection="0"/>
    <xf numFmtId="187" fontId="73" fillId="0" borderId="0">
      <protection locked="0"/>
    </xf>
    <xf numFmtId="14" fontId="65" fillId="0" borderId="0" applyFill="0" applyBorder="0" applyAlignment="0"/>
    <xf numFmtId="188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9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0" fontId="78" fillId="0" borderId="0">
      <protection locked="0"/>
    </xf>
    <xf numFmtId="190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1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2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23" fillId="0" borderId="0"/>
    <xf numFmtId="192" fontId="37" fillId="0" borderId="0"/>
    <xf numFmtId="171" fontId="84" fillId="0" borderId="0"/>
    <xf numFmtId="171" fontId="85" fillId="0" borderId="0"/>
    <xf numFmtId="171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3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1" fontId="85" fillId="0" borderId="0"/>
    <xf numFmtId="0" fontId="85" fillId="0" borderId="0"/>
    <xf numFmtId="194" fontId="85" fillId="0" borderId="0"/>
    <xf numFmtId="195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4" fontId="85" fillId="0" borderId="0"/>
    <xf numFmtId="0" fontId="85" fillId="0" borderId="0"/>
    <xf numFmtId="0" fontId="37" fillId="0" borderId="0"/>
    <xf numFmtId="0" fontId="23" fillId="0" borderId="0"/>
    <xf numFmtId="181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6" fontId="85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3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3" fontId="44" fillId="0" borderId="0"/>
    <xf numFmtId="193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99" fontId="37" fillId="0" borderId="0" applyFont="0" applyFill="0" applyBorder="0" applyAlignment="0" applyProtection="0"/>
    <xf numFmtId="199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5" fillId="0" borderId="0"/>
    <xf numFmtId="200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5" fontId="23" fillId="0" borderId="0" applyFont="0" applyFill="0" applyBorder="0" applyAlignment="0" applyProtection="0"/>
    <xf numFmtId="9" fontId="163" fillId="0" borderId="0" applyFont="0" applyFill="0" applyBorder="0" applyAlignment="0" applyProtection="0"/>
    <xf numFmtId="165" fontId="175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8" fillId="0" borderId="0"/>
    <xf numFmtId="165" fontId="23" fillId="0" borderId="0" applyFont="0" applyFill="0" applyBorder="0" applyAlignment="0" applyProtection="0"/>
    <xf numFmtId="0" fontId="8" fillId="0" borderId="0"/>
    <xf numFmtId="166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8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17" fillId="0" borderId="0" applyFont="0" applyFill="0" applyBorder="0" applyAlignment="0" applyProtection="0"/>
    <xf numFmtId="42" fontId="17" fillId="0" borderId="0" applyFont="0" applyFill="0" applyBorder="0" applyAlignment="0" applyProtection="0"/>
    <xf numFmtId="42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8" fillId="0" borderId="0"/>
    <xf numFmtId="0" fontId="17" fillId="0" borderId="0"/>
    <xf numFmtId="0" fontId="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93"/>
    <xf numFmtId="0" fontId="90" fillId="0" borderId="94"/>
    <xf numFmtId="166" fontId="23" fillId="0" borderId="0" applyFont="0" applyFill="0" applyBorder="0" applyAlignment="0" applyProtection="0"/>
    <xf numFmtId="0" fontId="38" fillId="20" borderId="99" applyNumberFormat="0" applyAlignment="0" applyProtection="0"/>
    <xf numFmtId="0" fontId="17" fillId="27" borderId="98" applyNumberFormat="0" applyFont="0" applyAlignment="0" applyProtection="0"/>
    <xf numFmtId="0" fontId="23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8" fillId="21" borderId="95" applyNumberFormat="0" applyAlignment="0" applyProtection="0"/>
    <xf numFmtId="0" fontId="34" fillId="7" borderId="103" applyNumberFormat="0" applyAlignment="0" applyProtection="0"/>
    <xf numFmtId="0" fontId="40" fillId="0" borderId="100" applyNumberFormat="0" applyFill="0" applyAlignment="0" applyProtection="0"/>
    <xf numFmtId="0" fontId="7" fillId="0" borderId="0"/>
    <xf numFmtId="0" fontId="7" fillId="0" borderId="0"/>
    <xf numFmtId="0" fontId="89" fillId="0" borderId="102"/>
    <xf numFmtId="0" fontId="23" fillId="27" borderId="104" applyNumberFormat="0" applyFont="0" applyAlignment="0" applyProtection="0"/>
    <xf numFmtId="0" fontId="38" fillId="20" borderId="105" applyNumberFormat="0" applyAlignment="0" applyProtection="0"/>
    <xf numFmtId="0" fontId="40" fillId="0" borderId="106" applyNumberFormat="0" applyFill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0" fontId="38" fillId="20" borderId="99" applyNumberForma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0" fontId="23" fillId="27" borderId="98" applyNumberFormat="0" applyFont="0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193" fontId="44" fillId="28" borderId="98" applyAlignment="0" applyProtection="0"/>
    <xf numFmtId="0" fontId="17" fillId="27" borderId="98" applyNumberFormat="0" applyFont="0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193" fontId="44" fillId="28" borderId="98" applyAlignment="0" applyProtection="0"/>
    <xf numFmtId="0" fontId="23" fillId="27" borderId="98" applyNumberFormat="0" applyFont="0" applyAlignment="0" applyProtection="0"/>
    <xf numFmtId="0" fontId="7" fillId="0" borderId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8" fillId="21" borderId="95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0" fontId="34" fillId="7" borderId="97" applyNumberFormat="0" applyAlignment="0" applyProtection="0"/>
    <xf numFmtId="166" fontId="7" fillId="0" borderId="0" applyFont="0" applyFill="0" applyBorder="0" applyAlignment="0" applyProtection="0"/>
    <xf numFmtId="0" fontId="80" fillId="23" borderId="101"/>
    <xf numFmtId="0" fontId="80" fillId="0" borderId="101"/>
    <xf numFmtId="0" fontId="80" fillId="0" borderId="96"/>
    <xf numFmtId="0" fontId="80" fillId="0" borderId="96"/>
    <xf numFmtId="0" fontId="75" fillId="0" borderId="101"/>
    <xf numFmtId="0" fontId="75" fillId="0" borderId="101"/>
    <xf numFmtId="0" fontId="75" fillId="0" borderId="107"/>
    <xf numFmtId="0" fontId="75" fillId="0" borderId="107"/>
    <xf numFmtId="0" fontId="80" fillId="0" borderId="107"/>
    <xf numFmtId="0" fontId="80" fillId="23" borderId="107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27" fillId="20" borderId="97" applyNumberFormat="0" applyAlignment="0" applyProtection="0"/>
    <xf numFmtId="0" fontId="7" fillId="0" borderId="0"/>
    <xf numFmtId="0" fontId="7" fillId="0" borderId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0" fontId="17" fillId="27" borderId="104" applyNumberFormat="0" applyFont="0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193" fontId="44" fillId="28" borderId="104" applyAlignment="0" applyProtection="0"/>
    <xf numFmtId="0" fontId="38" fillId="20" borderId="99" applyNumberFormat="0" applyAlignment="0" applyProtection="0"/>
    <xf numFmtId="0" fontId="23" fillId="27" borderId="98" applyNumberFormat="0" applyFont="0" applyAlignment="0" applyProtection="0"/>
    <xf numFmtId="0" fontId="34" fillId="7" borderId="97" applyNumberFormat="0" applyAlignment="0" applyProtection="0"/>
    <xf numFmtId="0" fontId="27" fillId="20" borderId="97" applyNumberFormat="0" applyAlignment="0" applyProtection="0"/>
    <xf numFmtId="193" fontId="44" fillId="28" borderId="104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34" fillId="7" borderId="103" applyNumberFormat="0" applyAlignment="0" applyProtection="0"/>
    <xf numFmtId="0" fontId="27" fillId="20" borderId="103" applyNumberFormat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40" fillId="0" borderId="100" applyNumberFormat="0" applyFill="0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89" fillId="0" borderId="108"/>
    <xf numFmtId="0" fontId="34" fillId="7" borderId="103" applyNumberFormat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0" fontId="27" fillId="20" borderId="103" applyNumberFormat="0" applyAlignment="0" applyProtection="0"/>
    <xf numFmtId="16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4" fillId="7" borderId="103" applyNumberFormat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4" fillId="7" borderId="103" applyNumberFormat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2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42" fontId="17" fillId="0" borderId="0" applyFont="0" applyFill="0" applyBorder="0" applyAlignment="0" applyProtection="0"/>
    <xf numFmtId="0" fontId="75" fillId="0" borderId="107"/>
    <xf numFmtId="0" fontId="75" fillId="0" borderId="107"/>
    <xf numFmtId="0" fontId="80" fillId="0" borderId="96"/>
    <xf numFmtId="0" fontId="80" fillId="0" borderId="96"/>
    <xf numFmtId="0" fontId="80" fillId="0" borderId="107"/>
    <xf numFmtId="0" fontId="80" fillId="23" borderId="107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34" fillId="7" borderId="103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6" fontId="23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193" fontId="44" fillId="28" borderId="104" applyAlignment="0" applyProtection="0"/>
    <xf numFmtId="0" fontId="17" fillId="27" borderId="104" applyNumberFormat="0" applyFont="0" applyAlignment="0" applyProtection="0"/>
    <xf numFmtId="9" fontId="23" fillId="0" borderId="0" applyFont="0" applyFill="0" applyBorder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193" fontId="44" fillId="28" borderId="104" applyAlignment="0" applyProtection="0"/>
    <xf numFmtId="0" fontId="23" fillId="27" borderId="104" applyNumberFormat="0" applyFon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0" fontId="38" fillId="20" borderId="105" applyNumberFormat="0" applyAlignment="0" applyProtection="0"/>
    <xf numFmtId="9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89" fillId="0" borderId="109"/>
    <xf numFmtId="0" fontId="89" fillId="0" borderId="109"/>
    <xf numFmtId="0" fontId="90" fillId="0" borderId="110"/>
    <xf numFmtId="0" fontId="90" fillId="0" borderId="11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40" fillId="0" borderId="106" applyNumberFormat="0" applyFill="0" applyAlignment="0" applyProtection="0"/>
    <xf numFmtId="0" fontId="113" fillId="0" borderId="0"/>
    <xf numFmtId="166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7" borderId="127" applyNumberFormat="0" applyFont="0" applyAlignment="0" applyProtection="0"/>
    <xf numFmtId="0" fontId="23" fillId="27" borderId="127" applyNumberFormat="0" applyFont="0" applyAlignment="0" applyProtection="0"/>
    <xf numFmtId="0" fontId="27" fillId="20" borderId="113" applyNumberFormat="0" applyAlignment="0" applyProtection="0"/>
    <xf numFmtId="0" fontId="75" fillId="0" borderId="136"/>
    <xf numFmtId="0" fontId="34" fillId="7" borderId="103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34" fillId="7" borderId="113" applyNumberFormat="0" applyAlignment="0" applyProtection="0"/>
    <xf numFmtId="0" fontId="17" fillId="27" borderId="121" applyNumberFormat="0" applyFont="0" applyAlignment="0" applyProtection="0"/>
    <xf numFmtId="0" fontId="5" fillId="0" borderId="0"/>
    <xf numFmtId="0" fontId="34" fillId="7" borderId="113" applyNumberFormat="0" applyAlignment="0" applyProtection="0"/>
    <xf numFmtId="0" fontId="27" fillId="20" borderId="120" applyNumberFormat="0" applyAlignment="0" applyProtection="0"/>
    <xf numFmtId="0" fontId="34" fillId="7" borderId="113" applyNumberFormat="0" applyAlignment="0" applyProtection="0"/>
    <xf numFmtId="0" fontId="27" fillId="20" borderId="132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5" fillId="0" borderId="0"/>
    <xf numFmtId="193" fontId="44" fillId="28" borderId="121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23" fillId="0" borderId="0"/>
    <xf numFmtId="0" fontId="17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27" fillId="20" borderId="120" applyNumberFormat="0" applyAlignment="0" applyProtection="0"/>
    <xf numFmtId="0" fontId="34" fillId="7" borderId="120" applyNumberFormat="0" applyAlignment="0" applyProtection="0"/>
    <xf numFmtId="0" fontId="34" fillId="7" borderId="132" applyNumberFormat="0" applyAlignment="0" applyProtection="0"/>
    <xf numFmtId="0" fontId="23" fillId="27" borderId="121" applyNumberFormat="0" applyFont="0" applyAlignment="0" applyProtection="0"/>
    <xf numFmtId="0" fontId="38" fillId="20" borderId="122" applyNumberFormat="0" applyAlignment="0" applyProtection="0"/>
    <xf numFmtId="0" fontId="89" fillId="0" borderId="119"/>
    <xf numFmtId="193" fontId="44" fillId="28" borderId="127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0" fontId="23" fillId="27" borderId="127" applyNumberFormat="0" applyFont="0" applyAlignment="0" applyProtection="0"/>
    <xf numFmtId="0" fontId="23" fillId="27" borderId="127" applyNumberFormat="0" applyFont="0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166" fontId="23" fillId="0" borderId="0" applyFont="0" applyFill="0" applyBorder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32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27" fillId="20" borderId="120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03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34" fillId="7" borderId="126" applyNumberFormat="0" applyAlignment="0" applyProtection="0"/>
    <xf numFmtId="0" fontId="80" fillId="23" borderId="130"/>
    <xf numFmtId="0" fontId="80" fillId="0" borderId="130"/>
    <xf numFmtId="0" fontId="75" fillId="0" borderId="130"/>
    <xf numFmtId="0" fontId="75" fillId="0" borderId="130"/>
    <xf numFmtId="166" fontId="5" fillId="0" borderId="0" applyFont="0" applyFill="0" applyBorder="0" applyAlignment="0" applyProtection="0"/>
    <xf numFmtId="0" fontId="75" fillId="0" borderId="136"/>
    <xf numFmtId="0" fontId="75" fillId="0" borderId="124"/>
    <xf numFmtId="0" fontId="75" fillId="0" borderId="124"/>
    <xf numFmtId="0" fontId="80" fillId="0" borderId="136"/>
    <xf numFmtId="0" fontId="80" fillId="23" borderId="136"/>
    <xf numFmtId="0" fontId="80" fillId="0" borderId="124"/>
    <xf numFmtId="0" fontId="75" fillId="0" borderId="114"/>
    <xf numFmtId="0" fontId="75" fillId="0" borderId="114"/>
    <xf numFmtId="0" fontId="75" fillId="0" borderId="114"/>
    <xf numFmtId="0" fontId="75" fillId="0" borderId="114"/>
    <xf numFmtId="0" fontId="80" fillId="23" borderId="124"/>
    <xf numFmtId="0" fontId="80" fillId="0" borderId="114"/>
    <xf numFmtId="0" fontId="80" fillId="0" borderId="114"/>
    <xf numFmtId="0" fontId="80" fillId="23" borderId="114"/>
    <xf numFmtId="0" fontId="80" fillId="23" borderId="114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20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34" fillId="7" borderId="132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34" fillId="7" borderId="113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27" fillId="20" borderId="126" applyNumberFormat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23" fillId="27" borderId="133" applyNumberFormat="0" applyFont="0" applyAlignment="0" applyProtection="0"/>
    <xf numFmtId="193" fontId="44" fillId="28" borderId="133" applyAlignment="0" applyProtection="0"/>
    <xf numFmtId="193" fontId="44" fillId="28" borderId="133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21" applyNumberFormat="0" applyFont="0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0" fontId="23" fillId="27" borderId="121" applyNumberFormat="0" applyFont="0" applyAlignment="0" applyProtection="0"/>
    <xf numFmtId="0" fontId="23" fillId="27" borderId="121" applyNumberFormat="0" applyFont="0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34" fillId="7" borderId="113" applyNumberFormat="0" applyAlignment="0" applyProtection="0"/>
    <xf numFmtId="0" fontId="34" fillId="7" borderId="120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34" fillId="7" borderId="132" applyNumberFormat="0" applyAlignment="0" applyProtection="0"/>
    <xf numFmtId="0" fontId="89" fillId="0" borderId="111"/>
    <xf numFmtId="0" fontId="90" fillId="0" borderId="112"/>
    <xf numFmtId="0" fontId="34" fillId="7" borderId="120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27" fillId="20" borderId="113" applyNumberFormat="0" applyAlignment="0" applyProtection="0"/>
    <xf numFmtId="0" fontId="34" fillId="7" borderId="126" applyNumberFormat="0" applyAlignment="0" applyProtection="0"/>
    <xf numFmtId="0" fontId="34" fillId="7" borderId="103" applyNumberFormat="0" applyAlignment="0" applyProtection="0"/>
    <xf numFmtId="0" fontId="34" fillId="7" borderId="113" applyNumberFormat="0" applyAlignment="0" applyProtection="0"/>
    <xf numFmtId="0" fontId="23" fillId="27" borderId="133" applyNumberFormat="0" applyFont="0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0" borderId="0"/>
    <xf numFmtId="193" fontId="44" fillId="28" borderId="121" applyAlignment="0" applyProtection="0"/>
    <xf numFmtId="0" fontId="23" fillId="0" borderId="0"/>
    <xf numFmtId="0" fontId="34" fillId="7" borderId="132" applyNumberFormat="0" applyAlignment="0" applyProtection="0"/>
    <xf numFmtId="0" fontId="34" fillId="7" borderId="132" applyNumberForma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5" fillId="0" borderId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23" fillId="27" borderId="121" applyNumberFormat="0" applyFont="0" applyAlignment="0" applyProtection="0"/>
    <xf numFmtId="193" fontId="44" fillId="28" borderId="121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0" fontId="38" fillId="20" borderId="122" applyNumberForma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0" fontId="23" fillId="27" borderId="133" applyNumberFormat="0" applyFont="0" applyAlignment="0" applyProtection="0"/>
    <xf numFmtId="0" fontId="23" fillId="27" borderId="133" applyNumberFormat="0" applyFont="0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5" fillId="0" borderId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193" fontId="44" fillId="28" borderId="133" applyAlignment="0" applyProtection="0"/>
    <xf numFmtId="0" fontId="38" fillId="20" borderId="128" applyNumberFormat="0" applyAlignment="0" applyProtection="0"/>
    <xf numFmtId="0" fontId="23" fillId="27" borderId="127" applyNumberFormat="0" applyFont="0" applyAlignment="0" applyProtection="0"/>
    <xf numFmtId="0" fontId="89" fillId="0" borderId="125"/>
    <xf numFmtId="0" fontId="5" fillId="0" borderId="0"/>
    <xf numFmtId="0" fontId="27" fillId="20" borderId="126" applyNumberFormat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17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17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23" fillId="27" borderId="115" applyNumberFormat="0" applyFont="0" applyAlignment="0" applyProtection="0"/>
    <xf numFmtId="193" fontId="44" fillId="28" borderId="115" applyAlignment="0" applyProtection="0"/>
    <xf numFmtId="193" fontId="44" fillId="28" borderId="115" applyAlignment="0" applyProtection="0"/>
    <xf numFmtId="0" fontId="23" fillId="27" borderId="115" applyNumberFormat="0" applyFon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38" fillId="20" borderId="116" applyNumberFormat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0" fontId="40" fillId="0" borderId="123" applyNumberFormat="0" applyFill="0" applyAlignment="0" applyProtection="0"/>
    <xf numFmtId="193" fontId="44" fillId="28" borderId="133" applyAlignment="0" applyProtection="0"/>
    <xf numFmtId="193" fontId="44" fillId="28" borderId="133" applyAlignment="0" applyProtection="0"/>
    <xf numFmtId="0" fontId="89" fillId="0" borderId="118"/>
    <xf numFmtId="0" fontId="89" fillId="0" borderId="118"/>
    <xf numFmtId="0" fontId="17" fillId="27" borderId="133" applyNumberFormat="0" applyFont="0" applyAlignment="0" applyProtection="0"/>
    <xf numFmtId="0" fontId="23" fillId="0" borderId="0"/>
    <xf numFmtId="0" fontId="23" fillId="27" borderId="127" applyNumberFormat="0" applyFont="0" applyAlignment="0" applyProtection="0"/>
    <xf numFmtId="0" fontId="34" fillId="7" borderId="120" applyNumberFormat="0" applyAlignment="0" applyProtection="0"/>
    <xf numFmtId="0" fontId="40" fillId="0" borderId="123" applyNumberFormat="0" applyFill="0" applyAlignment="0" applyProtection="0"/>
    <xf numFmtId="0" fontId="27" fillId="20" borderId="132" applyNumberFormat="0" applyAlignment="0" applyProtection="0"/>
    <xf numFmtId="0" fontId="34" fillId="7" borderId="103" applyNumberFormat="0" applyAlignment="0" applyProtection="0"/>
    <xf numFmtId="0" fontId="89" fillId="0" borderId="111"/>
    <xf numFmtId="0" fontId="23" fillId="27" borderId="133" applyNumberFormat="0" applyFont="0" applyAlignment="0" applyProtection="0"/>
    <xf numFmtId="193" fontId="44" fillId="28" borderId="121" applyAlignment="0" applyProtection="0"/>
    <xf numFmtId="193" fontId="44" fillId="28" borderId="121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23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17" fillId="27" borderId="121" applyNumberFormat="0" applyFont="0" applyAlignment="0" applyProtection="0"/>
    <xf numFmtId="0" fontId="38" fillId="20" borderId="122" applyNumberFormat="0" applyAlignment="0" applyProtection="0"/>
    <xf numFmtId="0" fontId="23" fillId="27" borderId="133" applyNumberFormat="0" applyFont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17" applyNumberFormat="0" applyFill="0" applyAlignment="0" applyProtection="0"/>
    <xf numFmtId="0" fontId="40" fillId="0" borderId="129" applyNumberFormat="0" applyFill="0" applyAlignment="0" applyProtection="0"/>
    <xf numFmtId="0" fontId="34" fillId="7" borderId="126" applyNumberFormat="0" applyAlignment="0" applyProtection="0"/>
    <xf numFmtId="0" fontId="40" fillId="0" borderId="123" applyNumberFormat="0" applyFill="0" applyAlignment="0" applyProtection="0"/>
    <xf numFmtId="0" fontId="17" fillId="27" borderId="133" applyNumberFormat="0" applyFont="0" applyAlignment="0" applyProtection="0"/>
    <xf numFmtId="0" fontId="23" fillId="0" borderId="0"/>
    <xf numFmtId="0" fontId="23" fillId="0" borderId="0"/>
    <xf numFmtId="0" fontId="23" fillId="0" borderId="0"/>
    <xf numFmtId="0" fontId="5" fillId="0" borderId="0"/>
    <xf numFmtId="0" fontId="40" fillId="0" borderId="123" applyNumberFormat="0" applyFill="0" applyAlignment="0" applyProtection="0"/>
    <xf numFmtId="166" fontId="12" fillId="0" borderId="0" applyFont="0" applyFill="0" applyBorder="0" applyAlignment="0" applyProtection="0"/>
    <xf numFmtId="0" fontId="5" fillId="0" borderId="0"/>
    <xf numFmtId="165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17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23" fillId="27" borderId="127" applyNumberFormat="0" applyFont="0" applyAlignment="0" applyProtection="0"/>
    <xf numFmtId="193" fontId="44" fillId="28" borderId="127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38" fillId="20" borderId="128" applyNumberFormat="0" applyAlignment="0" applyProtection="0"/>
    <xf numFmtId="0" fontId="40" fillId="0" borderId="135" applyNumberFormat="0" applyFill="0" applyAlignment="0" applyProtection="0"/>
    <xf numFmtId="0" fontId="38" fillId="20" borderId="134" applyNumberFormat="0" applyAlignment="0" applyProtection="0"/>
    <xf numFmtId="0" fontId="23" fillId="27" borderId="133" applyNumberFormat="0" applyFont="0" applyAlignment="0" applyProtection="0"/>
    <xf numFmtId="0" fontId="89" fillId="0" borderId="131"/>
    <xf numFmtId="0" fontId="34" fillId="7" borderId="132" applyNumberFormat="0" applyAlignment="0" applyProtection="0"/>
    <xf numFmtId="0" fontId="27" fillId="20" borderId="132" applyNumberFormat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23" fillId="0" borderId="0"/>
    <xf numFmtId="0" fontId="17" fillId="27" borderId="127" applyNumberFormat="0" applyFont="0" applyAlignment="0" applyProtection="0"/>
    <xf numFmtId="0" fontId="23" fillId="0" borderId="0"/>
    <xf numFmtId="0" fontId="23" fillId="27" borderId="127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40" fillId="0" borderId="129" applyNumberFormat="0" applyFill="0" applyAlignment="0" applyProtection="0"/>
    <xf numFmtId="0" fontId="23" fillId="0" borderId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17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23" fillId="27" borderId="133" applyNumberFormat="0" applyFont="0" applyAlignment="0" applyProtection="0"/>
    <xf numFmtId="193" fontId="44" fillId="28" borderId="133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38" fillId="20" borderId="134" applyNumberFormat="0" applyAlignment="0" applyProtection="0"/>
    <xf numFmtId="0" fontId="89" fillId="0" borderId="137"/>
    <xf numFmtId="0" fontId="34" fillId="7" borderId="132" applyNumberFormat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40" fillId="0" borderId="135" applyNumberFormat="0" applyFill="0" applyAlignment="0" applyProtection="0"/>
    <xf numFmtId="0" fontId="23" fillId="0" borderId="0"/>
    <xf numFmtId="0" fontId="177" fillId="0" borderId="0"/>
  </cellStyleXfs>
  <cellXfs count="709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8" fontId="46" fillId="0" borderId="0" xfId="714" applyFont="1" applyFill="1" applyAlignment="1">
      <alignment horizontal="center" wrapText="1"/>
    </xf>
    <xf numFmtId="168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8" fontId="46" fillId="0" borderId="21" xfId="715" applyNumberFormat="1" applyFont="1" applyFill="1" applyBorder="1" applyAlignment="1">
      <alignment horizontal="center" vertical="center" wrapText="1"/>
    </xf>
    <xf numFmtId="168" fontId="46" fillId="0" borderId="21" xfId="714" applyFont="1" applyFill="1" applyBorder="1" applyAlignment="1">
      <alignment horizontal="center" vertical="center" wrapText="1"/>
    </xf>
    <xf numFmtId="168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6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8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8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8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8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8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48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8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8" fontId="114" fillId="29" borderId="3" xfId="1538" applyNumberFormat="1" applyFill="1" applyBorder="1" applyAlignment="1">
      <alignment horizontal="right"/>
    </xf>
    <xf numFmtId="166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6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77" xfId="2670" applyFont="1" applyFill="1" applyBorder="1" applyAlignment="1">
      <alignment horizontal="left" vertical="center"/>
    </xf>
    <xf numFmtId="0" fontId="161" fillId="39" borderId="78" xfId="2670" applyFont="1" applyFill="1" applyBorder="1" applyAlignment="1">
      <alignment horizontal="center" vertical="center"/>
    </xf>
    <xf numFmtId="0" fontId="161" fillId="39" borderId="80" xfId="2670" applyFont="1" applyFill="1" applyBorder="1" applyAlignment="1">
      <alignment horizontal="left" vertical="center"/>
    </xf>
    <xf numFmtId="0" fontId="161" fillId="39" borderId="76" xfId="2670" applyFont="1" applyFill="1" applyBorder="1" applyAlignment="1">
      <alignment horizontal="center" vertical="center"/>
    </xf>
    <xf numFmtId="0" fontId="161" fillId="39" borderId="82" xfId="2670" applyFont="1" applyFill="1" applyBorder="1" applyAlignment="1">
      <alignment horizontal="left" vertical="center"/>
    </xf>
    <xf numFmtId="0" fontId="161" fillId="39" borderId="83" xfId="2670" applyFont="1" applyFill="1" applyBorder="1" applyAlignment="1">
      <alignment horizontal="center" vertical="center"/>
    </xf>
    <xf numFmtId="43" fontId="142" fillId="40" borderId="79" xfId="2672" applyFont="1" applyFill="1" applyBorder="1" applyAlignment="1" applyProtection="1">
      <alignment horizontal="right" vertical="center" wrapText="1"/>
      <protection locked="0"/>
    </xf>
    <xf numFmtId="43" fontId="142" fillId="40" borderId="81" xfId="2672" applyFont="1" applyFill="1" applyBorder="1" applyAlignment="1" applyProtection="1">
      <alignment horizontal="right" vertical="center"/>
      <protection locked="0"/>
    </xf>
    <xf numFmtId="168" fontId="142" fillId="40" borderId="81" xfId="2672" applyNumberFormat="1" applyFont="1" applyFill="1" applyBorder="1" applyAlignment="1" applyProtection="1">
      <alignment horizontal="right" vertical="center"/>
      <protection locked="0"/>
    </xf>
    <xf numFmtId="168" fontId="142" fillId="40" borderId="84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49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0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88" xfId="2673" applyFont="1" applyFill="1" applyBorder="1" applyAlignment="1">
      <alignment vertical="center" wrapText="1"/>
    </xf>
    <xf numFmtId="0" fontId="148" fillId="43" borderId="88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7" fillId="0" borderId="56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2" xfId="2673" applyFont="1" applyFill="1" applyBorder="1" applyAlignment="1">
      <alignment vertical="center" wrapText="1"/>
    </xf>
    <xf numFmtId="0" fontId="108" fillId="0" borderId="62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2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165" fontId="154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6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168" fontId="146" fillId="47" borderId="0" xfId="2672" applyNumberFormat="1" applyFont="1" applyFill="1" applyBorder="1" applyAlignment="1" applyProtection="1">
      <alignment horizontal="right" vertical="center"/>
    </xf>
    <xf numFmtId="0" fontId="45" fillId="0" borderId="20" xfId="1615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153" fillId="0" borderId="20" xfId="1652" applyFont="1" applyBorder="1" applyAlignment="1">
      <alignment horizontal="center" vertical="center"/>
    </xf>
    <xf numFmtId="0" fontId="117" fillId="0" borderId="0" xfId="2677" applyFont="1" applyAlignment="1">
      <alignment horizontal="center"/>
    </xf>
    <xf numFmtId="0" fontId="117" fillId="0" borderId="26" xfId="2677" applyFont="1" applyBorder="1" applyAlignment="1">
      <alignment horizontal="center"/>
    </xf>
    <xf numFmtId="0" fontId="117" fillId="0" borderId="36" xfId="2677" applyFont="1" applyBorder="1" applyAlignment="1">
      <alignment horizontal="center"/>
    </xf>
    <xf numFmtId="0" fontId="117" fillId="0" borderId="28" xfId="2677" applyFont="1" applyBorder="1" applyAlignment="1">
      <alignment horizontal="center"/>
    </xf>
    <xf numFmtId="0" fontId="118" fillId="0" borderId="18" xfId="2677" applyFont="1" applyBorder="1" applyAlignment="1">
      <alignment horizontal="left"/>
    </xf>
    <xf numFmtId="0" fontId="117" fillId="0" borderId="37" xfId="2677" applyFont="1" applyBorder="1" applyAlignment="1">
      <alignment horizontal="center"/>
    </xf>
    <xf numFmtId="0" fontId="176" fillId="0" borderId="0" xfId="2677" quotePrefix="1" applyFont="1" applyAlignment="1">
      <alignment horizontal="left" vertical="center"/>
    </xf>
    <xf numFmtId="0" fontId="117" fillId="0" borderId="3" xfId="2677" applyFont="1" applyBorder="1" applyAlignment="1">
      <alignment horizontal="center"/>
    </xf>
    <xf numFmtId="0" fontId="117" fillId="0" borderId="39" xfId="2677" applyFont="1" applyBorder="1" applyAlignment="1">
      <alignment horizontal="center"/>
    </xf>
    <xf numFmtId="0" fontId="117" fillId="0" borderId="0" xfId="2677" applyFont="1" applyAlignment="1">
      <alignment horizontal="left"/>
    </xf>
    <xf numFmtId="0" fontId="119" fillId="0" borderId="28" xfId="2677" applyFont="1" applyBorder="1" applyAlignment="1">
      <alignment horizontal="center"/>
    </xf>
    <xf numFmtId="0" fontId="119" fillId="0" borderId="0" xfId="2677" applyFont="1" applyAlignment="1">
      <alignment horizontal="center"/>
    </xf>
    <xf numFmtId="0" fontId="117" fillId="0" borderId="138" xfId="2677" applyFont="1" applyBorder="1" applyAlignment="1">
      <alignment horizontal="center"/>
    </xf>
    <xf numFmtId="0" fontId="94" fillId="0" borderId="40" xfId="2677" applyFont="1" applyBorder="1" applyAlignment="1">
      <alignment horizontal="center" vertical="center"/>
    </xf>
    <xf numFmtId="0" fontId="94" fillId="0" borderId="47" xfId="2677" applyFont="1" applyBorder="1" applyAlignment="1">
      <alignment horizontal="center" vertical="center"/>
    </xf>
    <xf numFmtId="0" fontId="117" fillId="0" borderId="3" xfId="2677" applyFont="1" applyBorder="1" applyAlignment="1">
      <alignment horizontal="center" vertical="center"/>
    </xf>
    <xf numFmtId="0" fontId="117" fillId="0" borderId="39" xfId="2677" applyFont="1" applyBorder="1" applyAlignment="1">
      <alignment horizontal="center" vertical="center"/>
    </xf>
    <xf numFmtId="0" fontId="120" fillId="0" borderId="0" xfId="2677" applyFont="1" applyAlignment="1">
      <alignment horizontal="center"/>
    </xf>
    <xf numFmtId="0" fontId="94" fillId="0" borderId="144" xfId="2677" applyFont="1" applyBorder="1" applyAlignment="1">
      <alignment horizontal="center" vertical="center"/>
    </xf>
    <xf numFmtId="49" fontId="117" fillId="0" borderId="7" xfId="2677" applyNumberFormat="1" applyFont="1" applyBorder="1" applyAlignment="1">
      <alignment horizontal="center" vertical="top" wrapText="1"/>
    </xf>
    <xf numFmtId="49" fontId="117" fillId="0" borderId="41" xfId="2677" applyNumberFormat="1" applyFont="1" applyBorder="1" applyAlignment="1">
      <alignment horizontal="center" vertical="top" wrapText="1"/>
    </xf>
    <xf numFmtId="0" fontId="117" fillId="0" borderId="3" xfId="2677" applyFont="1" applyBorder="1" applyAlignment="1">
      <alignment vertical="top" wrapText="1"/>
    </xf>
    <xf numFmtId="0" fontId="117" fillId="0" borderId="39" xfId="2677" applyFont="1" applyBorder="1" applyAlignment="1">
      <alignment vertical="top" wrapText="1"/>
    </xf>
    <xf numFmtId="0" fontId="121" fillId="0" borderId="66" xfId="2677" applyFont="1" applyBorder="1" applyAlignment="1">
      <alignment horizontal="center" vertical="center"/>
    </xf>
    <xf numFmtId="0" fontId="121" fillId="0" borderId="67" xfId="2677" applyFont="1" applyBorder="1" applyAlignment="1">
      <alignment horizontal="center" vertical="center"/>
    </xf>
    <xf numFmtId="0" fontId="117" fillId="0" borderId="7" xfId="2677" applyFont="1" applyBorder="1" applyAlignment="1">
      <alignment horizontal="center" vertical="top" wrapText="1"/>
    </xf>
    <xf numFmtId="0" fontId="117" fillId="0" borderId="41" xfId="2677" applyFont="1" applyBorder="1" applyAlignment="1">
      <alignment horizontal="center" vertical="top" wrapText="1"/>
    </xf>
    <xf numFmtId="0" fontId="122" fillId="0" borderId="68" xfId="2677" applyFont="1" applyBorder="1" applyAlignment="1">
      <alignment horizontal="center" vertical="top" wrapText="1"/>
    </xf>
    <xf numFmtId="0" fontId="122" fillId="0" borderId="69" xfId="2677" applyFont="1" applyBorder="1" applyAlignment="1">
      <alignment horizontal="center" vertical="top" wrapText="1"/>
    </xf>
    <xf numFmtId="0" fontId="117" fillId="0" borderId="0" xfId="2677" applyFont="1" applyAlignment="1">
      <alignment vertical="top" wrapText="1"/>
    </xf>
    <xf numFmtId="0" fontId="117" fillId="0" borderId="37" xfId="2677" applyFont="1" applyBorder="1" applyAlignment="1">
      <alignment vertical="top" wrapText="1"/>
    </xf>
    <xf numFmtId="0" fontId="117" fillId="0" borderId="42" xfId="2677" applyFont="1" applyBorder="1" applyAlignment="1">
      <alignment horizontal="center"/>
    </xf>
    <xf numFmtId="0" fontId="117" fillId="0" borderId="43" xfId="2677" applyFont="1" applyBorder="1" applyAlignment="1">
      <alignment vertical="top" wrapText="1"/>
    </xf>
    <xf numFmtId="0" fontId="117" fillId="0" borderId="44" xfId="2677" applyFont="1" applyBorder="1" applyAlignment="1">
      <alignment vertical="top" wrapText="1"/>
    </xf>
    <xf numFmtId="0" fontId="117" fillId="0" borderId="45" xfId="2677" applyFont="1" applyBorder="1" applyAlignment="1">
      <alignment vertical="top" wrapText="1"/>
    </xf>
    <xf numFmtId="0" fontId="122" fillId="0" borderId="28" xfId="2677" applyFont="1" applyBorder="1" applyAlignment="1">
      <alignment horizontal="center"/>
    </xf>
    <xf numFmtId="0" fontId="122" fillId="0" borderId="0" xfId="2677" applyFont="1" applyAlignment="1">
      <alignment horizontal="center"/>
    </xf>
    <xf numFmtId="20" fontId="117" fillId="0" borderId="39" xfId="2677" applyNumberFormat="1" applyFont="1" applyBorder="1" applyAlignment="1">
      <alignment horizontal="center"/>
    </xf>
    <xf numFmtId="0" fontId="117" fillId="0" borderId="42" xfId="2677" applyFont="1" applyBorder="1" applyAlignment="1">
      <alignment horizontal="center" vertical="center" wrapText="1"/>
    </xf>
    <xf numFmtId="0" fontId="122" fillId="0" borderId="34" xfId="2677" applyFont="1" applyBorder="1" applyAlignment="1">
      <alignment horizontal="center"/>
    </xf>
    <xf numFmtId="0" fontId="122" fillId="0" borderId="19" xfId="2677" applyFont="1" applyBorder="1" applyAlignment="1">
      <alignment horizontal="center"/>
    </xf>
    <xf numFmtId="0" fontId="117" fillId="0" borderId="19" xfId="2677" applyFont="1" applyBorder="1" applyAlignment="1">
      <alignment horizontal="center"/>
    </xf>
    <xf numFmtId="0" fontId="117" fillId="0" borderId="46" xfId="2677" applyFont="1" applyBorder="1" applyAlignment="1">
      <alignment horizontal="center"/>
    </xf>
    <xf numFmtId="0" fontId="23" fillId="0" borderId="21" xfId="145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6" fillId="0" borderId="20" xfId="1652" applyFont="1" applyBorder="1" applyAlignment="1">
      <alignment horizontal="center" vertical="center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94" fillId="0" borderId="57" xfId="2677" applyFont="1" applyBorder="1" applyAlignment="1">
      <alignment horizontal="center" vertical="center"/>
    </xf>
    <xf numFmtId="0" fontId="94" fillId="0" borderId="57" xfId="2677" applyFont="1" applyBorder="1" applyAlignment="1">
      <alignment horizontal="left" vertical="center"/>
    </xf>
    <xf numFmtId="0" fontId="94" fillId="0" borderId="40" xfId="2677" applyFont="1" applyBorder="1" applyAlignment="1">
      <alignment horizontal="left" vertical="center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4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5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8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0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1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6" fontId="148" fillId="35" borderId="7" xfId="2673" applyNumberFormat="1" applyFont="1" applyFill="1" applyBorder="1" applyAlignment="1">
      <alignment horizontal="center" vertical="center" wrapText="1"/>
    </xf>
    <xf numFmtId="0" fontId="148" fillId="35" borderId="56" xfId="2673" applyFont="1" applyFill="1" applyBorder="1" applyAlignment="1">
      <alignment horizontal="center" vertical="center" wrapText="1"/>
    </xf>
    <xf numFmtId="2" fontId="137" fillId="35" borderId="60" xfId="2673" applyNumberFormat="1" applyFont="1" applyFill="1" applyBorder="1" applyAlignment="1">
      <alignment horizontal="center" vertical="center" wrapText="1"/>
    </xf>
    <xf numFmtId="2" fontId="137" fillId="35" borderId="89" xfId="2673" applyNumberFormat="1" applyFont="1" applyFill="1" applyBorder="1" applyAlignment="1">
      <alignment horizontal="center" vertical="center" wrapText="1"/>
    </xf>
    <xf numFmtId="0" fontId="165" fillId="41" borderId="85" xfId="2673" applyFont="1" applyFill="1" applyBorder="1" applyAlignment="1">
      <alignment horizontal="center" vertical="center" wrapText="1"/>
    </xf>
    <xf numFmtId="0" fontId="165" fillId="41" borderId="86" xfId="2673" applyFont="1" applyFill="1" applyBorder="1" applyAlignment="1">
      <alignment horizontal="center" vertical="center" wrapText="1"/>
    </xf>
    <xf numFmtId="0" fontId="165" fillId="41" borderId="87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6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6" xfId="2673" applyNumberFormat="1" applyFont="1" applyFill="1" applyBorder="1" applyAlignment="1">
      <alignment horizontal="center" vertical="center" wrapText="1"/>
    </xf>
    <xf numFmtId="166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7" fillId="0" borderId="62" xfId="2675" applyFont="1" applyFill="1" applyBorder="1" applyAlignment="1">
      <alignment horizontal="center" vertical="center" wrapText="1"/>
    </xf>
    <xf numFmtId="9" fontId="137" fillId="0" borderId="63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2" xfId="2675" applyFont="1" applyFill="1" applyBorder="1" applyAlignment="1">
      <alignment horizontal="center" vertical="center" wrapText="1"/>
    </xf>
    <xf numFmtId="9" fontId="137" fillId="35" borderId="63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6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5" fillId="42" borderId="85" xfId="2673" applyFont="1" applyFill="1" applyBorder="1" applyAlignment="1">
      <alignment horizontal="center" vertical="center" wrapText="1"/>
    </xf>
    <xf numFmtId="0" fontId="165" fillId="42" borderId="86" xfId="2673" applyFont="1" applyFill="1" applyBorder="1" applyAlignment="1">
      <alignment horizontal="center" vertical="center" wrapText="1"/>
    </xf>
    <xf numFmtId="0" fontId="165" fillId="42" borderId="87" xfId="2673" applyFont="1" applyFill="1" applyBorder="1" applyAlignment="1">
      <alignment horizontal="center" vertical="center" wrapText="1"/>
    </xf>
    <xf numFmtId="166" fontId="148" fillId="43" borderId="7" xfId="2673" applyNumberFormat="1" applyFont="1" applyFill="1" applyBorder="1" applyAlignment="1">
      <alignment horizontal="center" vertical="center" wrapText="1"/>
    </xf>
    <xf numFmtId="0" fontId="148" fillId="43" borderId="56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6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6" xfId="2673" applyFont="1" applyFill="1" applyBorder="1" applyAlignment="1">
      <alignment horizontal="center" vertical="center" wrapText="1"/>
    </xf>
    <xf numFmtId="2" fontId="137" fillId="43" borderId="60" xfId="2673" applyNumberFormat="1" applyFont="1" applyFill="1" applyBorder="1" applyAlignment="1">
      <alignment horizontal="center" vertical="center" wrapText="1"/>
    </xf>
    <xf numFmtId="2" fontId="137" fillId="43" borderId="89" xfId="2673" applyNumberFormat="1" applyFont="1" applyFill="1" applyBorder="1" applyAlignment="1">
      <alignment horizontal="center" vertical="center" wrapText="1"/>
    </xf>
    <xf numFmtId="0" fontId="11" fillId="34" borderId="74" xfId="2670" applyFill="1" applyBorder="1" applyAlignment="1">
      <alignment horizontal="center" vertical="center"/>
    </xf>
    <xf numFmtId="0" fontId="140" fillId="0" borderId="75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17" fillId="0" borderId="60" xfId="2677" applyFont="1" applyBorder="1" applyAlignment="1">
      <alignment horizontal="center"/>
    </xf>
    <xf numFmtId="0" fontId="117" fillId="0" borderId="61" xfId="2677" applyFont="1" applyBorder="1" applyAlignment="1">
      <alignment horizontal="center"/>
    </xf>
    <xf numFmtId="0" fontId="117" fillId="0" borderId="62" xfId="2677" applyFont="1" applyBorder="1" applyAlignment="1">
      <alignment horizontal="center"/>
    </xf>
    <xf numFmtId="0" fontId="117" fillId="0" borderId="63" xfId="2677" applyFont="1" applyBorder="1" applyAlignment="1">
      <alignment horizontal="center"/>
    </xf>
    <xf numFmtId="0" fontId="117" fillId="0" borderId="7" xfId="2677" applyFont="1" applyBorder="1" applyAlignment="1">
      <alignment horizontal="center"/>
    </xf>
    <xf numFmtId="0" fontId="117" fillId="0" borderId="41" xfId="2677" applyFont="1" applyBorder="1" applyAlignment="1">
      <alignment horizontal="center"/>
    </xf>
    <xf numFmtId="0" fontId="117" fillId="0" borderId="3" xfId="2677" applyFont="1" applyBorder="1" applyAlignment="1">
      <alignment horizontal="center"/>
    </xf>
    <xf numFmtId="0" fontId="117" fillId="0" borderId="39" xfId="2677" applyFont="1" applyBorder="1" applyAlignment="1">
      <alignment horizontal="center"/>
    </xf>
    <xf numFmtId="15" fontId="117" fillId="0" borderId="3" xfId="2677" applyNumberFormat="1" applyFont="1" applyBorder="1" applyAlignment="1">
      <alignment horizontal="center"/>
    </xf>
    <xf numFmtId="0" fontId="117" fillId="0" borderId="139" xfId="2677" applyFont="1" applyBorder="1" applyAlignment="1">
      <alignment horizontal="center" vertical="center"/>
    </xf>
    <xf numFmtId="0" fontId="117" fillId="0" borderId="140" xfId="2677" applyFont="1" applyBorder="1" applyAlignment="1">
      <alignment horizontal="center" vertical="center"/>
    </xf>
    <xf numFmtId="0" fontId="117" fillId="0" borderId="0" xfId="2677" applyFont="1" applyAlignment="1">
      <alignment horizontal="center" vertical="center" wrapText="1"/>
    </xf>
    <xf numFmtId="0" fontId="117" fillId="0" borderId="37" xfId="2677" applyFont="1" applyBorder="1" applyAlignment="1">
      <alignment horizontal="center" vertical="center" wrapText="1"/>
    </xf>
    <xf numFmtId="0" fontId="117" fillId="0" borderId="44" xfId="2677" applyFont="1" applyBorder="1" applyAlignment="1">
      <alignment horizontal="center" vertical="center" wrapText="1"/>
    </xf>
    <xf numFmtId="0" fontId="117" fillId="0" borderId="45" xfId="2677" applyFont="1" applyBorder="1" applyAlignment="1">
      <alignment horizontal="center" vertical="center" wrapText="1"/>
    </xf>
    <xf numFmtId="0" fontId="122" fillId="0" borderId="72" xfId="2677" applyFont="1" applyBorder="1" applyAlignment="1">
      <alignment horizontal="center" vertical="center" wrapText="1"/>
    </xf>
    <xf numFmtId="0" fontId="122" fillId="0" borderId="73" xfId="2677" applyFont="1" applyBorder="1" applyAlignment="1">
      <alignment horizontal="center" vertical="center" wrapText="1"/>
    </xf>
    <xf numFmtId="0" fontId="117" fillId="0" borderId="7" xfId="2677" applyFont="1" applyBorder="1" applyAlignment="1">
      <alignment horizontal="center" vertical="top" wrapText="1"/>
    </xf>
    <xf numFmtId="0" fontId="117" fillId="0" borderId="41" xfId="2677" applyFont="1" applyBorder="1" applyAlignment="1">
      <alignment horizontal="center" vertical="top" wrapText="1"/>
    </xf>
    <xf numFmtId="0" fontId="118" fillId="0" borderId="18" xfId="2677" applyFont="1" applyBorder="1" applyAlignment="1">
      <alignment horizontal="left" vertical="top" wrapText="1"/>
    </xf>
    <xf numFmtId="0" fontId="118" fillId="0" borderId="0" xfId="2677" applyFont="1" applyAlignment="1">
      <alignment horizontal="left" vertical="top" wrapText="1"/>
    </xf>
    <xf numFmtId="0" fontId="122" fillId="0" borderId="70" xfId="2677" applyFont="1" applyBorder="1" applyAlignment="1">
      <alignment horizontal="center" vertical="center"/>
    </xf>
    <xf numFmtId="0" fontId="122" fillId="0" borderId="145" xfId="2677" applyFont="1" applyBorder="1" applyAlignment="1">
      <alignment horizontal="center" vertical="center"/>
    </xf>
    <xf numFmtId="49" fontId="117" fillId="0" borderId="7" xfId="2677" applyNumberFormat="1" applyFont="1" applyBorder="1" applyAlignment="1">
      <alignment horizontal="center" vertical="top" wrapText="1"/>
    </xf>
    <xf numFmtId="49" fontId="117" fillId="0" borderId="41" xfId="2677" applyNumberFormat="1" applyFont="1" applyBorder="1" applyAlignment="1">
      <alignment horizontal="center" vertical="top" wrapText="1"/>
    </xf>
    <xf numFmtId="0" fontId="121" fillId="0" borderId="70" xfId="2677" applyFont="1" applyBorder="1" applyAlignment="1">
      <alignment horizontal="center" vertical="center"/>
    </xf>
    <xf numFmtId="0" fontId="121" fillId="0" borderId="71" xfId="2677" applyFont="1" applyBorder="1" applyAlignment="1">
      <alignment horizontal="center" vertical="center"/>
    </xf>
    <xf numFmtId="0" fontId="94" fillId="0" borderId="58" xfId="2677" applyFont="1" applyBorder="1" applyAlignment="1">
      <alignment horizontal="center" vertical="center"/>
    </xf>
    <xf numFmtId="0" fontId="94" fillId="0" borderId="141" xfId="2677" applyFont="1" applyBorder="1" applyAlignment="1">
      <alignment horizontal="center" vertical="center"/>
    </xf>
    <xf numFmtId="49" fontId="117" fillId="0" borderId="50" xfId="2677" applyNumberFormat="1" applyFont="1" applyBorder="1" applyAlignment="1">
      <alignment horizontal="center" vertical="center"/>
    </xf>
    <xf numFmtId="49" fontId="117" fillId="0" borderId="41" xfId="2677" applyNumberFormat="1" applyFont="1" applyBorder="1" applyAlignment="1">
      <alignment horizontal="center" vertical="center"/>
    </xf>
    <xf numFmtId="0" fontId="94" fillId="0" borderId="142" xfId="2677" applyFont="1" applyBorder="1" applyAlignment="1">
      <alignment horizontal="center" vertical="center"/>
    </xf>
    <xf numFmtId="0" fontId="94" fillId="0" borderId="143" xfId="2677" applyFont="1" applyBorder="1" applyAlignment="1">
      <alignment horizontal="center" vertical="center"/>
    </xf>
    <xf numFmtId="49" fontId="117" fillId="0" borderId="7" xfId="2677" applyNumberFormat="1" applyFont="1" applyBorder="1" applyAlignment="1">
      <alignment horizontal="center" vertical="center"/>
    </xf>
    <xf numFmtId="49" fontId="94" fillId="0" borderId="57" xfId="2677" applyNumberFormat="1" applyFont="1" applyBorder="1" applyAlignment="1">
      <alignment horizontal="center" vertical="center"/>
    </xf>
    <xf numFmtId="49" fontId="94" fillId="0" borderId="40" xfId="2677" applyNumberFormat="1" applyFont="1" applyBorder="1" applyAlignment="1">
      <alignment horizontal="center" vertical="center"/>
    </xf>
    <xf numFmtId="0" fontId="94" fillId="0" borderId="57" xfId="2677" applyFont="1" applyBorder="1" applyAlignment="1">
      <alignment horizontal="center" vertical="center"/>
    </xf>
    <xf numFmtId="0" fontId="94" fillId="0" borderId="40" xfId="2677" applyFont="1" applyBorder="1" applyAlignment="1">
      <alignment horizontal="center" vertical="center"/>
    </xf>
    <xf numFmtId="49" fontId="135" fillId="0" borderId="57" xfId="2677" applyNumberFormat="1" applyFont="1" applyBorder="1" applyAlignment="1">
      <alignment horizontal="center" vertical="center"/>
    </xf>
    <xf numFmtId="49" fontId="135" fillId="0" borderId="40" xfId="2677" applyNumberFormat="1" applyFont="1" applyBorder="1" applyAlignment="1">
      <alignment horizontal="center" vertical="center"/>
    </xf>
    <xf numFmtId="0" fontId="94" fillId="0" borderId="57" xfId="2677" applyFont="1" applyBorder="1" applyAlignment="1">
      <alignment horizontal="left" vertical="center"/>
    </xf>
    <xf numFmtId="0" fontId="94" fillId="0" borderId="40" xfId="2677" applyFont="1" applyBorder="1" applyAlignment="1">
      <alignment horizontal="left" vertical="center"/>
    </xf>
    <xf numFmtId="0" fontId="94" fillId="0" borderId="58" xfId="2677" applyFont="1" applyBorder="1" applyAlignment="1">
      <alignment horizontal="left" vertical="center"/>
    </xf>
    <xf numFmtId="0" fontId="94" fillId="0" borderId="141" xfId="2677" applyFont="1" applyBorder="1" applyAlignment="1">
      <alignment horizontal="left" vertical="center"/>
    </xf>
    <xf numFmtId="0" fontId="135" fillId="0" borderId="58" xfId="2677" applyFont="1" applyBorder="1" applyAlignment="1">
      <alignment horizontal="center" vertical="center"/>
    </xf>
    <xf numFmtId="0" fontId="135" fillId="0" borderId="59" xfId="2677" applyFont="1" applyBorder="1" applyAlignment="1">
      <alignment horizontal="center" vertical="center"/>
    </xf>
    <xf numFmtId="0" fontId="117" fillId="0" borderId="139" xfId="2677" applyFont="1" applyBorder="1" applyAlignment="1">
      <alignment horizontal="center"/>
    </xf>
    <xf numFmtId="0" fontId="117" fillId="0" borderId="140" xfId="2677" applyFont="1" applyBorder="1" applyAlignment="1">
      <alignment horizontal="center"/>
    </xf>
    <xf numFmtId="0" fontId="118" fillId="0" borderId="18" xfId="2677" applyFont="1" applyBorder="1" applyAlignment="1">
      <alignment horizontal="left"/>
    </xf>
    <xf numFmtId="0" fontId="118" fillId="0" borderId="0" xfId="2677" applyFont="1" applyAlignment="1">
      <alignment horizontal="left"/>
    </xf>
    <xf numFmtId="0" fontId="118" fillId="0" borderId="37" xfId="2677" applyFont="1" applyBorder="1" applyAlignment="1">
      <alignment horizontal="left"/>
    </xf>
    <xf numFmtId="0" fontId="134" fillId="0" borderId="50" xfId="2677" applyFont="1" applyBorder="1" applyAlignment="1">
      <alignment horizontal="center" vertical="center"/>
    </xf>
    <xf numFmtId="0" fontId="134" fillId="0" borderId="7" xfId="2677" applyFont="1" applyBorder="1" applyAlignment="1">
      <alignment horizontal="center" vertical="center"/>
    </xf>
    <xf numFmtId="0" fontId="134" fillId="0" borderId="41" xfId="2677" applyFont="1" applyBorder="1" applyAlignment="1">
      <alignment horizontal="center" vertical="center"/>
    </xf>
    <xf numFmtId="0" fontId="118" fillId="0" borderId="50" xfId="2677" applyFont="1" applyBorder="1" applyAlignment="1">
      <alignment horizontal="center" vertical="center"/>
    </xf>
    <xf numFmtId="0" fontId="118" fillId="0" borderId="7" xfId="2677" applyFont="1" applyBorder="1" applyAlignment="1">
      <alignment horizontal="center" vertical="center"/>
    </xf>
    <xf numFmtId="0" fontId="118" fillId="0" borderId="56" xfId="2677" applyFont="1" applyBorder="1" applyAlignment="1">
      <alignment horizontal="center" vertical="center"/>
    </xf>
    <xf numFmtId="0" fontId="133" fillId="0" borderId="55" xfId="2677" applyFont="1" applyBorder="1" applyAlignment="1">
      <alignment horizontal="center" vertical="center"/>
    </xf>
    <xf numFmtId="0" fontId="133" fillId="0" borderId="36" xfId="2677" applyFont="1" applyBorder="1" applyAlignment="1">
      <alignment horizontal="center" vertical="center"/>
    </xf>
    <xf numFmtId="0" fontId="133" fillId="0" borderId="48" xfId="2677" applyFont="1" applyBorder="1" applyAlignment="1">
      <alignment horizontal="center" vertical="center"/>
    </xf>
    <xf numFmtId="0" fontId="133" fillId="0" borderId="43" xfId="2677" applyFont="1" applyBorder="1" applyAlignment="1">
      <alignment horizontal="center" vertical="center"/>
    </xf>
    <xf numFmtId="0" fontId="133" fillId="0" borderId="44" xfId="2677" applyFont="1" applyBorder="1" applyAlignment="1">
      <alignment horizontal="center" vertical="center"/>
    </xf>
    <xf numFmtId="0" fontId="133" fillId="0" borderId="45" xfId="2677" applyFont="1" applyBorder="1" applyAlignment="1">
      <alignment horizontal="center" vertical="center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  <xf numFmtId="0" fontId="94" fillId="0" borderId="146" xfId="2677" applyFont="1" applyBorder="1" applyAlignment="1">
      <alignment horizontal="left" vertical="center"/>
    </xf>
    <xf numFmtId="0" fontId="94" fillId="0" borderId="147" xfId="2677" applyFont="1" applyBorder="1" applyAlignment="1">
      <alignment horizontal="left" vertical="center"/>
    </xf>
    <xf numFmtId="0" fontId="94" fillId="0" borderId="148" xfId="2677" applyFont="1" applyBorder="1" applyAlignment="1">
      <alignment horizontal="left" vertical="center"/>
    </xf>
    <xf numFmtId="0" fontId="94" fillId="0" borderId="149" xfId="2677" applyFont="1" applyBorder="1" applyAlignment="1">
      <alignment horizontal="left" vertical="center"/>
    </xf>
    <xf numFmtId="0" fontId="94" fillId="0" borderId="150" xfId="2677" applyFont="1" applyBorder="1" applyAlignment="1">
      <alignment horizontal="left" vertical="center"/>
    </xf>
    <xf numFmtId="43" fontId="117" fillId="0" borderId="0" xfId="2677" applyNumberFormat="1" applyFont="1" applyAlignment="1">
      <alignment horizontal="center" vertical="center" wrapText="1"/>
    </xf>
    <xf numFmtId="0" fontId="1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vertical="center" wrapText="1"/>
    </xf>
  </cellXfs>
  <cellStyles count="5654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8 2" xfId="5653" xr:uid="{E0CD8694-8F92-4C73-BF2C-5E4038C7CF4E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styles" Target="styles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7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7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122</xdr:row>
      <xdr:rowOff>81642</xdr:rowOff>
    </xdr:from>
    <xdr:to>
      <xdr:col>10</xdr:col>
      <xdr:colOff>1391926</xdr:colOff>
      <xdr:row>125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219808</xdr:colOff>
      <xdr:row>6</xdr:row>
      <xdr:rowOff>43962</xdr:rowOff>
    </xdr:from>
    <xdr:to>
      <xdr:col>11</xdr:col>
      <xdr:colOff>233156</xdr:colOff>
      <xdr:row>51</xdr:row>
      <xdr:rowOff>135421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A6D783A9-F88A-441A-8B74-9765281224C0}"/>
            </a:ext>
          </a:extLst>
        </xdr:cNvPr>
        <xdr:cNvCxnSpPr/>
      </xdr:nvCxnSpPr>
      <xdr:spPr>
        <a:xfrm flipH="1" flipV="1">
          <a:off x="4125058" y="989135"/>
          <a:ext cx="13348" cy="7044709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295275</xdr:colOff>
      <xdr:row>1</xdr:row>
      <xdr:rowOff>142875</xdr:rowOff>
    </xdr:from>
    <xdr:to>
      <xdr:col>3</xdr:col>
      <xdr:colOff>0</xdr:colOff>
      <xdr:row>5</xdr:row>
      <xdr:rowOff>9525</xdr:rowOff>
    </xdr:to>
    <xdr:pic>
      <xdr:nvPicPr>
        <xdr:cNvPr id="4" name="Picture 624" descr="c.jpg">
          <a:extLst>
            <a:ext uri="{FF2B5EF4-FFF2-40B4-BE49-F238E27FC236}">
              <a16:creationId xmlns:a16="http://schemas.microsoft.com/office/drawing/2014/main" id="{89C32145-C58B-49AB-8D8F-A45DCA4F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04800"/>
          <a:ext cx="4667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178841</xdr:colOff>
      <xdr:row>36</xdr:row>
      <xdr:rowOff>122943</xdr:rowOff>
    </xdr:from>
    <xdr:to>
      <xdr:col>12</xdr:col>
      <xdr:colOff>190500</xdr:colOff>
      <xdr:row>46</xdr:row>
      <xdr:rowOff>54429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45021E8D-B83D-49EA-8F60-E91191F2A5B0}"/>
            </a:ext>
          </a:extLst>
        </xdr:cNvPr>
        <xdr:cNvCxnSpPr>
          <a:stCxn id="19" idx="3"/>
        </xdr:cNvCxnSpPr>
      </xdr:nvCxnSpPr>
      <xdr:spPr>
        <a:xfrm>
          <a:off x="4467812" y="5652886"/>
          <a:ext cx="11659" cy="1477257"/>
        </a:xfrm>
        <a:prstGeom prst="line">
          <a:avLst/>
        </a:prstGeom>
        <a:ln w="158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331243</xdr:colOff>
      <xdr:row>36</xdr:row>
      <xdr:rowOff>48488</xdr:rowOff>
    </xdr:from>
    <xdr:to>
      <xdr:col>13</xdr:col>
      <xdr:colOff>133123</xdr:colOff>
      <xdr:row>36</xdr:row>
      <xdr:rowOff>138080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8F17097B-57A7-4658-BDF3-48F4D8F757B8}"/>
            </a:ext>
          </a:extLst>
        </xdr:cNvPr>
        <xdr:cNvGrpSpPr/>
      </xdr:nvGrpSpPr>
      <xdr:grpSpPr>
        <a:xfrm>
          <a:off x="4617493" y="5616950"/>
          <a:ext cx="182880" cy="89592"/>
          <a:chOff x="5810250" y="2026920"/>
          <a:chExt cx="182880" cy="91440"/>
        </a:xfrm>
      </xdr:grpSpPr>
      <xdr:sp macro="" textlink="">
        <xdr:nvSpPr>
          <xdr:cNvPr id="32" name="Isosceles Triangle 31">
            <a:extLst>
              <a:ext uri="{FF2B5EF4-FFF2-40B4-BE49-F238E27FC236}">
                <a16:creationId xmlns:a16="http://schemas.microsoft.com/office/drawing/2014/main" id="{E4FD3F5D-AB94-4D99-9130-3039FE999246}"/>
              </a:ext>
            </a:extLst>
          </xdr:cNvPr>
          <xdr:cNvSpPr/>
        </xdr:nvSpPr>
        <xdr:spPr>
          <a:xfrm>
            <a:off x="5897880" y="2026920"/>
            <a:ext cx="95250" cy="8763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3" name="Isosceles Triangle 32">
            <a:extLst>
              <a:ext uri="{FF2B5EF4-FFF2-40B4-BE49-F238E27FC236}">
                <a16:creationId xmlns:a16="http://schemas.microsoft.com/office/drawing/2014/main" id="{E5FEB9BC-B75C-4820-B4A5-26FEF077A427}"/>
              </a:ext>
            </a:extLst>
          </xdr:cNvPr>
          <xdr:cNvSpPr/>
        </xdr:nvSpPr>
        <xdr:spPr>
          <a:xfrm>
            <a:off x="5810250" y="2026920"/>
            <a:ext cx="95250" cy="8763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4" name="Isosceles Triangle 33">
            <a:extLst>
              <a:ext uri="{FF2B5EF4-FFF2-40B4-BE49-F238E27FC236}">
                <a16:creationId xmlns:a16="http://schemas.microsoft.com/office/drawing/2014/main" id="{571C25E0-6D45-4DD1-AF32-E12F57AD4137}"/>
              </a:ext>
            </a:extLst>
          </xdr:cNvPr>
          <xdr:cNvSpPr/>
        </xdr:nvSpPr>
        <xdr:spPr>
          <a:xfrm>
            <a:off x="5855970" y="2030730"/>
            <a:ext cx="95250" cy="87630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154639</xdr:colOff>
      <xdr:row>37</xdr:row>
      <xdr:rowOff>5901</xdr:rowOff>
    </xdr:from>
    <xdr:to>
      <xdr:col>15</xdr:col>
      <xdr:colOff>9859</xdr:colOff>
      <xdr:row>38</xdr:row>
      <xdr:rowOff>57167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D535BD38-B303-4F27-8A97-7491CCBB0CF2}"/>
            </a:ext>
          </a:extLst>
        </xdr:cNvPr>
        <xdr:cNvSpPr txBox="1"/>
      </xdr:nvSpPr>
      <xdr:spPr>
        <a:xfrm>
          <a:off x="4440889" y="5735555"/>
          <a:ext cx="998220" cy="2124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600">
              <a:solidFill>
                <a:srgbClr val="FF0000"/>
              </a:solidFill>
            </a:rPr>
            <a:t>Trafo Mobile 100 kVA</a:t>
          </a:r>
        </a:p>
      </xdr:txBody>
    </xdr:sp>
    <xdr:clientData/>
  </xdr:twoCellAnchor>
  <xdr:twoCellAnchor>
    <xdr:from>
      <xdr:col>12</xdr:col>
      <xdr:colOff>82644</xdr:colOff>
      <xdr:row>9</xdr:row>
      <xdr:rowOff>67538</xdr:rowOff>
    </xdr:from>
    <xdr:to>
      <xdr:col>13</xdr:col>
      <xdr:colOff>16701</xdr:colOff>
      <xdr:row>10</xdr:row>
      <xdr:rowOff>47147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BA85EA91-B30B-4E04-871E-814578B4198F}"/>
            </a:ext>
          </a:extLst>
        </xdr:cNvPr>
        <xdr:cNvSpPr/>
      </xdr:nvSpPr>
      <xdr:spPr>
        <a:xfrm>
          <a:off x="4373035" y="1459016"/>
          <a:ext cx="315057" cy="128696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600" b="1">
              <a:solidFill>
                <a:schemeClr val="tx1"/>
              </a:solidFill>
            </a:rPr>
            <a:t>APP</a:t>
          </a:r>
        </a:p>
      </xdr:txBody>
    </xdr:sp>
    <xdr:clientData/>
  </xdr:twoCellAnchor>
  <xdr:twoCellAnchor>
    <xdr:from>
      <xdr:col>14</xdr:col>
      <xdr:colOff>313152</xdr:colOff>
      <xdr:row>34</xdr:row>
      <xdr:rowOff>45208</xdr:rowOff>
    </xdr:from>
    <xdr:to>
      <xdr:col>18</xdr:col>
      <xdr:colOff>21799</xdr:colOff>
      <xdr:row>41</xdr:row>
      <xdr:rowOff>136008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5C104910-B03F-4507-AFBC-0AE6630BB73C}"/>
            </a:ext>
          </a:extLst>
        </xdr:cNvPr>
        <xdr:cNvSpPr txBox="1"/>
      </xdr:nvSpPr>
      <xdr:spPr>
        <a:xfrm>
          <a:off x="5361402" y="5305939"/>
          <a:ext cx="1232647" cy="118251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100" b="1" i="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DC SYG16-88/18</a:t>
          </a:r>
        </a:p>
        <a:p>
          <a:pPr algn="l"/>
          <a:r>
            <a:rPr lang="en-US" sz="1000" baseline="0">
              <a:solidFill>
                <a:schemeClr val="tx1"/>
              </a:solidFill>
            </a:rPr>
            <a:t>C14-200 DAN</a:t>
          </a:r>
        </a:p>
        <a:p>
          <a:pPr algn="l"/>
          <a:r>
            <a:rPr lang="en-US" sz="1000" baseline="0">
              <a:solidFill>
                <a:schemeClr val="tx1"/>
              </a:solidFill>
            </a:rPr>
            <a:t>2 CC18-A</a:t>
          </a:r>
        </a:p>
        <a:p>
          <a:pPr algn="l"/>
          <a:r>
            <a:rPr lang="en-US" sz="1000" baseline="0">
              <a:solidFill>
                <a:srgbClr val="FF0000"/>
              </a:solidFill>
            </a:rPr>
            <a:t>1 CG-312A</a:t>
          </a:r>
        </a:p>
        <a:p>
          <a:pPr algn="l"/>
          <a:r>
            <a:rPr lang="en-US" sz="10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1000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5</xdr:col>
      <xdr:colOff>337457</xdr:colOff>
      <xdr:row>33</xdr:row>
      <xdr:rowOff>11595</xdr:rowOff>
    </xdr:from>
    <xdr:to>
      <xdr:col>10</xdr:col>
      <xdr:colOff>351206</xdr:colOff>
      <xdr:row>44</xdr:row>
      <xdr:rowOff>64368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F97D774C-C6E0-43D2-97E6-2790B26ACE10}"/>
            </a:ext>
          </a:extLst>
        </xdr:cNvPr>
        <xdr:cNvSpPr/>
      </xdr:nvSpPr>
      <xdr:spPr>
        <a:xfrm>
          <a:off x="1959428" y="5084338"/>
          <a:ext cx="1918749" cy="1750944"/>
        </a:xfrm>
        <a:prstGeom prst="rect">
          <a:avLst/>
        </a:prstGeom>
        <a:noFill/>
        <a:ln w="952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PT.</a:t>
          </a:r>
          <a:r>
            <a:rPr lang="en-ID" sz="800" b="1" baseline="0">
              <a:solidFill>
                <a:schemeClr val="tx1"/>
              </a:solidFill>
            </a:rPr>
            <a:t> MAKUKU</a:t>
          </a:r>
          <a:endParaRPr lang="en-ID" sz="800" b="1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158572</xdr:colOff>
      <xdr:row>10</xdr:row>
      <xdr:rowOff>76455</xdr:rowOff>
    </xdr:from>
    <xdr:to>
      <xdr:col>12</xdr:col>
      <xdr:colOff>310127</xdr:colOff>
      <xdr:row>11</xdr:row>
      <xdr:rowOff>59810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E788537-15F2-95A0-48E5-AEC0F592D7BF}"/>
            </a:ext>
          </a:extLst>
        </xdr:cNvPr>
        <xdr:cNvGrpSpPr/>
      </xdr:nvGrpSpPr>
      <xdr:grpSpPr>
        <a:xfrm rot="21333083">
          <a:off x="4444822" y="1637090"/>
          <a:ext cx="151555" cy="13722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F33A8DF4-93B5-BE28-D318-E53E4AA7F01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D492FE14-A5D3-6041-008D-E1C10F65484D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C8500190-B0BA-2364-994C-491CB8B1233E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223184</xdr:colOff>
      <xdr:row>11</xdr:row>
      <xdr:rowOff>59603</xdr:rowOff>
    </xdr:from>
    <xdr:to>
      <xdr:col>12</xdr:col>
      <xdr:colOff>239672</xdr:colOff>
      <xdr:row>36</xdr:row>
      <xdr:rowOff>2105</xdr:rowOff>
    </xdr:to>
    <xdr:cxnSp macro="">
      <xdr:nvCxnSpPr>
        <xdr:cNvPr id="41" name="Straight Connector 40">
          <a:extLst>
            <a:ext uri="{FF2B5EF4-FFF2-40B4-BE49-F238E27FC236}">
              <a16:creationId xmlns:a16="http://schemas.microsoft.com/office/drawing/2014/main" id="{FFA6938F-9CCD-DC5F-8A08-6E06CE0C3AB9}"/>
            </a:ext>
          </a:extLst>
        </xdr:cNvPr>
        <xdr:cNvCxnSpPr>
          <a:stCxn id="13" idx="4"/>
          <a:endCxn id="19" idx="0"/>
        </xdr:cNvCxnSpPr>
      </xdr:nvCxnSpPr>
      <xdr:spPr>
        <a:xfrm flipH="1">
          <a:off x="4509434" y="1774103"/>
          <a:ext cx="16488" cy="3796464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161410</xdr:colOff>
      <xdr:row>16</xdr:row>
      <xdr:rowOff>90890</xdr:rowOff>
    </xdr:from>
    <xdr:to>
      <xdr:col>12</xdr:col>
      <xdr:colOff>312965</xdr:colOff>
      <xdr:row>17</xdr:row>
      <xdr:rowOff>74245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917CF02-C060-4A94-8638-55AFEDE45A54}"/>
            </a:ext>
          </a:extLst>
        </xdr:cNvPr>
        <xdr:cNvGrpSpPr/>
      </xdr:nvGrpSpPr>
      <xdr:grpSpPr>
        <a:xfrm rot="21333083">
          <a:off x="4447660" y="2582044"/>
          <a:ext cx="151555" cy="13722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ABFD6B86-8C0A-4BB1-96B2-8A19A8910A9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6D06545D-58BF-4D2F-9E72-698A5649EB96}"/>
              </a:ext>
            </a:extLst>
          </xdr:cNvPr>
          <xdr:cNvCxnSpPr>
            <a:stCxn id="7" idx="1"/>
            <a:endCxn id="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70F67E84-C355-4502-AAA4-79040DBA3F43}"/>
              </a:ext>
            </a:extLst>
          </xdr:cNvPr>
          <xdr:cNvCxnSpPr>
            <a:stCxn id="7" idx="3"/>
            <a:endCxn id="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167155</xdr:colOff>
      <xdr:row>22</xdr:row>
      <xdr:rowOff>70373</xdr:rowOff>
    </xdr:from>
    <xdr:to>
      <xdr:col>12</xdr:col>
      <xdr:colOff>318710</xdr:colOff>
      <xdr:row>23</xdr:row>
      <xdr:rowOff>53728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6B3D4E5C-5645-419E-8847-4A51379F5227}"/>
            </a:ext>
          </a:extLst>
        </xdr:cNvPr>
        <xdr:cNvGrpSpPr/>
      </xdr:nvGrpSpPr>
      <xdr:grpSpPr>
        <a:xfrm rot="21333083">
          <a:off x="4453405" y="3484719"/>
          <a:ext cx="151555" cy="13722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" name="Oval 14">
            <a:extLst>
              <a:ext uri="{FF2B5EF4-FFF2-40B4-BE49-F238E27FC236}">
                <a16:creationId xmlns:a16="http://schemas.microsoft.com/office/drawing/2014/main" id="{2FC365CA-E5DA-4771-AEAC-2780E53915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CDF1B22B-8ACD-4FB5-8C15-BD74019C708A}"/>
              </a:ext>
            </a:extLst>
          </xdr:cNvPr>
          <xdr:cNvCxnSpPr>
            <a:stCxn id="15" idx="1"/>
            <a:endCxn id="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667C35-5301-470F-B402-B2D49AD45E2C}"/>
              </a:ext>
            </a:extLst>
          </xdr:cNvPr>
          <xdr:cNvCxnSpPr>
            <a:stCxn id="15" idx="3"/>
            <a:endCxn id="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162772</xdr:colOff>
      <xdr:row>28</xdr:row>
      <xdr:rowOff>138399</xdr:rowOff>
    </xdr:from>
    <xdr:to>
      <xdr:col>12</xdr:col>
      <xdr:colOff>314327</xdr:colOff>
      <xdr:row>29</xdr:row>
      <xdr:rowOff>118441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74E8C854-8B74-4189-BB77-396AE22F4787}"/>
            </a:ext>
          </a:extLst>
        </xdr:cNvPr>
        <xdr:cNvGrpSpPr/>
      </xdr:nvGrpSpPr>
      <xdr:grpSpPr>
        <a:xfrm rot="21333083">
          <a:off x="4449022" y="4475937"/>
          <a:ext cx="151555" cy="13390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C75AC996-4ED4-422C-94E8-9D6427971FC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E8EECFE7-8537-4CF5-B36C-D2DD5F0024AF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8C13D128-67F4-42AE-A797-E1CABA805B8A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158168</xdr:colOff>
      <xdr:row>36</xdr:row>
      <xdr:rowOff>7341</xdr:rowOff>
    </xdr:from>
    <xdr:to>
      <xdr:col>10</xdr:col>
      <xdr:colOff>309723</xdr:colOff>
      <xdr:row>36</xdr:row>
      <xdr:rowOff>144456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4D4D3E01-8854-557A-79BB-AAEE4AE2F655}"/>
            </a:ext>
          </a:extLst>
        </xdr:cNvPr>
        <xdr:cNvGrpSpPr/>
      </xdr:nvGrpSpPr>
      <xdr:grpSpPr>
        <a:xfrm rot="21333083">
          <a:off x="3682418" y="5575803"/>
          <a:ext cx="151555" cy="1371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6" name="Oval 45">
            <a:extLst>
              <a:ext uri="{FF2B5EF4-FFF2-40B4-BE49-F238E27FC236}">
                <a16:creationId xmlns:a16="http://schemas.microsoft.com/office/drawing/2014/main" id="{E77CEC73-2BB9-B200-081D-A586505FF5A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D0A45338-E526-7967-3EBD-774DF785B276}"/>
              </a:ext>
            </a:extLst>
          </xdr:cNvPr>
          <xdr:cNvCxnSpPr>
            <a:stCxn id="46" idx="1"/>
            <a:endCxn id="4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8DDD35D9-14BA-456B-7296-F5B5FF0BD5ED}"/>
              </a:ext>
            </a:extLst>
          </xdr:cNvPr>
          <xdr:cNvCxnSpPr>
            <a:stCxn id="46" idx="3"/>
            <a:endCxn id="4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163611</xdr:colOff>
      <xdr:row>43</xdr:row>
      <xdr:rowOff>132533</xdr:rowOff>
    </xdr:from>
    <xdr:to>
      <xdr:col>12</xdr:col>
      <xdr:colOff>315166</xdr:colOff>
      <xdr:row>44</xdr:row>
      <xdr:rowOff>117248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3BC3C020-BBB1-AD19-8A16-631706A7DC16}"/>
            </a:ext>
          </a:extLst>
        </xdr:cNvPr>
        <xdr:cNvGrpSpPr/>
      </xdr:nvGrpSpPr>
      <xdr:grpSpPr>
        <a:xfrm rot="21333083">
          <a:off x="4449861" y="6792706"/>
          <a:ext cx="151555" cy="1385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1" name="Oval 50">
            <a:extLst>
              <a:ext uri="{FF2B5EF4-FFF2-40B4-BE49-F238E27FC236}">
                <a16:creationId xmlns:a16="http://schemas.microsoft.com/office/drawing/2014/main" id="{90014E32-3E0D-E06B-8EEE-E76612C4E7D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1C1B2133-8657-5AA8-AAAA-1A5412191394}"/>
              </a:ext>
            </a:extLst>
          </xdr:cNvPr>
          <xdr:cNvCxnSpPr>
            <a:stCxn id="51" idx="1"/>
            <a:endCxn id="5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8FF9784E-EB7F-65B5-EB7A-604EBA7D22D8}"/>
              </a:ext>
            </a:extLst>
          </xdr:cNvPr>
          <xdr:cNvCxnSpPr>
            <a:stCxn id="51" idx="3"/>
            <a:endCxn id="5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309495</xdr:colOff>
      <xdr:row>36</xdr:row>
      <xdr:rowOff>70021</xdr:rowOff>
    </xdr:from>
    <xdr:to>
      <xdr:col>12</xdr:col>
      <xdr:colOff>152952</xdr:colOff>
      <xdr:row>36</xdr:row>
      <xdr:rowOff>76334</xdr:rowOff>
    </xdr:to>
    <xdr:cxnSp macro="">
      <xdr:nvCxnSpPr>
        <xdr:cNvPr id="59" name="Straight Connector 58">
          <a:extLst>
            <a:ext uri="{FF2B5EF4-FFF2-40B4-BE49-F238E27FC236}">
              <a16:creationId xmlns:a16="http://schemas.microsoft.com/office/drawing/2014/main" id="{5F62EE7F-C4EA-8226-98DA-A3B76DF3D4C5}"/>
            </a:ext>
          </a:extLst>
        </xdr:cNvPr>
        <xdr:cNvCxnSpPr>
          <a:stCxn id="46" idx="6"/>
          <a:endCxn id="19" idx="2"/>
        </xdr:cNvCxnSpPr>
      </xdr:nvCxnSpPr>
      <xdr:spPr>
        <a:xfrm>
          <a:off x="3836466" y="5599964"/>
          <a:ext cx="605457" cy="6313"/>
        </a:xfrm>
        <a:prstGeom prst="line">
          <a:avLst/>
        </a:prstGeom>
        <a:ln w="15875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152724</xdr:colOff>
      <xdr:row>36</xdr:row>
      <xdr:rowOff>1898</xdr:rowOff>
    </xdr:from>
    <xdr:to>
      <xdr:col>12</xdr:col>
      <xdr:colOff>304279</xdr:colOff>
      <xdr:row>36</xdr:row>
      <xdr:rowOff>139013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E88E4D0F-D662-4516-BA18-D1B262151D72}"/>
            </a:ext>
          </a:extLst>
        </xdr:cNvPr>
        <xdr:cNvGrpSpPr/>
      </xdr:nvGrpSpPr>
      <xdr:grpSpPr>
        <a:xfrm rot="21333083">
          <a:off x="4438974" y="5570360"/>
          <a:ext cx="151555" cy="1371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" name="Oval 18">
            <a:extLst>
              <a:ext uri="{FF2B5EF4-FFF2-40B4-BE49-F238E27FC236}">
                <a16:creationId xmlns:a16="http://schemas.microsoft.com/office/drawing/2014/main" id="{0EC04A06-7647-4CE0-9AE9-92E53BF8BE7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55570D88-F30F-4CDF-870D-72D267682139}"/>
              </a:ext>
            </a:extLst>
          </xdr:cNvPr>
          <xdr:cNvCxnSpPr>
            <a:stCxn id="19" idx="1"/>
            <a:endCxn id="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B04C71D0-F57A-42E0-934D-CE5DEFA62BC2}"/>
              </a:ext>
            </a:extLst>
          </xdr:cNvPr>
          <xdr:cNvCxnSpPr>
            <a:stCxn id="19" idx="3"/>
            <a:endCxn id="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199019</xdr:colOff>
      <xdr:row>32</xdr:row>
      <xdr:rowOff>68286</xdr:rowOff>
    </xdr:from>
    <xdr:to>
      <xdr:col>13</xdr:col>
      <xdr:colOff>299358</xdr:colOff>
      <xdr:row>33</xdr:row>
      <xdr:rowOff>126878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3B1AADB1-79F8-AABC-E087-24A6F00CE6CF}"/>
            </a:ext>
          </a:extLst>
        </xdr:cNvPr>
        <xdr:cNvSpPr txBox="1"/>
      </xdr:nvSpPr>
      <xdr:spPr>
        <a:xfrm>
          <a:off x="4487990" y="4988629"/>
          <a:ext cx="481339" cy="2109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600">
              <a:solidFill>
                <a:srgbClr val="FF0000"/>
              </a:solidFill>
            </a:rPr>
            <a:t>47 MTR</a:t>
          </a:r>
        </a:p>
      </xdr:txBody>
    </xdr:sp>
    <xdr:clientData/>
  </xdr:twoCellAnchor>
  <xdr:twoCellAnchor>
    <xdr:from>
      <xdr:col>12</xdr:col>
      <xdr:colOff>258890</xdr:colOff>
      <xdr:row>25</xdr:row>
      <xdr:rowOff>24743</xdr:rowOff>
    </xdr:from>
    <xdr:to>
      <xdr:col>13</xdr:col>
      <xdr:colOff>359229</xdr:colOff>
      <xdr:row>26</xdr:row>
      <xdr:rowOff>83335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878E0040-3698-CEC8-D0A9-462797C80CD9}"/>
            </a:ext>
          </a:extLst>
        </xdr:cNvPr>
        <xdr:cNvSpPr txBox="1"/>
      </xdr:nvSpPr>
      <xdr:spPr>
        <a:xfrm>
          <a:off x="4547861" y="3878286"/>
          <a:ext cx="481339" cy="2109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600">
              <a:solidFill>
                <a:srgbClr val="FF0000"/>
              </a:solidFill>
            </a:rPr>
            <a:t>47 MTR</a:t>
          </a:r>
        </a:p>
      </xdr:txBody>
    </xdr:sp>
    <xdr:clientData/>
  </xdr:twoCellAnchor>
  <xdr:twoCellAnchor>
    <xdr:from>
      <xdr:col>12</xdr:col>
      <xdr:colOff>264333</xdr:colOff>
      <xdr:row>18</xdr:row>
      <xdr:rowOff>106386</xdr:rowOff>
    </xdr:from>
    <xdr:to>
      <xdr:col>13</xdr:col>
      <xdr:colOff>364672</xdr:colOff>
      <xdr:row>20</xdr:row>
      <xdr:rowOff>12578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EC3FD3E6-AA21-4C0F-87E4-B79A7D12E13E}"/>
            </a:ext>
          </a:extLst>
        </xdr:cNvPr>
        <xdr:cNvSpPr txBox="1"/>
      </xdr:nvSpPr>
      <xdr:spPr>
        <a:xfrm>
          <a:off x="4553304" y="2893129"/>
          <a:ext cx="481339" cy="2109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600">
              <a:solidFill>
                <a:srgbClr val="FF0000"/>
              </a:solidFill>
            </a:rPr>
            <a:t>48 MTR</a:t>
          </a:r>
        </a:p>
      </xdr:txBody>
    </xdr:sp>
    <xdr:clientData/>
  </xdr:twoCellAnchor>
  <xdr:twoCellAnchor>
    <xdr:from>
      <xdr:col>12</xdr:col>
      <xdr:colOff>258890</xdr:colOff>
      <xdr:row>12</xdr:row>
      <xdr:rowOff>139044</xdr:rowOff>
    </xdr:from>
    <xdr:to>
      <xdr:col>13</xdr:col>
      <xdr:colOff>359229</xdr:colOff>
      <xdr:row>14</xdr:row>
      <xdr:rowOff>34350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AD9897AD-1D76-929F-9EA1-1ED4C3C0093E}"/>
            </a:ext>
          </a:extLst>
        </xdr:cNvPr>
        <xdr:cNvSpPr txBox="1"/>
      </xdr:nvSpPr>
      <xdr:spPr>
        <a:xfrm>
          <a:off x="4547861" y="2000501"/>
          <a:ext cx="481339" cy="2109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60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13</xdr:col>
      <xdr:colOff>81015</xdr:colOff>
      <xdr:row>2</xdr:row>
      <xdr:rowOff>136151</xdr:rowOff>
    </xdr:from>
    <xdr:to>
      <xdr:col>18</xdr:col>
      <xdr:colOff>94764</xdr:colOff>
      <xdr:row>14</xdr:row>
      <xdr:rowOff>35059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F3DF0E5E-F689-8812-059B-DA1E4FFF96C3}"/>
            </a:ext>
          </a:extLst>
        </xdr:cNvPr>
        <xdr:cNvSpPr/>
      </xdr:nvSpPr>
      <xdr:spPr>
        <a:xfrm>
          <a:off x="4748265" y="458536"/>
          <a:ext cx="1918749" cy="1759946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PT.</a:t>
          </a:r>
          <a:r>
            <a:rPr lang="en-ID" sz="800" b="1" baseline="0">
              <a:solidFill>
                <a:srgbClr val="FF0000"/>
              </a:solidFill>
            </a:rPr>
            <a:t> DONLIM</a:t>
          </a:r>
          <a:endParaRPr lang="en-ID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299672</xdr:colOff>
      <xdr:row>27</xdr:row>
      <xdr:rowOff>89515</xdr:rowOff>
    </xdr:from>
    <xdr:to>
      <xdr:col>17</xdr:col>
      <xdr:colOff>51288</xdr:colOff>
      <xdr:row>31</xdr:row>
      <xdr:rowOff>43961</xdr:rowOff>
    </xdr:to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9B35D278-16CC-3040-58D4-D61BC18E2B1E}"/>
            </a:ext>
          </a:extLst>
        </xdr:cNvPr>
        <xdr:cNvSpPr txBox="1"/>
      </xdr:nvSpPr>
      <xdr:spPr>
        <a:xfrm>
          <a:off x="5347922" y="4273188"/>
          <a:ext cx="894616" cy="5699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rgbClr val="FF0000"/>
              </a:solidFill>
            </a:rPr>
            <a:t>SYG16-88/18A</a:t>
          </a:r>
          <a:endParaRPr lang="en-US" sz="800" b="1" u="sng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C9-200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14</xdr:col>
      <xdr:colOff>299672</xdr:colOff>
      <xdr:row>21</xdr:row>
      <xdr:rowOff>111496</xdr:rowOff>
    </xdr:from>
    <xdr:to>
      <xdr:col>17</xdr:col>
      <xdr:colOff>51288</xdr:colOff>
      <xdr:row>25</xdr:row>
      <xdr:rowOff>65943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26E65898-BC0D-2F61-DC20-99B20C50D0AB}"/>
            </a:ext>
          </a:extLst>
        </xdr:cNvPr>
        <xdr:cNvSpPr txBox="1"/>
      </xdr:nvSpPr>
      <xdr:spPr>
        <a:xfrm>
          <a:off x="5347922" y="3371977"/>
          <a:ext cx="894616" cy="5699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rgbClr val="FF0000"/>
              </a:solidFill>
            </a:rPr>
            <a:t>SYG16-88/18B</a:t>
          </a:r>
          <a:endParaRPr lang="en-US" sz="800" b="1" u="sng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C9-200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14</xdr:col>
      <xdr:colOff>263038</xdr:colOff>
      <xdr:row>15</xdr:row>
      <xdr:rowOff>111497</xdr:rowOff>
    </xdr:from>
    <xdr:to>
      <xdr:col>17</xdr:col>
      <xdr:colOff>14654</xdr:colOff>
      <xdr:row>19</xdr:row>
      <xdr:rowOff>65943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3F8E3F8-D1A5-07AF-32B0-3B0B99B5906D}"/>
            </a:ext>
          </a:extLst>
        </xdr:cNvPr>
        <xdr:cNvSpPr txBox="1"/>
      </xdr:nvSpPr>
      <xdr:spPr>
        <a:xfrm>
          <a:off x="5311288" y="2448785"/>
          <a:ext cx="894616" cy="5699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rgbClr val="FF0000"/>
              </a:solidFill>
            </a:rPr>
            <a:t>SYG16-88/18C</a:t>
          </a:r>
          <a:endParaRPr lang="en-US" sz="800" b="1" u="sng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C9-200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</a:p>
      </xdr:txBody>
    </xdr:sp>
    <xdr:clientData/>
  </xdr:twoCellAnchor>
  <xdr:twoCellAnchor>
    <xdr:from>
      <xdr:col>8</xdr:col>
      <xdr:colOff>131885</xdr:colOff>
      <xdr:row>8</xdr:row>
      <xdr:rowOff>45553</xdr:rowOff>
    </xdr:from>
    <xdr:to>
      <xdr:col>11</xdr:col>
      <xdr:colOff>51288</xdr:colOff>
      <xdr:row>14</xdr:row>
      <xdr:rowOff>51289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CCE6733E-9DA7-3054-445C-A87E3BCD390D}"/>
            </a:ext>
          </a:extLst>
        </xdr:cNvPr>
        <xdr:cNvSpPr txBox="1"/>
      </xdr:nvSpPr>
      <xdr:spPr>
        <a:xfrm>
          <a:off x="2894135" y="1298457"/>
          <a:ext cx="1062403" cy="93625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rgbClr val="FF0000"/>
              </a:solidFill>
            </a:rPr>
            <a:t>SYG16-88/18D</a:t>
          </a:r>
          <a:endParaRPr lang="en-US" sz="800" b="1" u="sng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C9-200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APP DAYA 105 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CM2-12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259773</xdr:colOff>
      <xdr:row>29</xdr:row>
      <xdr:rowOff>69273</xdr:rowOff>
    </xdr:from>
    <xdr:to>
      <xdr:col>14</xdr:col>
      <xdr:colOff>329046</xdr:colOff>
      <xdr:row>29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51863677-957A-C8D3-0A9B-478F80F71112}"/>
            </a:ext>
          </a:extLst>
        </xdr:cNvPr>
        <xdr:cNvCxnSpPr/>
      </xdr:nvCxnSpPr>
      <xdr:spPr>
        <a:xfrm flipH="1">
          <a:off x="6823364" y="4554682"/>
          <a:ext cx="675409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536863</xdr:colOff>
      <xdr:row>28</xdr:row>
      <xdr:rowOff>86592</xdr:rowOff>
    </xdr:from>
    <xdr:to>
      <xdr:col>13</xdr:col>
      <xdr:colOff>311727</xdr:colOff>
      <xdr:row>30</xdr:row>
      <xdr:rowOff>69273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D30DC17-0383-E361-6AFF-C319697BBA0B}"/>
            </a:ext>
          </a:extLst>
        </xdr:cNvPr>
        <xdr:cNvSpPr/>
      </xdr:nvSpPr>
      <xdr:spPr>
        <a:xfrm>
          <a:off x="6494318" y="4416137"/>
          <a:ext cx="381000" cy="294409"/>
        </a:xfrm>
        <a:prstGeom prst="rect">
          <a:avLst/>
        </a:prstGeom>
        <a:solidFill>
          <a:srgbClr val="FF0066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450273</xdr:colOff>
      <xdr:row>8</xdr:row>
      <xdr:rowOff>86591</xdr:rowOff>
    </xdr:from>
    <xdr:to>
      <xdr:col>21</xdr:col>
      <xdr:colOff>155864</xdr:colOff>
      <xdr:row>52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6F16F4-C03E-0551-B380-184014C9AA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641" t="16669" r="41452" b="17497"/>
        <a:stretch/>
      </xdr:blipFill>
      <xdr:spPr>
        <a:xfrm>
          <a:off x="571500" y="1489364"/>
          <a:ext cx="11862955" cy="6771409"/>
        </a:xfrm>
        <a:prstGeom prst="rect">
          <a:avLst/>
        </a:prstGeom>
      </xdr:spPr>
    </xdr:pic>
    <xdr:clientData/>
  </xdr:twoCellAnchor>
  <xdr:twoCellAnchor>
    <xdr:from>
      <xdr:col>9</xdr:col>
      <xdr:colOff>571499</xdr:colOff>
      <xdr:row>19</xdr:row>
      <xdr:rowOff>51954</xdr:rowOff>
    </xdr:from>
    <xdr:to>
      <xdr:col>11</xdr:col>
      <xdr:colOff>467591</xdr:colOff>
      <xdr:row>25</xdr:row>
      <xdr:rowOff>103908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C0326-B027-417D-8FBC-E87B36553DDB}"/>
            </a:ext>
          </a:extLst>
        </xdr:cNvPr>
        <xdr:cNvCxnSpPr/>
      </xdr:nvCxnSpPr>
      <xdr:spPr>
        <a:xfrm flipH="1">
          <a:off x="5212772" y="3169227"/>
          <a:ext cx="1108364" cy="987136"/>
        </a:xfrm>
        <a:prstGeom prst="straightConnector1">
          <a:avLst/>
        </a:prstGeom>
        <a:ln w="476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RAB%20FIX/PB%20PT.%20URBAN%20-%201.7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  <sheetName val="prod03"/>
      <sheetName val="C"/>
      <sheetName val="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9">
          <cell r="B9" t="str">
            <v>Perkiraan HSS 2016 = harga pasar 2015 * (100% + sasaran inflasi 2016)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  <sheetName val="Harga BBM Indonesia"/>
      <sheetName val="FORM-B"/>
      <sheetName val="MASTER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>
        <row r="2">
          <cell r="J2">
            <v>420</v>
          </cell>
        </row>
      </sheetData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6">
          <cell r="C6">
            <v>0</v>
          </cell>
        </row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67">
          <cell r="C67" t="str">
            <v>Switch Gear 20kV Maintenance</v>
          </cell>
        </row>
        <row r="68">
          <cell r="C68" t="str">
            <v>Battery 20kV Maintenance</v>
          </cell>
        </row>
        <row r="69">
          <cell r="C69" t="str">
            <v>New Connection Single Phase - Direct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48">
          <cell r="C148" t="str">
            <v>New Connection Single Phase - Direct</v>
          </cell>
        </row>
        <row r="149">
          <cell r="C149" t="str">
            <v>New Connection Single Phase - Indirect</v>
          </cell>
        </row>
        <row r="150">
          <cell r="C150" t="str">
            <v>New Connection Three Phase - Direct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53">
          <cell r="C53" t="str">
            <v>Business Volume in region</v>
          </cell>
        </row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>
        <row r="381">
          <cell r="C381">
            <v>0</v>
          </cell>
        </row>
      </sheetData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>
        <row r="7">
          <cell r="D7" t="str">
            <v>Regional Manager</v>
          </cell>
        </row>
      </sheetData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>
        <row r="8">
          <cell r="B8" t="str">
            <v>West Sumatera</v>
          </cell>
        </row>
      </sheetData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D2. ANALISA HS INSHAR"/>
      <sheetName val="Resume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  <sheetName val="profil 202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8" t="s">
        <v>1133</v>
      </c>
      <c r="C4" s="508"/>
      <c r="D4" s="508"/>
      <c r="E4" s="508"/>
      <c r="F4" s="508"/>
      <c r="G4" s="508"/>
      <c r="H4" s="508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09" t="s">
        <v>0</v>
      </c>
      <c r="C7" s="509" t="s">
        <v>1</v>
      </c>
      <c r="D7" s="510" t="s">
        <v>42</v>
      </c>
      <c r="E7" s="510" t="s">
        <v>43</v>
      </c>
      <c r="F7" s="510" t="s">
        <v>1134</v>
      </c>
      <c r="G7" s="511" t="s">
        <v>41</v>
      </c>
      <c r="H7" s="507" t="s">
        <v>1041</v>
      </c>
      <c r="I7" s="507" t="s">
        <v>1136</v>
      </c>
      <c r="J7" s="507" t="s">
        <v>1025</v>
      </c>
      <c r="K7" s="501" t="s">
        <v>1023</v>
      </c>
      <c r="L7" s="502"/>
    </row>
    <row r="8" spans="1:12" ht="15" customHeight="1">
      <c r="B8" s="509"/>
      <c r="C8" s="509"/>
      <c r="D8" s="510"/>
      <c r="E8" s="510"/>
      <c r="F8" s="510"/>
      <c r="G8" s="511"/>
      <c r="H8" s="507"/>
      <c r="I8" s="507"/>
      <c r="J8" s="507"/>
      <c r="K8" s="503"/>
      <c r="L8" s="504"/>
    </row>
    <row r="9" spans="1:12" ht="15" customHeight="1">
      <c r="B9" s="509"/>
      <c r="C9" s="509"/>
      <c r="D9" s="510"/>
      <c r="E9" s="510"/>
      <c r="F9" s="510"/>
      <c r="G9" s="511"/>
      <c r="H9" s="507"/>
      <c r="I9" s="507"/>
      <c r="J9" s="507"/>
      <c r="K9" s="505"/>
      <c r="L9" s="506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1034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213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Kabel NYY 4 x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50</v>
      </c>
      <c r="G19" s="41">
        <f ca="1">IF(ISERROR(OFFSET('HARGA SATUAN'!$I$6,MATCH(C19,'HARGA SATUAN'!$C$7:$C$1492,0),0)),"",OFFSET('HARGA SATUAN'!$I$6,MATCH(C19,'HARGA SATUAN'!$C$7:$C$1492,0),0))</f>
        <v>421400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SUMIFS(RAB!$F$17:$F$106,RAB!$C$17:$C$106,C714)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SUMIFS(RAB!$F$17:$F$106,RAB!$C$17:$C$106,C715)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SUMIFS(RAB!$F$17:$F$106,RAB!$C$17:$C$106,C716)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SUMIFS(RAB!$F$17:$F$106,RAB!$C$17:$C$106,C717)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SUMIFS(RAB!$F$17:$F$106,RAB!$C$17:$C$106,C718)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SUMIFS(RAB!$F$17:$F$106,RAB!$C$17:$C$106,C719)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SUMIFS(RAB!$F$17:$F$106,RAB!$C$17:$C$106,C720)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SUMIFS(RAB!$F$17:$F$106,RAB!$C$17:$C$106,C721)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SUMIFS(RAB!$F$17:$F$106,RAB!$C$17:$C$106,C722)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SUMIFS(RAB!$F$17:$F$106,RAB!$C$17:$C$106,C723)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SUMIFS(RAB!$F$17:$F$106,RAB!$C$17:$C$106,C724)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SUMIFS(RAB!$F$17:$F$106,RAB!$C$17:$C$106,C725)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SUMIFS(RAB!$F$17:$F$106,RAB!$C$17:$C$106,C726)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SUMIFS(RAB!$F$17:$F$106,RAB!$C$17:$C$106,C727)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SUMIFS(RAB!$F$17:$F$106,RAB!$C$17:$C$106,C728)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SUMIFS(RAB!$F$17:$F$106,RAB!$C$17:$C$106,C729)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SUMIFS(RAB!$F$17:$F$106,RAB!$C$17:$C$106,C730)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SUMIFS(RAB!$F$17:$F$106,RAB!$C$17:$C$106,C731)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SUMIFS(RAB!$F$17:$F$106,RAB!$C$17:$C$106,C732)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SUMIFS(RAB!$F$17:$F$106,RAB!$C$17:$C$106,C733)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SUMIFS(RAB!$F$17:$F$106,RAB!$C$17:$C$106,C734)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SUMIFS(RAB!$F$17:$F$106,RAB!$C$17:$C$106,C735)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SUMIFS(RAB!$F$17:$F$106,RAB!$C$17:$C$106,C736)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SUMIFS(RAB!$F$17:$F$106,RAB!$C$17:$C$106,C737)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SUMIFS(RAB!$F$17:$F$106,RAB!$C$17:$C$106,C738)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SUMIFS(RAB!$F$17:$F$106,RAB!$C$17:$C$106,C739)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SUMIFS(RAB!$F$17:$F$106,RAB!$C$17:$C$106,C740)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SUMIFS(RAB!$F$17:$F$106,RAB!$C$17:$C$106,C741)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SUMIFS(RAB!$F$17:$F$106,RAB!$C$17:$C$106,C742)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SUMIFS(RAB!$F$17:$F$106,RAB!$C$17:$C$106,C743)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SUMIFS(RAB!$F$17:$F$106,RAB!$C$17:$C$106,C744)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SUMIFS(RAB!$F$17:$F$106,RAB!$C$17:$C$106,C745)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SUMIFS(RAB!$F$17:$F$106,RAB!$C$17:$C$106,C746)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SUMIFS(RAB!$F$17:$F$106,RAB!$C$17:$C$106,C747)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SUMIFS(RAB!$F$17:$F$106,RAB!$C$17:$C$106,C748)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SUMIFS(RAB!$F$17:$F$106,RAB!$C$17:$C$106,C749)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SUMIFS(RAB!$F$17:$F$106,RAB!$C$17:$C$106,C750)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SUMIFS(RAB!$F$17:$F$106,RAB!$C$17:$C$106,C751)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SUMIFS(RAB!$F$17:$F$106,RAB!$C$17:$C$106,C752)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SUMIFS(RAB!$F$17:$F$106,RAB!$C$17:$C$106,C753)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SUMIFS(RAB!$F$17:$F$106,RAB!$C$17:$C$106,C754)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SUMIFS(RAB!$F$17:$F$106,RAB!$C$17:$C$106,C755)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SUMIFS(RAB!$F$17:$F$106,RAB!$C$17:$C$106,C756)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SUMIFS(RAB!$F$17:$F$106,RAB!$C$17:$C$106,C757)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SUMIFS(RAB!$F$17:$F$106,RAB!$C$17:$C$106,C758)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SUMIFS(RAB!$F$17:$F$106,RAB!$C$17:$C$106,C759)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SUMIFS(RAB!$F$17:$F$106,RAB!$C$17:$C$106,C760)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SUMIFS(RAB!$F$17:$F$106,RAB!$C$17:$C$106,C761)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SUMIFS(RAB!$F$17:$F$106,RAB!$C$17:$C$106,C762)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SUMIFS(RAB!$F$17:$F$106,RAB!$C$17:$C$106,C763)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SUMIFS(RAB!$F$17:$F$106,RAB!$C$17:$C$106,C764)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SUMIFS(RAB!$F$17:$F$106,RAB!$C$17:$C$106,C765)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SUMIFS(RAB!$F$17:$F$106,RAB!$C$17:$C$106,C766)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SUMIFS(RAB!$F$17:$F$106,RAB!$C$17:$C$106,C767)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SUMIFS(RAB!$F$17:$F$106,RAB!$C$17:$C$106,C768)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SUMIFS(RAB!$F$17:$F$106,RAB!$C$17:$C$106,C769)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SUMIFS(RAB!$F$17:$F$106,RAB!$C$17:$C$106,C770)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SUMIFS(RAB!$F$17:$F$106,RAB!$C$17:$C$106,C771)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SUMIFS(RAB!$F$17:$F$106,RAB!$C$17:$C$106,C772)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SUMIFS(RAB!$F$17:$F$106,RAB!$C$17:$C$106,C773)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SUMIFS(RAB!$F$17:$F$106,RAB!$C$17:$C$106,C774)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SUMIFS(RAB!$F$17:$F$106,RAB!$C$17:$C$106,C775)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SUMIFS(RAB!$F$17:$F$106,RAB!$C$17:$C$106,C776)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SUMIFS(RAB!$F$17:$F$106,RAB!$C$17:$C$106,C777)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SUMIFS(RAB!$F$17:$F$106,RAB!$C$17:$C$106,C778)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SUMIFS(RAB!$F$17:$F$106,RAB!$C$17:$C$106,C779)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SUMIFS(RAB!$F$17:$F$106,RAB!$C$17:$C$106,C780)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SUMIFS(RAB!$F$17:$F$106,RAB!$C$17:$C$106,C781)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SUMIFS(RAB!$F$17:$F$106,RAB!$C$17:$C$106,C782)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SUMIFS(RAB!$F$17:$F$106,RAB!$C$17:$C$106,C783)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SUMIFS(RAB!$F$17:$F$106,RAB!$C$17:$C$106,C784)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SUMIFS(RAB!$F$17:$F$106,RAB!$C$17:$C$106,C785)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SUMIFS(RAB!$F$17:$F$106,RAB!$C$17:$C$106,C786)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SUMIFS(RAB!$F$17:$F$106,RAB!$C$17:$C$106,C787)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SUMIFS(RAB!$F$17:$F$106,RAB!$C$17:$C$106,C788)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SUMIFS(RAB!$F$17:$F$106,RAB!$C$17:$C$106,C789)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SUMIFS(RAB!$F$17:$F$106,RAB!$C$17:$C$106,C790)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SUMIFS(RAB!$F$17:$F$106,RAB!$C$17:$C$106,C791)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SUMIFS(RAB!$F$17:$F$106,RAB!$C$17:$C$106,C792)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SUMIFS(RAB!$F$17:$F$106,RAB!$C$17:$C$106,C793)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SUMIFS(RAB!$F$17:$F$106,RAB!$C$17:$C$106,C794)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SUMIFS(RAB!$F$17:$F$106,RAB!$C$17:$C$106,C795)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SUMIFS(RAB!$F$17:$F$106,RAB!$C$17:$C$106,C796)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SUMIFS(RAB!$F$17:$F$106,RAB!$C$17:$C$106,C797)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SUMIFS(RAB!$F$17:$F$106,RAB!$C$17:$C$106,C798)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SUMIFS(RAB!$F$17:$F$106,RAB!$C$17:$C$106,C799)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SUMIFS(RAB!$F$17:$F$106,RAB!$C$17:$C$106,C800)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SUMIFS(RAB!$F$17:$F$106,RAB!$C$17:$C$106,C801)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SUMIFS(RAB!$F$17:$F$106,RAB!$C$17:$C$106,C802)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SUMIFS(RAB!$F$17:$F$106,RAB!$C$17:$C$106,C803)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SUMIFS(RAB!$F$17:$F$106,RAB!$C$17:$C$106,C804)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SUMIFS(RAB!$F$17:$F$106,RAB!$C$17:$C$106,C805)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SUMIFS(RAB!$F$17:$F$106,RAB!$C$17:$C$106,C806)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SUMIFS(RAB!$F$17:$F$106,RAB!$C$17:$C$106,C807)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SUMIFS(RAB!$F$17:$F$106,RAB!$C$17:$C$106,C808)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SUMIFS(RAB!$F$17:$F$106,RAB!$C$17:$C$106,C809)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SUMIFS(RAB!$F$17:$F$106,RAB!$C$17:$C$106,C810)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SUMIFS(RAB!$F$17:$F$106,RAB!$C$17:$C$106,C811)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SUMIFS(RAB!$F$17:$F$106,RAB!$C$17:$C$106,C812)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SUMIFS(RAB!$F$17:$F$106,RAB!$C$17:$C$106,C813)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SUMIFS(RAB!$F$17:$F$106,RAB!$C$17:$C$106,C814)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SUMIFS(RAB!$F$17:$F$106,RAB!$C$17:$C$106,C815)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SUMIFS(RAB!$F$17:$F$106,RAB!$C$17:$C$106,C816)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SUMIFS(RAB!$F$17:$F$106,RAB!$C$17:$C$106,C817)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SUMIFS(RAB!$F$17:$F$106,RAB!$C$17:$C$106,C818)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SUMIFS(RAB!$F$17:$F$106,RAB!$C$17:$C$106,C819)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SUMIFS(RAB!$F$17:$F$106,RAB!$C$17:$C$106,C820)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SUMIFS(RAB!$F$17:$F$106,RAB!$C$17:$C$106,C821)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SUMIFS(RAB!$F$17:$F$106,RAB!$C$17:$C$106,C822)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SUMIFS(RAB!$F$17:$F$106,RAB!$C$17:$C$106,C823)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SUMIFS(RAB!$F$17:$F$106,RAB!$C$17:$C$106,C824)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SUMIFS(RAB!$F$17:$F$106,RAB!$C$17:$C$106,C825)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SUMIFS(RAB!$F$17:$F$106,RAB!$C$17:$C$106,C826)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SUMIFS(RAB!$F$17:$F$106,RAB!$C$17:$C$106,C827)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SUMIFS(RAB!$F$17:$F$106,RAB!$C$17:$C$106,C828)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SUMIFS(RAB!$F$17:$F$106,RAB!$C$17:$C$106,C829)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SUMIFS(RAB!$F$17:$F$106,RAB!$C$17:$C$106,C830)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SUMIFS(RAB!$F$17:$F$106,RAB!$C$17:$C$106,C831)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SUMIFS(RAB!$F$17:$F$106,RAB!$C$17:$C$106,C832)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SUMIFS(RAB!$F$17:$F$106,RAB!$C$17:$C$106,C833)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SUMIFS(RAB!$F$17:$F$106,RAB!$C$17:$C$106,C834)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SUMIFS(RAB!$F$17:$F$106,RAB!$C$17:$C$106,C835)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SUMIFS(RAB!$F$17:$F$106,RAB!$C$17:$C$106,C836)</f>
        <v>213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SUMIFS(RAB!$F$17:$F$106,RAB!$C$17:$C$106,C837)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SUMIFS(RAB!$F$17:$F$106,RAB!$C$17:$C$106,C838)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SUMIFS(RAB!$F$17:$F$106,RAB!$C$17:$C$106,C839)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SUMIFS(RAB!$F$17:$F$106,RAB!$C$17:$C$106,C840)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SUMIFS(RAB!$F$17:$F$106,RAB!$C$17:$C$106,C841)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SUMIFS(RAB!$F$17:$F$106,RAB!$C$17:$C$106,C842)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SUMIFS(RAB!$F$17:$F$106,RAB!$C$17:$C$106,C843)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SUMIFS(RAB!$F$17:$F$106,RAB!$C$17:$C$106,C844)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SUMIFS(RAB!$F$17:$F$106,RAB!$C$17:$C$106,C845)</f>
        <v>50</v>
      </c>
      <c r="E845" s="26">
        <f t="shared" ca="1" si="35"/>
        <v>1</v>
      </c>
      <c r="F845" s="26">
        <f ca="1">IF(D845=0,0,SUM($E$713:E845))</f>
        <v>8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SUMIFS(RAB!$F$17:$F$106,RAB!$C$17:$C$106,C846)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SUMIFS(RAB!$F$17:$F$106,RAB!$C$17:$C$106,C847)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SUMIFS(RAB!$F$17:$F$106,RAB!$C$17:$C$106,C848)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SUMIFS(RAB!$F$17:$F$106,RAB!$C$17:$C$106,C849)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SUMIFS(RAB!$F$17:$F$106,RAB!$C$17:$C$106,C850)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SUMIFS(RAB!$F$17:$F$106,RAB!$C$17:$C$106,C851)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SUMIFS(RAB!$F$17:$F$106,RAB!$C$17:$C$106,C852)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SUMIFS(RAB!$F$17:$F$106,RAB!$C$17:$C$106,C853)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SUMIFS(RAB!$F$17:$F$106,RAB!$C$17:$C$106,C854)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SUMIFS(RAB!$F$17:$F$106,RAB!$C$17:$C$106,C855)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SUMIFS(RAB!$F$17:$F$106,RAB!$C$17:$C$106,C856)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SUMIFS(RAB!$F$17:$F$106,RAB!$C$17:$C$106,C857)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SUMIFS(RAB!$F$17:$F$106,RAB!$C$17:$C$106,C858)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SUMIFS(RAB!$F$17:$F$106,RAB!$C$17:$C$106,C859)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SUMIFS(RAB!$F$17:$F$106,RAB!$C$17:$C$106,C860)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SUMIFS(RAB!$F$17:$F$106,RAB!$C$17:$C$106,C861)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SUMIFS(RAB!$F$17:$F$106,RAB!$C$17:$C$106,C862)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SUMIFS(RAB!$F$17:$F$106,RAB!$C$17:$C$106,C863)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SUMIFS(RAB!$F$17:$F$106,RAB!$C$17:$C$106,C864)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SUMIFS(RAB!$F$17:$F$106,RAB!$C$17:$C$106,C865)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SUMIFS(RAB!$F$17:$F$106,RAB!$C$17:$C$106,C866)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SUMIFS(RAB!$F$17:$F$106,RAB!$C$17:$C$106,C867)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SUMIFS(RAB!$F$17:$F$106,RAB!$C$17:$C$106,C868)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SUMIFS(RAB!$F$17:$F$106,RAB!$C$17:$C$106,C869)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SUMIFS(RAB!$F$17:$F$106,RAB!$C$17:$C$106,C870)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SUMIFS(RAB!$F$17:$F$106,RAB!$C$17:$C$106,C871)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SUMIFS(RAB!$F$17:$F$106,RAB!$C$17:$C$106,C872)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SUMIFS(RAB!$F$17:$F$106,RAB!$C$17:$C$106,C873)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SUMIFS(RAB!$F$17:$F$106,RAB!$C$17:$C$106,C874)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SUMIFS(RAB!$F$17:$F$106,RAB!$C$17:$C$106,C875)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SUMIFS(RAB!$F$17:$F$106,RAB!$C$17:$C$106,C876)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SUMIFS(RAB!$F$17:$F$106,RAB!$C$17:$C$106,C877)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SUMIFS(RAB!$F$17:$F$106,RAB!$C$17:$C$106,C878)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SUMIFS(RAB!$F$17:$F$106,RAB!$C$17:$C$106,C879)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SUMIFS(RAB!$F$17:$F$106,RAB!$C$17:$C$106,C880)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SUMIFS(RAB!$F$17:$F$106,RAB!$C$17:$C$106,C881)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SUMIFS(RAB!$F$17:$F$106,RAB!$C$17:$C$106,C882)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SUMIFS(RAB!$F$17:$F$106,RAB!$C$17:$C$106,C883)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SUMIFS(RAB!$F$17:$F$106,RAB!$C$17:$C$106,C884)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SUMIFS(RAB!$F$17:$F$106,RAB!$C$17:$C$106,C885)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SUMIFS(RAB!$F$17:$F$106,RAB!$C$17:$C$106,C886)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SUMIFS(RAB!$F$17:$F$106,RAB!$C$17:$C$106,C887)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SUMIFS(RAB!$F$17:$F$106,RAB!$C$17:$C$106,C888)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SUMIFS(RAB!$F$17:$F$106,RAB!$C$17:$C$106,C889)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SUMIFS(RAB!$F$17:$F$106,RAB!$C$17:$C$106,C890)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SUMIFS(RAB!$F$17:$F$106,RAB!$C$17:$C$106,C891)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SUMIFS(RAB!$F$17:$F$106,RAB!$C$17:$C$106,C892)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SUMIFS(RAB!$F$17:$F$106,RAB!$C$17:$C$106,C893)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SUMIFS(RAB!$F$17:$F$106,RAB!$C$17:$C$106,C894)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SUMIFS(RAB!$F$17:$F$106,RAB!$C$17:$C$106,C895)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SUMIFS(RAB!$F$17:$F$106,RAB!$C$17:$C$106,C896)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SUMIFS(RAB!$F$17:$F$106,RAB!$C$17:$C$106,C897)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SUMIFS(RAB!$F$17:$F$106,RAB!$C$17:$C$106,C898)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SUMIFS(RAB!$F$17:$F$106,RAB!$C$17:$C$106,C899)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SUMIFS(RAB!$F$17:$F$106,RAB!$C$17:$C$106,C900)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SUMIFS(RAB!$F$17:$F$106,RAB!$C$17:$C$106,C901)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SUMIFS(RAB!$F$17:$F$106,RAB!$C$17:$C$106,C902)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SUMIFS(RAB!$F$17:$F$106,RAB!$C$17:$C$106,C903)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SUMIFS(RAB!$F$17:$F$106,RAB!$C$17:$C$106,C904)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SUMIFS(RAB!$F$17:$F$106,RAB!$C$17:$C$106,C905)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SUMIFS(RAB!$F$17:$F$106,RAB!$C$17:$C$106,C906)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SUMIFS(RAB!$F$17:$F$106,RAB!$C$17:$C$106,C907)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SUMIFS(RAB!$F$17:$F$106,RAB!$C$17:$C$106,C908)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SUMIFS(RAB!$F$17:$F$106,RAB!$C$17:$C$106,C909)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SUMIFS(RAB!$F$17:$F$106,RAB!$C$17:$C$106,C910)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SUMIFS(RAB!$F$17:$F$106,RAB!$C$17:$C$106,C911)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SUMIFS(RAB!$F$17:$F$106,RAB!$C$17:$C$106,C912)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SUMIFS(RAB!$F$17:$F$106,RAB!$C$17:$C$106,C913)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SUMIFS(RAB!$F$17:$F$106,RAB!$C$17:$C$106,C914)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SUMIFS(RAB!$F$17:$F$106,RAB!$C$17:$C$106,C915)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SUMIFS(RAB!$F$17:$F$106,RAB!$C$17:$C$106,C916)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SUMIFS(RAB!$F$17:$F$106,RAB!$C$17:$C$106,C917)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SUMIFS(RAB!$F$17:$F$106,RAB!$C$17:$C$106,C918)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SUMIFS(RAB!$F$17:$F$106,RAB!$C$17:$C$106,C919)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SUMIFS(RAB!$F$17:$F$106,RAB!$C$17:$C$106,C920)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SUMIFS(RAB!$F$17:$F$106,RAB!$C$17:$C$106,C921)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SUMIFS(RAB!$F$17:$F$106,RAB!$C$17:$C$106,C922)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SUMIFS(RAB!$F$17:$F$106,RAB!$C$17:$C$106,C923)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SUMIFS(RAB!$F$17:$F$106,RAB!$C$17:$C$106,C924)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SUMIFS(RAB!$F$17:$F$106,RAB!$C$17:$C$106,C925)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SUMIFS(RAB!$F$17:$F$106,RAB!$C$17:$C$106,C926)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SUMIFS(RAB!$F$17:$F$106,RAB!$C$17:$C$106,C927)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SUMIFS(RAB!$F$17:$F$106,RAB!$C$17:$C$106,C928)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SUMIFS(RAB!$F$17:$F$106,RAB!$C$17:$C$106,C929)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SUMIFS(RAB!$F$17:$F$106,RAB!$C$17:$C$106,C930)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SUMIFS(RAB!$F$17:$F$106,RAB!$C$17:$C$106,C931)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SUMIFS(RAB!$F$17:$F$106,RAB!$C$17:$C$106,C932)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SUMIFS(RAB!$F$17:$F$106,RAB!$C$17:$C$106,C933)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SUMIFS(RAB!$F$17:$F$106,RAB!$C$17:$C$106,C934)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SUMIFS(RAB!$F$17:$F$106,RAB!$C$17:$C$106,C935)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SUMIFS(RAB!$F$17:$F$106,RAB!$C$17:$C$106,C936)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SUMIFS(RAB!$F$17:$F$106,RAB!$C$17:$C$106,C937)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SUMIFS(RAB!$F$17:$F$106,RAB!$C$17:$C$106,C938)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SUMIFS(RAB!$F$17:$F$106,RAB!$C$17:$C$106,C939)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SUMIFS(RAB!$F$17:$F$106,RAB!$C$17:$C$106,C940)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SUMIFS(RAB!$F$17:$F$106,RAB!$C$17:$C$106,C941)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SUMIFS(RAB!$F$17:$F$106,RAB!$C$17:$C$106,C942)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SUMIFS(RAB!$F$17:$F$106,RAB!$C$17:$C$106,C943)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SUMIFS(RAB!$F$17:$F$106,RAB!$C$17:$C$106,C944)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SUMIFS(RAB!$F$17:$F$106,RAB!$C$17:$C$106,C945)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SUMIFS(RAB!$F$17:$F$106,RAB!$C$17:$C$106,C946)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SUMIFS(RAB!$F$17:$F$106,RAB!$C$17:$C$106,C947)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SUMIFS(RAB!$F$17:$F$106,RAB!$C$17:$C$106,C948)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SUMIFS(RAB!$F$17:$F$106,RAB!$C$17:$C$106,C949)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SUMIFS(RAB!$F$17:$F$106,RAB!$C$17:$C$106,C950)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SUMIFS(RAB!$F$17:$F$106,RAB!$C$17:$C$106,C951)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SUMIFS(RAB!$F$17:$F$106,RAB!$C$17:$C$106,C952)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SUMIFS(RAB!$F$17:$F$106,RAB!$C$17:$C$106,C953)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SUMIFS(RAB!$F$17:$F$106,RAB!$C$17:$C$106,C954)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SUMIFS(RAB!$F$17:$F$106,RAB!$C$17:$C$106,C955)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SUMIFS(RAB!$F$17:$F$106,RAB!$C$17:$C$106,C956)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SUMIFS(RAB!$F$17:$F$106,RAB!$C$17:$C$106,C957)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SUMIFS(RAB!$F$17:$F$106,RAB!$C$17:$C$106,C958)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SUMIFS(RAB!$F$17:$F$106,RAB!$C$17:$C$106,C959)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SUMIFS(RAB!$F$17:$F$106,RAB!$C$17:$C$106,C960)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SUMIFS(RAB!$F$17:$F$106,RAB!$C$17:$C$106,C961)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SUMIFS(RAB!$F$17:$F$106,RAB!$C$17:$C$106,C962)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SUMIFS(RAB!$F$17:$F$106,RAB!$C$17:$C$106,C963)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SUMIFS(RAB!$F$17:$F$106,RAB!$C$17:$C$106,C964)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SUMIFS(RAB!$F$17:$F$106,RAB!$C$17:$C$106,C965)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SUMIFS(RAB!$F$17:$F$106,RAB!$C$17:$C$106,C966)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SUMIFS(RAB!$F$17:$F$106,RAB!$C$17:$C$106,C967)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SUMIFS(RAB!$F$17:$F$106,RAB!$C$17:$C$106,C968)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SUMIFS(RAB!$F$17:$F$106,RAB!$C$17:$C$106,C969)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SUMIFS(RAB!$F$17:$F$106,RAB!$C$17:$C$106,C970)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SUMIFS(RAB!$F$17:$F$106,RAB!$C$17:$C$106,C971)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SUMIFS(RAB!$F$17:$F$106,RAB!$C$17:$C$106,C972)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SUMIFS(RAB!$F$17:$F$106,RAB!$C$17:$C$106,C973)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SUMIFS(RAB!$F$17:$F$106,RAB!$C$17:$C$106,C974)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SUMIFS(RAB!$F$17:$F$106,RAB!$C$17:$C$106,C975)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SUMIFS(RAB!$F$17:$F$106,RAB!$C$17:$C$106,C976)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SUMIFS(RAB!$F$17:$F$106,RAB!$C$17:$C$106,C977)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SUMIFS(RAB!$F$17:$F$106,RAB!$C$17:$C$106,C978)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SUMIFS(RAB!$F$17:$F$106,RAB!$C$17:$C$106,C979)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SUMIFS(RAB!$F$17:$F$106,RAB!$C$17:$C$106,C980)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SUMIFS(RAB!$F$17:$F$106,RAB!$C$17:$C$106,C981)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SUMIFS(RAB!$F$17:$F$106,RAB!$C$17:$C$106,C982)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SUMIFS(RAB!$F$17:$F$106,RAB!$C$17:$C$106,C983)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SUMIFS(RAB!$F$17:$F$106,RAB!$C$17:$C$106,C984)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SUMIFS(RAB!$F$17:$F$106,RAB!$C$17:$C$106,C985)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SUMIFS(RAB!$F$17:$F$106,RAB!$C$17:$C$106,C986)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SUMIFS(RAB!$F$17:$F$106,RAB!$C$17:$C$106,C987)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SUMIFS(RAB!$F$17:$F$106,RAB!$C$17:$C$106,C988)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SUMIFS(RAB!$F$17:$F$106,RAB!$C$17:$C$106,C989)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SUMIFS(RAB!$F$17:$F$106,RAB!$C$17:$C$106,C990)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SUMIFS(RAB!$F$17:$F$106,RAB!$C$17:$C$106,C991)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SUMIFS(RAB!$F$17:$F$106,RAB!$C$17:$C$106,C992)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SUMIFS(RAB!$F$17:$F$106,RAB!$C$17:$C$106,C993)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SUMIFS(RAB!$F$17:$F$106,RAB!$C$17:$C$106,C994)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SUMIFS(RAB!$F$17:$F$106,RAB!$C$17:$C$106,C995)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SUMIFS(RAB!$F$17:$F$106,RAB!$C$17:$C$106,C996)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SUMIFS(RAB!$F$17:$F$106,RAB!$C$17:$C$106,C997)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SUMIFS(RAB!$F$17:$F$106,RAB!$C$17:$C$106,C998)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SUMIFS(RAB!$F$17:$F$106,RAB!$C$17:$C$106,C999)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SUMIFS(RAB!$F$17:$F$106,RAB!$C$17:$C$106,C1000)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SUMIFS(RAB!$F$17:$F$106,RAB!$C$17:$C$106,C1001)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SUMIFS(RAB!$F$17:$F$106,RAB!$C$17:$C$106,C1002)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SUMIFS(RAB!$F$17:$F$106,RAB!$C$17:$C$106,C1003)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SUMIFS(RAB!$F$17:$F$106,RAB!$C$17:$C$106,C1004)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SUMIFS(RAB!$F$17:$F$106,RAB!$C$17:$C$106,C1005)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SUMIFS(RAB!$F$17:$F$106,RAB!$C$17:$C$106,C1006)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SUMIFS(RAB!$F$17:$F$106,RAB!$C$17:$C$106,C1007)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SUMIFS(RAB!$F$17:$F$106,RAB!$C$17:$C$106,C1008)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SUMIFS(RAB!$F$17:$F$106,RAB!$C$17:$C$106,C1009)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SUMIFS(RAB!$F$17:$F$106,RAB!$C$17:$C$106,C1010)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SUMIFS(RAB!$F$17:$F$106,RAB!$C$17:$C$106,C1011)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SUMIFS(RAB!$F$17:$F$106,RAB!$C$17:$C$106,C1012)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SUMIFS(RAB!$F$17:$F$106,RAB!$C$17:$C$106,C1013)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SUMIFS(RAB!$F$17:$F$106,RAB!$C$17:$C$106,C1014)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SUMIFS(RAB!$F$17:$F$106,RAB!$C$17:$C$106,C1015)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SUMIFS(RAB!$F$17:$F$106,RAB!$C$17:$C$106,C1016)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SUMIFS(RAB!$F$17:$F$106,RAB!$C$17:$C$106,C1017)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SUMIFS(RAB!$F$17:$F$106,RAB!$C$17:$C$106,C1018)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SUMIFS(RAB!$F$17:$F$106,RAB!$C$17:$C$106,C1019)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SUMIFS(RAB!$F$17:$F$106,RAB!$C$17:$C$106,C1020)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SUMIFS(RAB!$F$17:$F$106,RAB!$C$17:$C$106,C1021)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SUMIFS(RAB!$F$17:$F$106,RAB!$C$17:$C$106,C1022)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SUMIFS(RAB!$F$17:$F$106,RAB!$C$17:$C$106,C1023)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SUMIFS(RAB!$F$17:$F$106,RAB!$C$17:$C$106,C1024)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SUMIFS(RAB!$F$17:$F$106,RAB!$C$17:$C$106,C1025)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SUMIFS(RAB!$F$17:$F$106,RAB!$C$17:$C$106,C1026)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SUMIFS(RAB!$F$17:$F$106,RAB!$C$17:$C$106,C1027)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SUMIFS(RAB!$F$17:$F$106,RAB!$C$17:$C$106,C1028)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SUMIFS(RAB!$F$17:$F$106,RAB!$C$17:$C$106,C1029)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SUMIFS(RAB!$F$17:$F$106,RAB!$C$17:$C$106,C1030)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SUMIFS(RAB!$F$17:$F$106,RAB!$C$17:$C$106,C1031)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SUMIFS(RAB!$F$17:$F$106,RAB!$C$17:$C$106,C1032)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SUMIFS(RAB!$F$17:$F$106,RAB!$C$17:$C$106,C1033)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SUMIFS(RAB!$F$17:$F$106,RAB!$C$17:$C$106,C1034)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SUMIFS(RAB!$F$17:$F$106,RAB!$C$17:$C$106,C1035)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SUMIFS(RAB!$F$17:$F$106,RAB!$C$17:$C$106,C1036)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SUMIFS(RAB!$F$17:$F$106,RAB!$C$17:$C$106,C1037)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SUMIFS(RAB!$F$17:$F$106,RAB!$C$17:$C$106,C1038)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SUMIFS(RAB!$F$17:$F$106,RAB!$C$17:$C$106,C1039)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SUMIFS(RAB!$F$17:$F$106,RAB!$C$17:$C$106,C1040)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SUMIFS(RAB!$F$17:$F$106,RAB!$C$17:$C$106,C1041)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SUMIFS(RAB!$F$17:$F$106,RAB!$C$17:$C$106,C1042)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SUMIFS(RAB!$F$17:$F$106,RAB!$C$17:$C$106,C1043)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SUMIFS(RAB!$F$17:$F$106,RAB!$C$17:$C$106,C1044)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SUMIFS(RAB!$F$17:$F$106,RAB!$C$17:$C$106,C1045)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SUMIFS(RAB!$F$17:$F$106,RAB!$C$17:$C$106,C1046)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SUMIFS(RAB!$F$17:$F$106,RAB!$C$17:$C$106,C1047)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SUMIFS(RAB!$F$17:$F$106,RAB!$C$17:$C$106,C1048)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SUMIFS(RAB!$F$17:$F$106,RAB!$C$17:$C$106,C1049)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SUMIFS(RAB!$F$17:$F$106,RAB!$C$17:$C$106,C1050)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SUMIFS(RAB!$F$17:$F$106,RAB!$C$17:$C$106,C1051)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SUMIFS(RAB!$F$17:$F$106,RAB!$C$17:$C$106,C1052)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SUMIFS(RAB!$F$17:$F$106,RAB!$C$17:$C$106,C1053)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SUMIFS(RAB!$F$17:$F$106,RAB!$C$17:$C$106,C1054)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SUMIFS(RAB!$F$17:$F$106,RAB!$C$17:$C$106,C1055)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SUMIFS(RAB!$F$17:$F$106,RAB!$C$17:$C$106,C1056)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SUMIFS(RAB!$F$17:$F$106,RAB!$C$17:$C$106,C1057)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SUMIFS(RAB!$F$17:$F$106,RAB!$C$17:$C$106,C1058)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SUMIFS(RAB!$F$17:$F$106,RAB!$C$17:$C$106,C1059)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SUMIFS(RAB!$F$17:$F$106,RAB!$C$17:$C$106,C1060)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SUMIFS(RAB!$F$17:$F$106,RAB!$C$17:$C$106,C1061)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SUMIFS(RAB!$F$17:$F$106,RAB!$C$17:$C$106,C1062)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SUMIFS(RAB!$F$17:$F$106,RAB!$C$17:$C$106,C1063)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SUMIFS(RAB!$F$17:$F$106,RAB!$C$17:$C$106,C1064)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SUMIFS(RAB!$F$17:$F$106,RAB!$C$17:$C$106,C1065)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SUMIFS(RAB!$F$17:$F$106,RAB!$C$17:$C$106,C1066)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SUMIFS(RAB!$F$17:$F$106,RAB!$C$17:$C$106,C1067)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SUMIFS(RAB!$F$17:$F$106,RAB!$C$17:$C$106,C1068)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SUMIFS(RAB!$F$17:$F$106,RAB!$C$17:$C$106,C1069)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SUMIFS(RAB!$F$17:$F$106,RAB!$C$17:$C$106,C1070)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SUMIFS(RAB!$F$17:$F$106,RAB!$C$17:$C$106,C1071)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SUMIFS(RAB!$F$17:$F$106,RAB!$C$17:$C$106,C1072)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SUMIFS(RAB!$F$17:$F$106,RAB!$C$17:$C$106,C1073)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SUMIFS(RAB!$F$17:$F$106,RAB!$C$17:$C$106,C1074)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SUMIFS(RAB!$F$17:$F$106,RAB!$C$17:$C$106,C1075)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SUMIFS(RAB!$F$17:$F$106,RAB!$C$17:$C$106,C1076)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SUMIFS(RAB!$F$17:$F$106,RAB!$C$17:$C$106,C1077)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SUMIFS(RAB!$F$17:$F$106,RAB!$C$17:$C$106,C1078)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SUMIFS(RAB!$F$17:$F$106,RAB!$C$17:$C$106,C1079)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SUMIFS(RAB!$F$17:$F$106,RAB!$C$17:$C$106,C1080)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SUMIFS(RAB!$F$17:$F$106,RAB!$C$17:$C$106,C1081)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SUMIFS(RAB!$F$17:$F$106,RAB!$C$17:$C$106,C1082)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SUMIFS(RAB!$F$17:$F$106,RAB!$C$17:$C$106,C1083)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SUMIFS(RAB!$F$17:$F$106,RAB!$C$17:$C$106,C1084)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SUMIFS(RAB!$F$17:$F$106,RAB!$C$17:$C$106,C1085)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SUMIFS(RAB!$F$17:$F$106,RAB!$C$17:$C$106,C1086)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SUMIFS(RAB!$F$17:$F$106,RAB!$C$17:$C$106,C1087)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SUMIFS(RAB!$F$17:$F$106,RAB!$C$17:$C$106,C1088)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SUMIFS(RAB!$F$17:$F$106,RAB!$C$17:$C$106,C1089)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SUMIFS(RAB!$F$17:$F$106,RAB!$C$17:$C$106,C1090)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SUMIFS(RAB!$F$17:$F$106,RAB!$C$17:$C$106,C1091)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SUMIFS(RAB!$F$17:$F$106,RAB!$C$17:$C$106,C1092)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SUMIFS(RAB!$F$17:$F$106,RAB!$C$17:$C$106,C1093)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SUMIFS(RAB!$F$17:$F$106,RAB!$C$17:$C$106,C1094)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SUMIFS(RAB!$F$17:$F$106,RAB!$C$17:$C$106,C1095)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SUMIFS(RAB!$F$17:$F$106,RAB!$C$17:$C$106,C1096)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SUMIFS(RAB!$F$17:$F$106,RAB!$C$17:$C$106,C1097)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SUMIFS(RAB!$F$17:$F$106,RAB!$C$17:$C$106,C1098)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SUMIFS(RAB!$F$17:$F$106,RAB!$C$17:$C$106,C1099)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SUMIFS(RAB!$F$17:$F$106,RAB!$C$17:$C$106,C1100)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SUMIFS(RAB!$F$17:$F$106,RAB!$C$17:$C$106,C1101)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SUMIFS(RAB!$F$17:$F$106,RAB!$C$17:$C$106,C1102)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SUMIFS(RAB!$F$17:$F$106,RAB!$C$17:$C$106,C1103)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SUMIFS(RAB!$F$17:$F$106,RAB!$C$17:$C$106,C1104)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SUMIFS(RAB!$F$17:$F$106,RAB!$C$17:$C$106,C1105)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SUMIFS(RAB!$F$17:$F$106,RAB!$C$17:$C$106,C1106)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SUMIFS(RAB!$F$17:$F$106,RAB!$C$17:$C$106,C1107)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SUMIFS(RAB!$F$17:$F$106,RAB!$C$17:$C$106,C1108)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SUMIFS(RAB!$F$17:$F$106,RAB!$C$17:$C$106,C1109)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SUMIFS(RAB!$F$17:$F$106,RAB!$C$17:$C$106,C1110)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SUMIFS(RAB!$F$17:$F$106,RAB!$C$17:$C$106,C1111)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SUMIFS(RAB!$F$17:$F$106,RAB!$C$17:$C$106,C1112)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SUMIFS(RAB!$F$17:$F$106,RAB!$C$17:$C$106,C1113)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SUMIFS(RAB!$F$17:$F$106,RAB!$C$17:$C$106,C1114)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SUMIFS(RAB!$F$17:$F$106,RAB!$C$17:$C$106,C1115)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SUMIFS(RAB!$F$17:$F$106,RAB!$C$17:$C$106,C1116)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SUMIFS(RAB!$F$17:$F$106,RAB!$C$17:$C$106,C1117)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SUMIFS(RAB!$F$17:$F$106,RAB!$C$17:$C$106,C1118)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SUMIFS(RAB!$F$17:$F$106,RAB!$C$17:$C$106,C1119)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SUMIFS(RAB!$F$17:$F$106,RAB!$C$17:$C$106,C1120)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SUMIFS(RAB!$F$17:$F$106,RAB!$C$17:$C$106,C1121)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SUMIFS(RAB!$F$17:$F$106,RAB!$C$17:$C$106,C1122)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SUMIFS(RAB!$F$17:$F$106,RAB!$C$17:$C$106,C1123)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SUMIFS(RAB!$F$17:$F$106,RAB!$C$17:$C$106,C1124)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SUMIFS(RAB!$F$17:$F$106,RAB!$C$17:$C$106,C1125)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SUMIFS(RAB!$F$17:$F$106,RAB!$C$17:$C$106,C1126)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SUMIFS(RAB!$F$17:$F$106,RAB!$C$17:$C$106,C1127)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SUMIFS(RAB!$F$17:$F$106,RAB!$C$17:$C$106,C1128)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SUMIFS(RAB!$F$17:$F$106,RAB!$C$17:$C$106,C1129)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SUMIFS(RAB!$F$17:$F$106,RAB!$C$17:$C$106,C1130)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SUMIFS(RAB!$F$17:$F$106,RAB!$C$17:$C$106,C1131)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SUMIFS(RAB!$F$17:$F$106,RAB!$C$17:$C$106,C1132)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SUMIFS(RAB!$F$17:$F$106,RAB!$C$17:$C$106,C1133)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SUMIFS(RAB!$F$17:$F$106,RAB!$C$17:$C$106,C1134)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SUMIFS(RAB!$F$17:$F$106,RAB!$C$17:$C$106,C1135)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SUMIFS(RAB!$F$17:$F$106,RAB!$C$17:$C$106,C1136)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SUMIFS(RAB!$F$17:$F$106,RAB!$C$17:$C$106,C1137)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SUMIFS(RAB!$F$17:$F$106,RAB!$C$17:$C$106,C1138)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SUMIFS(RAB!$F$17:$F$106,RAB!$C$17:$C$106,C1139)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SUMIFS(RAB!$F$17:$F$106,RAB!$C$17:$C$106,C1140)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SUMIFS(RAB!$F$17:$F$106,RAB!$C$17:$C$106,C1141)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SUMIFS(RAB!$F$17:$F$106,RAB!$C$17:$C$106,C1142)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SUMIFS(RAB!$F$17:$F$106,RAB!$C$17:$C$106,C1143)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SUMIFS(RAB!$F$17:$F$106,RAB!$C$17:$C$106,C1144)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SUMIFS(RAB!$F$17:$F$106,RAB!$C$17:$C$106,C1145)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SUMIFS(RAB!$F$17:$F$106,RAB!$C$17:$C$106,C1146)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SUMIFS(RAB!$F$17:$F$106,RAB!$C$17:$C$106,C1147)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SUMIFS(RAB!$F$17:$F$106,RAB!$C$17:$C$106,C1148)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SUMIFS(RAB!$F$17:$F$106,RAB!$C$17:$C$106,C1149)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SUMIFS(RAB!$F$17:$F$106,RAB!$C$17:$C$106,C1150)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SUMIFS(RAB!$F$17:$F$106,RAB!$C$17:$C$106,C1151)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SUMIFS(RAB!$F$17:$F$106,RAB!$C$17:$C$106,C1152)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SUMIFS(RAB!$F$17:$F$106,RAB!$C$17:$C$106,C1153)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SUMIFS(RAB!$F$17:$F$106,RAB!$C$17:$C$106,C1154)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SUMIFS(RAB!$F$17:$F$106,RAB!$C$17:$C$106,C1155)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SUMIFS(RAB!$F$17:$F$106,RAB!$C$17:$C$106,C1156)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SUMIFS(RAB!$F$17:$F$106,RAB!$C$17:$C$106,C1157)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SUMIFS(RAB!$F$17:$F$106,RAB!$C$17:$C$106,C1158)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SUMIFS(RAB!$F$17:$F$106,RAB!$C$17:$C$106,C1159)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SUMIFS(RAB!$F$17:$F$106,RAB!$C$17:$C$106,C1160)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SUMIFS(RAB!$F$17:$F$106,RAB!$C$17:$C$106,C1161)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SUMIFS(RAB!$F$17:$F$106,RAB!$C$17:$C$106,C1162)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SUMIFS(RAB!$F$17:$F$106,RAB!$C$17:$C$106,C1163)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SUMIFS(RAB!$F$17:$F$106,RAB!$C$17:$C$106,C1164)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SUMIFS(RAB!$F$17:$F$106,RAB!$C$17:$C$106,C1165)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SUMIFS(RAB!$F$17:$F$106,RAB!$C$17:$C$106,C1166)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SUMIFS(RAB!$F$17:$F$106,RAB!$C$17:$C$106,C1167)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SUMIFS(RAB!$F$17:$F$106,RAB!$C$17:$C$106,C1168)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SUMIFS(RAB!$F$17:$F$106,RAB!$C$17:$C$106,C1169)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SUMIFS(RAB!$F$17:$F$106,RAB!$C$17:$C$106,C1170)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SUMIFS(RAB!$F$17:$F$106,RAB!$C$17:$C$106,C1171)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SUMIFS(RAB!$F$17:$F$106,RAB!$C$17:$C$106,C1172)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SUMIFS(RAB!$F$17:$F$106,RAB!$C$17:$C$106,C1173)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SUMIFS(RAB!$F$17:$F$106,RAB!$C$17:$C$106,C1174)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SUMIFS(RAB!$F$17:$F$106,RAB!$C$17:$C$106,C1175)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SUMIFS(RAB!$F$17:$F$106,RAB!$C$17:$C$106,C1176)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SUMIFS(RAB!$F$17:$F$106,RAB!$C$17:$C$106,C1177)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SUMIFS(RAB!$F$17:$F$106,RAB!$C$17:$C$106,C1178)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SUMIFS(RAB!$F$17:$F$106,RAB!$C$17:$C$106,C1179)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SUMIFS(RAB!$F$17:$F$106,RAB!$C$17:$C$106,C1180)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SUMIFS(RAB!$F$17:$F$106,RAB!$C$17:$C$106,C1181)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SUMIFS(RAB!$F$17:$F$106,RAB!$C$17:$C$106,C1182)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SUMIFS(RAB!$F$17:$F$106,RAB!$C$17:$C$106,C1183)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SUMIFS(RAB!$F$17:$F$106,RAB!$C$17:$C$106,C1184)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SUMIFS(RAB!$F$17:$F$106,RAB!$C$17:$C$106,C1185)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SUMIFS(RAB!$F$17:$F$106,RAB!$C$17:$C$106,C1186)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SUMIFS(RAB!$F$17:$F$106,RAB!$C$17:$C$106,C1187)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SUMIFS(RAB!$F$17:$F$106,RAB!$C$17:$C$106,C1188)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SUMIFS(RAB!$F$17:$F$106,RAB!$C$17:$C$106,C1189)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SUMIFS(RAB!$F$17:$F$106,RAB!$C$17:$C$106,C1190)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SUMIFS(RAB!$F$17:$F$106,RAB!$C$17:$C$106,C1191)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SUMIFS(RAB!$F$17:$F$106,RAB!$C$17:$C$106,C1192)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SUMIFS(RAB!$F$17:$F$106,RAB!$C$17:$C$106,C1193)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SUMIFS(RAB!$F$17:$F$106,RAB!$C$17:$C$106,C1194)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SUMIFS(RAB!$F$17:$F$106,RAB!$C$17:$C$106,C1195)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SUMIFS(RAB!$F$17:$F$106,RAB!$C$17:$C$106,C1196)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SUMIFS(RAB!$F$17:$F$106,RAB!$C$17:$C$106,C1197)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SUMIFS(RAB!$F$17:$F$106,RAB!$C$17:$C$106,C1198)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SUMIFS(RAB!$F$17:$F$106,RAB!$C$17:$C$106,C1199)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SUMIFS(RAB!$F$17:$F$106,RAB!$C$17:$C$106,C1200)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SUMIFS(RAB!$F$17:$F$106,RAB!$C$17:$C$106,C1201)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SUMIFS(RAB!$F$17:$F$106,RAB!$C$17:$C$106,C1202)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SUMIFS(RAB!$F$17:$F$106,RAB!$C$17:$C$106,C1203)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SUMIFS(RAB!$F$17:$F$106,RAB!$C$17:$C$106,C1204)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SUMIFS(RAB!$F$17:$F$106,RAB!$C$17:$C$106,C1205)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SUMIFS(RAB!$F$17:$F$106,RAB!$C$17:$C$106,C1206)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SUMIFS(RAB!$F$17:$F$106,RAB!$C$17:$C$106,C1207)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SUMIFS(RAB!$F$17:$F$106,RAB!$C$17:$C$106,C1208)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SUMIFS(RAB!$F$17:$F$106,RAB!$C$17:$C$106,C1209)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SUMIFS(RAB!$F$17:$F$106,RAB!$C$17:$C$106,C1210)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SUMIFS(RAB!$F$17:$F$106,RAB!$C$17:$C$106,C1211)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SUMIFS(RAB!$F$17:$F$106,RAB!$C$17:$C$106,C1212)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SUMIFS(RAB!$F$17:$F$106,RAB!$C$17:$C$106,C1213)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SUMIFS(RAB!$F$17:$F$106,RAB!$C$17:$C$106,C1214)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SUMIFS(RAB!$F$17:$F$106,RAB!$C$17:$C$106,C1215)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SUMIFS(RAB!$F$17:$F$106,RAB!$C$17:$C$106,C1216)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SUMIFS(RAB!$F$17:$F$106,RAB!$C$17:$C$106,C1217)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SUMIFS(RAB!$F$17:$F$106,RAB!$C$17:$C$106,C1218)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SUMIFS(RAB!$F$17:$F$106,RAB!$C$17:$C$106,C1219)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SUMIFS(RAB!$F$17:$F$106,RAB!$C$17:$C$106,C1220)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SUMIFS(RAB!$F$17:$F$106,RAB!$C$17:$C$106,C1221)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SUMIFS(RAB!$F$17:$F$106,RAB!$C$17:$C$106,C1222)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SUMIFS(RAB!$F$17:$F$106,RAB!$C$17:$C$106,C1223)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SUMIFS(RAB!$F$17:$F$106,RAB!$C$17:$C$106,C1224)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SUMIFS(RAB!$F$17:$F$106,RAB!$C$17:$C$106,C1225)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SUMIFS(RAB!$F$17:$F$106,RAB!$C$17:$C$106,C1226)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SUMIFS(RAB!$F$17:$F$106,RAB!$C$17:$C$106,C1227)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SUMIFS(RAB!$F$17:$F$106,RAB!$C$17:$C$106,C1228)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SUMIFS(RAB!$F$17:$F$106,RAB!$C$17:$C$106,C1229)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SUMIFS(RAB!$F$17:$F$106,RAB!$C$17:$C$106,C1230)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SUMIFS(RAB!$F$17:$F$106,RAB!$C$17:$C$106,C1231)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SUMIFS(RAB!$F$17:$F$106,RAB!$C$17:$C$106,C1232)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SUMIFS(RAB!$F$17:$F$106,RAB!$C$17:$C$106,C1233)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SUMIFS(RAB!$F$17:$F$106,RAB!$C$17:$C$106,C1234)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SUMIFS(RAB!$F$17:$F$106,RAB!$C$17:$C$106,C1235)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SUMIFS(RAB!$F$17:$F$106,RAB!$C$17:$C$106,C1236)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SUMIFS(RAB!$F$17:$F$106,RAB!$C$17:$C$106,C1237)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SUMIFS(RAB!$F$17:$F$106,RAB!$C$17:$C$106,C1238)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SUMIFS(RAB!$F$17:$F$106,RAB!$C$17:$C$106,C1239)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SUMIFS(RAB!$F$17:$F$106,RAB!$C$17:$C$106,C1240)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SUMIFS(RAB!$F$17:$F$106,RAB!$C$17:$C$106,C1241)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SUMIFS(RAB!$F$17:$F$106,RAB!$C$17:$C$106,C1242)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SUMIFS(RAB!$F$17:$F$106,RAB!$C$17:$C$106,C1243)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SUMIFS(RAB!$F$17:$F$106,RAB!$C$17:$C$106,C1244)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SUMIFS(RAB!$F$17:$F$106,RAB!$C$17:$C$106,C1245)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SUMIFS(RAB!$F$17:$F$106,RAB!$C$17:$C$106,C1246)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SUMIFS(RAB!$F$17:$F$106,RAB!$C$17:$C$106,C1247)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SUMIFS(RAB!$F$17:$F$106,RAB!$C$17:$C$106,C1248)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SUMIFS(RAB!$F$17:$F$106,RAB!$C$17:$C$106,C1249)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SUMIFS(RAB!$F$17:$F$106,RAB!$C$17:$C$106,C1250)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SUMIFS(RAB!$F$17:$F$106,RAB!$C$17:$C$106,C1251)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SUMIFS(RAB!$F$17:$F$106,RAB!$C$17:$C$106,C1252)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SUMIFS(RAB!$F$17:$F$106,RAB!$C$17:$C$106,C1253)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SUMIFS(RAB!$F$17:$F$106,RAB!$C$17:$C$106,C1254)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SUMIFS(RAB!$F$17:$F$106,RAB!$C$17:$C$106,C1255)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SUMIFS(RAB!$F$17:$F$106,RAB!$C$17:$C$106,C1256)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SUMIFS(RAB!$F$17:$F$106,RAB!$C$17:$C$106,C1257)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SUMIFS(RAB!$F$17:$F$106,RAB!$C$17:$C$106,C1258)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SUMIFS(RAB!$F$17:$F$106,RAB!$C$17:$C$106,C1259)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SUMIFS(RAB!$F$17:$F$106,RAB!$C$17:$C$106,C1260)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SUMIFS(RAB!$F$17:$F$106,RAB!$C$17:$C$106,C1261)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SUMIFS(RAB!$F$17:$F$106,RAB!$C$17:$C$106,C1262)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SUMIFS(RAB!$F$17:$F$106,RAB!$C$17:$C$106,C1263)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SUMIFS(RAB!$F$17:$F$106,RAB!$C$17:$C$106,C1264)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SUMIFS(RAB!$F$17:$F$106,RAB!$C$17:$C$106,C1265)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SUMIFS(RAB!$F$17:$F$106,RAB!$C$17:$C$106,C1266)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SUMIFS(RAB!$F$17:$F$106,RAB!$C$17:$C$106,C1267)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SUMIFS(RAB!$F$17:$F$106,RAB!$C$17:$C$106,C1268)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SUMIFS(RAB!$F$17:$F$106,RAB!$C$17:$C$106,C1269)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SUMIFS(RAB!$F$17:$F$106,RAB!$C$17:$C$106,C1270)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SUMIFS(RAB!$F$17:$F$106,RAB!$C$17:$C$106,C1271)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SUMIFS(RAB!$F$17:$F$106,RAB!$C$17:$C$106,C1272)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SUMIFS(RAB!$F$17:$F$106,RAB!$C$17:$C$106,C1273)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SUMIFS(RAB!$F$17:$F$106,RAB!$C$17:$C$106,C1274)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SUMIFS(RAB!$F$17:$F$106,RAB!$C$17:$C$106,C1275)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SUMIFS(RAB!$F$17:$F$106,RAB!$C$17:$C$106,C1276)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SUMIFS(RAB!$F$17:$F$106,RAB!$C$17:$C$106,C1277)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SUMIFS(RAB!$F$17:$F$106,RAB!$C$17:$C$106,C1278)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SUMIFS(RAB!$F$17:$F$106,RAB!$C$17:$C$106,C1279)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SUMIFS(RAB!$F$17:$F$106,RAB!$C$17:$C$106,C1280)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SUMIFS(RAB!$F$17:$F$106,RAB!$C$17:$C$106,C1281)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SUMIFS(RAB!$F$17:$F$106,RAB!$C$17:$C$106,C1282)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SUMIFS(RAB!$F$17:$F$106,RAB!$C$17:$C$106,C1283)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SUMIFS(RAB!$F$17:$F$106,RAB!$C$17:$C$106,C1284)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SUMIFS(RAB!$F$17:$F$106,RAB!$C$17:$C$106,C1285)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SUMIFS(RAB!$F$17:$F$106,RAB!$C$17:$C$106,C1286)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SUMIFS(RAB!$F$17:$F$106,RAB!$C$17:$C$106,C1287)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SUMIFS(RAB!$F$17:$F$106,RAB!$C$17:$C$106,C1288)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SUMIFS(RAB!$F$17:$F$106,RAB!$C$17:$C$106,C1289)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SUMIFS(RAB!$F$17:$F$106,RAB!$C$17:$C$106,C1290)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SUMIFS(RAB!$F$17:$F$106,RAB!$C$17:$C$106,C1291)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SUMIFS(RAB!$F$17:$F$106,RAB!$C$17:$C$106,C1292)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SUMIFS(RAB!$F$17:$F$106,RAB!$C$17:$C$106,C1293)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SUMIFS(RAB!$F$17:$F$106,RAB!$C$17:$C$106,C1294)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SUMIFS(RAB!$F$17:$F$106,RAB!$C$17:$C$106,C1295)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SUMIFS(RAB!$F$17:$F$106,RAB!$C$17:$C$106,C1296)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SUMIFS(RAB!$F$17:$F$106,RAB!$C$17:$C$106,C1297)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SUMIFS(RAB!$F$17:$F$106,RAB!$C$17:$C$106,C1298)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SUMIFS(RAB!$F$17:$F$106,RAB!$C$17:$C$106,C1299)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SUMIFS(RAB!$F$17:$F$106,RAB!$C$17:$C$106,C1300)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SUMIFS(RAB!$F$17:$F$106,RAB!$C$17:$C$106,C1301)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SUMIFS(RAB!$F$17:$F$106,RAB!$C$17:$C$106,C1302)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SUMIFS(RAB!$F$17:$F$106,RAB!$C$17:$C$106,C1303)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SUMIFS(RAB!$F$17:$F$106,RAB!$C$17:$C$106,C1304)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SUMIFS(RAB!$F$17:$F$106,RAB!$C$17:$C$106,C1305)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SUMIFS(RAB!$F$17:$F$106,RAB!$C$17:$C$106,C1306)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SUMIFS(RAB!$F$17:$F$106,RAB!$C$17:$C$106,C1307)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SUMIFS(RAB!$F$17:$F$106,RAB!$C$17:$C$106,C1308)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SUMIFS(RAB!$F$17:$F$106,RAB!$C$17:$C$106,C1309)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SUMIFS(RAB!$F$17:$F$106,RAB!$C$17:$C$106,C1310)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SUMIFS(RAB!$F$17:$F$106,RAB!$C$17:$C$106,C1311)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SUMIFS(RAB!$F$17:$F$106,RAB!$C$17:$C$106,C1312)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SUMIFS(RAB!$F$17:$F$106,RAB!$C$17:$C$106,C1313)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SUMIFS(RAB!$F$17:$F$106,RAB!$C$17:$C$106,C1314)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SUMIFS(RAB!$F$17:$F$106,RAB!$C$17:$C$106,C1315)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SUMIFS(RAB!$F$17:$F$106,RAB!$C$17:$C$106,C1316)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SUMIFS(RAB!$F$17:$F$106,RAB!$C$17:$C$106,C1317)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SUMIFS(RAB!$F$17:$F$106,RAB!$C$17:$C$106,C1318)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SUMIFS(RAB!$F$17:$F$106,RAB!$C$17:$C$106,C1319)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SUMIFS(RAB!$F$17:$F$106,RAB!$C$17:$C$106,C1320)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0" priority="5" operator="equal">
      <formula>0</formula>
    </cfRule>
  </conditionalFormatting>
  <conditionalFormatting sqref="A10:L65536">
    <cfRule type="cellIs" dxfId="59" priority="1" operator="equal">
      <formula>0</formula>
    </cfRule>
  </conditionalFormatting>
  <conditionalFormatting sqref="C12:C711">
    <cfRule type="cellIs" dxfId="58" priority="66" stopIfTrue="1" operator="equal">
      <formula>0</formula>
    </cfRule>
  </conditionalFormatting>
  <conditionalFormatting sqref="E712:E65536">
    <cfRule type="cellIs" dxfId="57" priority="16" stopIfTrue="1" operator="equal">
      <formula>0</formula>
    </cfRule>
  </conditionalFormatting>
  <conditionalFormatting sqref="G1:G11 E6:E11 E1:E3 H7 H10:H11 F10:F711 G712:G65536">
    <cfRule type="cellIs" dxfId="56" priority="69" stopIfTrue="1" operator="equal">
      <formula>0</formula>
    </cfRule>
  </conditionalFormatting>
  <conditionalFormatting sqref="G12:H711">
    <cfRule type="cellIs" dxfId="55" priority="12" stopIfTrue="1" operator="equal">
      <formula>0</formula>
    </cfRule>
  </conditionalFormatting>
  <conditionalFormatting sqref="I7:K7">
    <cfRule type="cellIs" dxfId="54" priority="4" stopIfTrue="1" operator="equal">
      <formula>0</formula>
    </cfRule>
  </conditionalFormatting>
  <conditionalFormatting sqref="I10:L711">
    <cfRule type="cellIs" dxfId="53" priority="2" stopIfTrue="1" operator="equal">
      <formula>0</formula>
    </cfRule>
  </conditionalFormatting>
  <conditionalFormatting sqref="L1:L6">
    <cfRule type="cellIs" dxfId="52" priority="10" operator="equal">
      <formula>0</formula>
    </cfRule>
  </conditionalFormatting>
  <conditionalFormatting sqref="M1:IV1048576 A8:G9">
    <cfRule type="cellIs" dxfId="5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8" t="s">
        <v>1126</v>
      </c>
      <c r="C4" s="528"/>
      <c r="D4" s="528"/>
      <c r="E4" s="528"/>
      <c r="F4" s="528"/>
      <c r="G4" s="528"/>
      <c r="H4" s="528"/>
      <c r="I4" s="528"/>
      <c r="J4" s="528"/>
      <c r="K4" s="52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21" t="str">
        <f>RAB!G6</f>
        <v>PT. DONLIM 105 KVA</v>
      </c>
      <c r="H6" s="521"/>
      <c r="I6" s="521"/>
      <c r="J6" s="521"/>
      <c r="K6" s="521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>
        <f>RAB!G7</f>
        <v>0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9" t="s">
        <v>0</v>
      </c>
      <c r="C11" s="531" t="s">
        <v>1</v>
      </c>
      <c r="D11" s="534" t="s">
        <v>42</v>
      </c>
      <c r="E11" s="534" t="s">
        <v>43</v>
      </c>
      <c r="F11" s="534" t="s">
        <v>2</v>
      </c>
      <c r="G11" s="535" t="s">
        <v>41</v>
      </c>
      <c r="H11" s="534" t="s">
        <v>3</v>
      </c>
      <c r="I11" s="534"/>
      <c r="J11" s="534"/>
      <c r="K11" s="538"/>
      <c r="M11" s="33"/>
      <c r="N11" s="33"/>
      <c r="O11" s="33"/>
      <c r="P11" s="33"/>
      <c r="R11" s="34"/>
      <c r="S11" s="74"/>
      <c r="T11" s="74"/>
    </row>
    <row r="12" spans="1:21" ht="15" customHeight="1">
      <c r="B12" s="530"/>
      <c r="C12" s="532"/>
      <c r="D12" s="524"/>
      <c r="E12" s="524"/>
      <c r="F12" s="524"/>
      <c r="G12" s="536"/>
      <c r="H12" s="526" t="s">
        <v>46</v>
      </c>
      <c r="I12" s="526" t="s">
        <v>5</v>
      </c>
      <c r="J12" s="524" t="s">
        <v>47</v>
      </c>
      <c r="K12" s="52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0"/>
      <c r="C13" s="533"/>
      <c r="D13" s="524"/>
      <c r="E13" s="524"/>
      <c r="F13" s="524"/>
      <c r="G13" s="537"/>
      <c r="H13" s="527"/>
      <c r="I13" s="527"/>
      <c r="J13" s="524"/>
      <c r="K13" s="52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1127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2" t="s">
        <v>1007</v>
      </c>
      <c r="D38" s="522"/>
      <c r="E38" s="522"/>
      <c r="F38" s="522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23" t="s">
        <v>462</v>
      </c>
      <c r="D39" s="523"/>
      <c r="E39" s="523"/>
      <c r="F39" s="523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2" t="s">
        <v>463</v>
      </c>
      <c r="D40" s="512"/>
      <c r="E40" s="512"/>
      <c r="F40" s="51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15" t="e">
        <f ca="1">"Terbilang : ( "&amp;L42&amp;" Rupiah )"</f>
        <v>#NAME?</v>
      </c>
      <c r="C41" s="516"/>
      <c r="D41" s="516"/>
      <c r="E41" s="516"/>
      <c r="F41" s="516"/>
      <c r="G41" s="516"/>
      <c r="H41" s="516"/>
      <c r="I41" s="516"/>
      <c r="J41" s="516"/>
      <c r="K41" s="517"/>
      <c r="L41" s="44"/>
      <c r="R41" s="58"/>
      <c r="S41" s="58"/>
      <c r="T41" s="58"/>
    </row>
    <row r="42" spans="1:20" s="36" customFormat="1">
      <c r="A42" s="30"/>
      <c r="B42" s="518"/>
      <c r="C42" s="519"/>
      <c r="D42" s="519"/>
      <c r="E42" s="519"/>
      <c r="F42" s="519"/>
      <c r="G42" s="519"/>
      <c r="H42" s="519"/>
      <c r="I42" s="519"/>
      <c r="J42" s="519"/>
      <c r="K42" s="520"/>
      <c r="L42" s="62" t="e">
        <f ca="1">PROPER([85]!terbilang(K40))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3"/>
      <c r="I45" s="513"/>
      <c r="J45" s="514"/>
      <c r="K45" s="514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3"/>
      <c r="I46" s="513"/>
      <c r="J46" s="514"/>
      <c r="K46" s="514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3"/>
      <c r="I47" s="513"/>
      <c r="J47" s="514"/>
      <c r="K47" s="514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3"/>
      <c r="I52" s="513"/>
      <c r="J52" s="514"/>
      <c r="K52" s="514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SUMIFS(RAB!$F$17:$F$106,RAB!$C$17:$C$106,'REKAP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SUMIFS(RAB!$F$17:$F$106,RAB!$C$17:$C$106,'REKAP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SUMIFS(RAB!$F$17:$F$106,RAB!$C$17:$C$106,'REKAP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SUMIFS(RAB!$F$17:$F$106,RAB!$C$17:$C$106,'REKAP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SUMIFS(RAB!$F$17:$F$106,RAB!$C$17:$C$106,'REKAP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SUMIFS(RAB!$F$17:$F$106,RAB!$C$17:$C$106,'REKAP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SUMIFS(RAB!$F$17:$F$106,RAB!$C$17:$C$106,'REKAP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SUMIFS(RAB!$F$17:$F$106,RAB!$C$17:$C$106,'REKAP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SUMIFS(RAB!$F$17:$F$106,RAB!$C$17:$C$106,'REKAP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SUMIFS(RAB!$F$17:$F$106,RAB!$C$17:$C$106,'REKAP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SUMIFS(RAB!$F$17:$F$106,RAB!$C$17:$C$106,'REKAP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SUMIFS(RAB!$F$17:$F$106,RAB!$C$17:$C$106,'REKAP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SUMIFS(RAB!$F$17:$F$106,RAB!$C$17:$C$106,'REKAP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SUMIFS(RAB!$F$17:$F$106,RAB!$C$17:$C$106,'REKAP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SUMIFS(RAB!$F$17:$F$106,RAB!$C$17:$C$106,'REKAP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SUMIFS(RAB!$F$17:$F$106,RAB!$C$17:$C$106,'REKAP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SUMIFS(RAB!$F$17:$F$106,RAB!$C$17:$C$106,'REKAP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SUMIFS(RAB!$F$17:$F$106,RAB!$C$17:$C$106,'REKAP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SUMIFS(RAB!$F$17:$F$106,RAB!$C$17:$C$106,'REKAP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SUMIFS(RAB!$F$17:$F$106,RAB!$C$17:$C$106,'REKAP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C28" sqref="C28"/>
      <selection pane="topRight" activeCell="C28" sqref="C28"/>
      <selection pane="bottomLeft" activeCell="C28" sqref="C28"/>
      <selection pane="bottomRight" activeCell="C28" sqref="C28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8" t="s">
        <v>1033</v>
      </c>
      <c r="C4" s="528"/>
      <c r="D4" s="528"/>
      <c r="E4" s="528"/>
      <c r="F4" s="528"/>
      <c r="G4" s="528"/>
      <c r="H4" s="528"/>
      <c r="I4" s="528"/>
      <c r="J4" s="528"/>
      <c r="K4" s="52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21" t="str">
        <f>RAB!G6</f>
        <v>PT. DONLIM 105 KVA</v>
      </c>
      <c r="H6" s="521"/>
      <c r="I6" s="521"/>
      <c r="J6" s="521"/>
      <c r="K6" s="521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>
        <f>RAB!G7</f>
        <v>0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9" t="s">
        <v>0</v>
      </c>
      <c r="C11" s="531" t="s">
        <v>1</v>
      </c>
      <c r="D11" s="534" t="s">
        <v>42</v>
      </c>
      <c r="E11" s="534" t="s">
        <v>43</v>
      </c>
      <c r="F11" s="534" t="s">
        <v>2</v>
      </c>
      <c r="G11" s="535" t="s">
        <v>41</v>
      </c>
      <c r="H11" s="534" t="s">
        <v>3</v>
      </c>
      <c r="I11" s="534"/>
      <c r="J11" s="534"/>
      <c r="K11" s="538"/>
      <c r="M11" s="33"/>
      <c r="N11" s="33"/>
      <c r="O11" s="33"/>
      <c r="P11" s="33"/>
      <c r="R11" s="34"/>
      <c r="S11" s="74"/>
      <c r="T11" s="74"/>
    </row>
    <row r="12" spans="1:21" ht="15" customHeight="1">
      <c r="B12" s="530"/>
      <c r="C12" s="532"/>
      <c r="D12" s="524"/>
      <c r="E12" s="524"/>
      <c r="F12" s="524"/>
      <c r="G12" s="536"/>
      <c r="H12" s="526" t="s">
        <v>46</v>
      </c>
      <c r="I12" s="526" t="s">
        <v>5</v>
      </c>
      <c r="J12" s="524" t="s">
        <v>47</v>
      </c>
      <c r="K12" s="525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0"/>
      <c r="C13" s="533"/>
      <c r="D13" s="524"/>
      <c r="E13" s="524"/>
      <c r="F13" s="524"/>
      <c r="G13" s="537"/>
      <c r="H13" s="527"/>
      <c r="I13" s="527"/>
      <c r="J13" s="524"/>
      <c r="K13" s="525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1033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213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11608500</v>
      </c>
      <c r="I22" s="42">
        <f t="shared" ca="1" si="2"/>
        <v>0</v>
      </c>
      <c r="J22" s="42">
        <f t="shared" ca="1" si="3"/>
        <v>0</v>
      </c>
      <c r="K22" s="43">
        <f t="shared" ca="1" si="0"/>
        <v>11608500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Kabel NYY 4 x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50</v>
      </c>
      <c r="G23" s="41">
        <f ca="1">IF(ISERROR(OFFSET('HARGA SATUAN'!$I$6,MATCH(C23,'HARGA SATUAN'!$C$7:$C$1492,0),0)),"",OFFSET('HARGA SATUAN'!$I$6,MATCH(C23,'HARGA SATUAN'!$C$7:$C$1492,0),0))</f>
        <v>421400</v>
      </c>
      <c r="H23" s="42">
        <f t="shared" ca="1" si="1"/>
        <v>21070000</v>
      </c>
      <c r="I23" s="42">
        <f t="shared" ca="1" si="2"/>
        <v>0</v>
      </c>
      <c r="J23" s="42">
        <f t="shared" ca="1" si="3"/>
        <v>0</v>
      </c>
      <c r="K23" s="43">
        <f t="shared" ca="1" si="0"/>
        <v>21070000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2" t="s">
        <v>1007</v>
      </c>
      <c r="D168" s="522"/>
      <c r="E168" s="522"/>
      <c r="F168" s="522"/>
      <c r="G168" s="77" t="s">
        <v>9</v>
      </c>
      <c r="H168" s="55">
        <f ca="1">SUM(H14:H167)</f>
        <v>110089450</v>
      </c>
      <c r="I168" s="55">
        <f ca="1">SUM(I14:I167)</f>
        <v>0</v>
      </c>
      <c r="J168" s="55">
        <f ca="1">SUM(J14:J167)</f>
        <v>0</v>
      </c>
      <c r="K168" s="55">
        <f ca="1">SUM(K14:K167)</f>
        <v>110089450</v>
      </c>
      <c r="L168" s="44"/>
      <c r="R168" s="99"/>
      <c r="S168" s="99"/>
      <c r="T168" s="99"/>
    </row>
    <row r="169" spans="1:20" s="36" customFormat="1">
      <c r="A169" s="30"/>
      <c r="B169" s="56"/>
      <c r="C169" s="523" t="s">
        <v>462</v>
      </c>
      <c r="D169" s="523"/>
      <c r="E169" s="523"/>
      <c r="F169" s="523"/>
      <c r="G169" s="59" t="s">
        <v>9</v>
      </c>
      <c r="H169" s="60">
        <f ca="1">H168*0.1</f>
        <v>11008945</v>
      </c>
      <c r="I169" s="60">
        <f ca="1">I168*0.1</f>
        <v>0</v>
      </c>
      <c r="J169" s="60">
        <f ca="1">J168*0.1</f>
        <v>0</v>
      </c>
      <c r="K169" s="60">
        <f ca="1">K168*0.1</f>
        <v>11008945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2" t="s">
        <v>463</v>
      </c>
      <c r="D170" s="512"/>
      <c r="E170" s="512"/>
      <c r="F170" s="512"/>
      <c r="G170" s="61" t="s">
        <v>9</v>
      </c>
      <c r="H170" s="78">
        <f ca="1">SUM(H168:H169)</f>
        <v>121098395</v>
      </c>
      <c r="I170" s="78">
        <f ca="1">SUM(I168:I169)</f>
        <v>0</v>
      </c>
      <c r="J170" s="61">
        <f ca="1">SUM(J168:J169)</f>
        <v>0</v>
      </c>
      <c r="K170" s="61">
        <f ca="1">SUM(K168:K169)</f>
        <v>121098395</v>
      </c>
      <c r="L170" s="44"/>
      <c r="R170" s="99"/>
      <c r="S170" s="99"/>
      <c r="T170" s="99"/>
    </row>
    <row r="171" spans="1:20" s="36" customFormat="1">
      <c r="A171" s="30"/>
      <c r="B171" s="515" t="e">
        <f ca="1">"Terbilang : ( "&amp;L172&amp;" Rupiah )"</f>
        <v>#NAME?</v>
      </c>
      <c r="C171" s="516"/>
      <c r="D171" s="516"/>
      <c r="E171" s="516"/>
      <c r="F171" s="516"/>
      <c r="G171" s="516"/>
      <c r="H171" s="516"/>
      <c r="I171" s="516"/>
      <c r="J171" s="516"/>
      <c r="K171" s="517"/>
      <c r="L171" s="44"/>
      <c r="R171" s="58"/>
      <c r="S171" s="58"/>
      <c r="T171" s="58"/>
    </row>
    <row r="172" spans="1:20" s="36" customFormat="1">
      <c r="A172" s="30"/>
      <c r="B172" s="518"/>
      <c r="C172" s="519"/>
      <c r="D172" s="519"/>
      <c r="E172" s="519"/>
      <c r="F172" s="519"/>
      <c r="G172" s="519"/>
      <c r="H172" s="519"/>
      <c r="I172" s="519"/>
      <c r="J172" s="519"/>
      <c r="K172" s="520"/>
      <c r="L172" s="62" t="e">
        <f ca="1">PROPER([85]!terbilang(K170))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3"/>
      <c r="I175" s="513"/>
      <c r="J175" s="514"/>
      <c r="K175" s="514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3"/>
      <c r="I176" s="513"/>
      <c r="J176" s="514"/>
      <c r="K176" s="514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3"/>
      <c r="I177" s="513"/>
      <c r="J177" s="514"/>
      <c r="K177" s="514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3"/>
      <c r="I182" s="513"/>
      <c r="J182" s="514"/>
      <c r="K182" s="514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SUMIFS(RAB!$F$17:$F$106,RAB!$C$17:$C$106,C224)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SUMIFS(RAB!$F$17:$F$106,RAB!$C$17:$C$106,C225)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SUMIFS(RAB!$F$17:$F$106,RAB!$C$17:$C$106,C226)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SUMIFS(RAB!$F$17:$F$106,RAB!$C$17:$C$106,C227)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SUMIFS(RAB!$F$17:$F$106,RAB!$C$17:$C$106,C228)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SUMIFS(RAB!$F$17:$F$106,RAB!$C$17:$C$106,C229)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SUMIFS(RAB!$F$17:$F$106,RAB!$C$17:$C$106,C230)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SUMIFS(RAB!$F$17:$F$106,RAB!$C$17:$C$106,C231)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SUMIFS(RAB!$F$17:$F$106,RAB!$C$17:$C$106,C232)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SUMIFS(RAB!$F$17:$F$106,RAB!$C$17:$C$106,C233)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SUMIFS(RAB!$F$17:$F$106,RAB!$C$17:$C$106,C234)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SUMIFS(RAB!$F$17:$F$106,RAB!$C$17:$C$106,C235)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SUMIFS(RAB!$F$17:$F$106,RAB!$C$17:$C$106,C236)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SUMIFS(RAB!$F$17:$F$106,RAB!$C$17:$C$106,C237)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SUMIFS(RAB!$F$17:$F$106,RAB!$C$17:$C$106,C238)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SUMIFS(RAB!$F$17:$F$106,RAB!$C$17:$C$106,C239)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SUMIFS(RAB!$F$17:$F$106,RAB!$C$17:$C$106,C240)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SUMIFS(RAB!$F$17:$F$106,RAB!$C$17:$C$106,C241)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SUMIFS(RAB!$F$17:$F$106,RAB!$C$17:$C$106,C242)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SUMIFS(RAB!$F$17:$F$106,RAB!$C$17:$C$106,C243)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SUMIFS(RAB!$F$17:$F$106,RAB!$C$17:$C$106,C244)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SUMIFS(RAB!$F$17:$F$106,RAB!$C$17:$C$106,C245)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SUMIFS(RAB!$F$17:$F$106,RAB!$C$17:$C$106,C246)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SUMIFS(RAB!$F$17:$F$106,RAB!$C$17:$C$106,C247)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SUMIFS(RAB!$F$17:$F$106,RAB!$C$17:$C$106,C248)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SUMIFS(RAB!$F$17:$F$106,RAB!$C$17:$C$106,C249)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SUMIFS(RAB!$F$17:$F$106,RAB!$C$17:$C$106,C250)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SUMIFS(RAB!$F$17:$F$106,RAB!$C$17:$C$106,C251)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SUMIFS(RAB!$F$17:$F$106,RAB!$C$17:$C$106,C252)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SUMIFS(RAB!$F$17:$F$106,RAB!$C$17:$C$106,C253)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SUMIFS(RAB!$F$17:$F$106,RAB!$C$17:$C$106,C254)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SUMIFS(RAB!$F$17:$F$106,RAB!$C$17:$C$106,C255)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SUMIFS(RAB!$F$17:$F$106,RAB!$C$17:$C$106,C256)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SUMIFS(RAB!$F$17:$F$106,RAB!$C$17:$C$106,C257)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SUMIFS(RAB!$F$17:$F$106,RAB!$C$17:$C$106,C258)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SUMIFS(RAB!$F$17:$F$106,RAB!$C$17:$C$106,C259)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SUMIFS(RAB!$F$17:$F$106,RAB!$C$17:$C$106,C260)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SUMIFS(RAB!$F$17:$F$106,RAB!$C$17:$C$106,C261)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SUMIFS(RAB!$F$17:$F$106,RAB!$C$17:$C$106,C262)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SUMIFS(RAB!$F$17:$F$106,RAB!$C$17:$C$106,C263)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SUMIFS(RAB!$F$17:$F$106,RAB!$C$17:$C$106,C264)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SUMIFS(RAB!$F$17:$F$106,RAB!$C$17:$C$106,C265)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SUMIFS(RAB!$F$17:$F$106,RAB!$C$17:$C$106,C266)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SUMIFS(RAB!$F$17:$F$106,RAB!$C$17:$C$106,C267)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SUMIFS(RAB!$F$17:$F$106,RAB!$C$17:$C$106,C268)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SUMIFS(RAB!$F$17:$F$106,RAB!$C$17:$C$106,C269)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SUMIFS(RAB!$F$17:$F$106,RAB!$C$17:$C$106,C270)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SUMIFS(RAB!$F$17:$F$106,RAB!$C$17:$C$106,C271)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SUMIFS(RAB!$F$17:$F$106,RAB!$C$17:$C$106,C272)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SUMIFS(RAB!$F$17:$F$106,RAB!$C$17:$C$106,C273)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SUMIFS(RAB!$F$17:$F$106,RAB!$C$17:$C$106,C274)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SUMIFS(RAB!$F$17:$F$106,RAB!$C$17:$C$106,C275)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SUMIFS(RAB!$F$17:$F$106,RAB!$C$17:$C$106,C276)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SUMIFS(RAB!$F$17:$F$106,RAB!$C$17:$C$106,C277)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SUMIFS(RAB!$F$17:$F$106,RAB!$C$17:$C$106,C278)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SUMIFS(RAB!$F$17:$F$106,RAB!$C$17:$C$106,C279)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SUMIFS(RAB!$F$17:$F$106,RAB!$C$17:$C$106,C280)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SUMIFS(RAB!$F$17:$F$106,RAB!$C$17:$C$106,C281)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SUMIFS(RAB!$F$17:$F$106,RAB!$C$17:$C$106,C282)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SUMIFS(RAB!$F$17:$F$106,RAB!$C$17:$C$106,C283)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SUMIFS(RAB!$F$17:$F$106,RAB!$C$17:$C$106,C284)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SUMIFS(RAB!$F$17:$F$106,RAB!$C$17:$C$106,C285)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SUMIFS(RAB!$F$17:$F$106,RAB!$C$17:$C$106,C286)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SUMIFS(RAB!$F$17:$F$106,RAB!$C$17:$C$106,C287)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SUMIFS(RAB!$F$17:$F$106,RAB!$C$17:$C$106,C288)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SUMIFS(RAB!$F$17:$F$106,RAB!$C$17:$C$106,C289)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SUMIFS(RAB!$F$17:$F$106,RAB!$C$17:$C$106,C290)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SUMIFS(RAB!$F$17:$F$106,RAB!$C$17:$C$106,C291)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SUMIFS(RAB!$F$17:$F$106,RAB!$C$17:$C$106,C292)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SUMIFS(RAB!$F$17:$F$106,RAB!$C$17:$C$106,C293)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SUMIFS(RAB!$F$17:$F$106,RAB!$C$17:$C$106,C294)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SUMIFS(RAB!$F$17:$F$106,RAB!$C$17:$C$106,C295)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SUMIFS(RAB!$F$17:$F$106,RAB!$C$17:$C$106,C296)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SUMIFS(RAB!$F$17:$F$106,RAB!$C$17:$C$106,C297)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SUMIFS(RAB!$F$17:$F$106,RAB!$C$17:$C$106,C298)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SUMIFS(RAB!$F$17:$F$106,RAB!$C$17:$C$106,C299)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SUMIFS(RAB!$F$17:$F$106,RAB!$C$17:$C$106,C300)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SUMIFS(RAB!$F$17:$F$106,RAB!$C$17:$C$106,C301)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SUMIFS(RAB!$F$17:$F$106,RAB!$C$17:$C$106,C302)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SUMIFS(RAB!$F$17:$F$106,RAB!$C$17:$C$106,C303)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SUMIFS(RAB!$F$17:$F$106,RAB!$C$17:$C$106,C304)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SUMIFS(RAB!$F$17:$F$106,RAB!$C$17:$C$106,C305)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SUMIFS(RAB!$F$17:$F$106,RAB!$C$17:$C$106,C306)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SUMIFS(RAB!$F$17:$F$106,RAB!$C$17:$C$106,C307)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SUMIFS(RAB!$F$17:$F$106,RAB!$C$17:$C$106,C308)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SUMIFS(RAB!$F$17:$F$106,RAB!$C$17:$C$106,C309)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SUMIFS(RAB!$F$17:$F$106,RAB!$C$17:$C$106,C310)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SUMIFS(RAB!$F$17:$F$106,RAB!$C$17:$C$106,C311)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SUMIFS(RAB!$F$17:$F$106,RAB!$C$17:$C$106,C312)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SUMIFS(RAB!$F$17:$F$106,RAB!$C$17:$C$106,C313)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SUMIFS(RAB!$F$17:$F$106,RAB!$C$17:$C$106,C314)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SUMIFS(RAB!$F$17:$F$106,RAB!$C$17:$C$106,C315)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SUMIFS(RAB!$F$17:$F$106,RAB!$C$17:$C$106,C316)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SUMIFS(RAB!$F$17:$F$106,RAB!$C$17:$C$106,C317)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SUMIFS(RAB!$F$17:$F$106,RAB!$C$17:$C$106,C318)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SUMIFS(RAB!$F$17:$F$106,RAB!$C$17:$C$106,C319)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SUMIFS(RAB!$F$17:$F$106,RAB!$C$17:$C$106,C320)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SUMIFS(RAB!$F$17:$F$106,RAB!$C$17:$C$106,C321)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SUMIFS(RAB!$F$17:$F$106,RAB!$C$17:$C$106,C322)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SUMIFS(RAB!$F$17:$F$106,RAB!$C$17:$C$106,C323)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SUMIFS(RAB!$F$17:$F$106,RAB!$C$17:$C$106,C324)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SUMIFS(RAB!$F$17:$F$106,RAB!$C$17:$C$106,C325)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SUMIFS(RAB!$F$17:$F$106,RAB!$C$17:$C$106,C326)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SUMIFS(RAB!$F$17:$F$106,RAB!$C$17:$C$106,C327)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SUMIFS(RAB!$F$17:$F$106,RAB!$C$17:$C$106,C328)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SUMIFS(RAB!$F$17:$F$106,RAB!$C$17:$C$106,C329)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SUMIFS(RAB!$F$17:$F$106,RAB!$C$17:$C$106,C330)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SUMIFS(RAB!$F$17:$F$106,RAB!$C$17:$C$106,C331)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SUMIFS(RAB!$F$17:$F$106,RAB!$C$17:$C$106,C332)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SUMIFS(RAB!$F$17:$F$106,RAB!$C$17:$C$106,C333)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SUMIFS(RAB!$F$17:$F$106,RAB!$C$17:$C$106,C334)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SUMIFS(RAB!$F$17:$F$106,RAB!$C$17:$C$106,C335)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SUMIFS(RAB!$F$17:$F$106,RAB!$C$17:$C$106,C336)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SUMIFS(RAB!$F$17:$F$106,RAB!$C$17:$C$106,C337)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SUMIFS(RAB!$F$17:$F$106,RAB!$C$17:$C$106,C338)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SUMIFS(RAB!$F$17:$F$106,RAB!$C$17:$C$106,C339)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SUMIFS(RAB!$F$17:$F$106,RAB!$C$17:$C$106,C340)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SUMIFS(RAB!$F$17:$F$106,RAB!$C$17:$C$106,C341)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SUMIFS(RAB!$F$17:$F$106,RAB!$C$17:$C$106,C342)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SUMIFS(RAB!$F$17:$F$106,RAB!$C$17:$C$106,C343)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SUMIFS(RAB!$F$17:$F$106,RAB!$C$17:$C$106,C344)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SUMIFS(RAB!$F$17:$F$106,RAB!$C$17:$C$106,C345)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SUMIFS(RAB!$F$17:$F$106,RAB!$C$17:$C$106,C346)</f>
        <v>213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SUMIFS(RAB!$F$17:$F$106,RAB!$C$17:$C$106,C347)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SUMIFS(RAB!$F$17:$F$106,RAB!$C$17:$C$106,C348)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SUMIFS(RAB!$F$17:$F$106,RAB!$C$17:$C$106,C349)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SUMIFS(RAB!$F$17:$F$106,RAB!$C$17:$C$106,C350)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SUMIFS(RAB!$F$17:$F$106,RAB!$C$17:$C$106,C351)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SUMIFS(RAB!$F$17:$F$106,RAB!$C$17:$C$106,C352)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SUMIFS(RAB!$F$17:$F$106,RAB!$C$17:$C$106,C353)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SUMIFS(RAB!$F$17:$F$106,RAB!$C$17:$C$106,C354)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SUMIFS(RAB!$F$17:$F$106,RAB!$C$17:$C$106,C355)</f>
        <v>50</v>
      </c>
      <c r="E355" s="24">
        <f t="shared" ca="1" si="23"/>
        <v>1</v>
      </c>
      <c r="F355" s="24">
        <f ca="1">IF(D355=0,0,SUM($E$223:E355))</f>
        <v>8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SUMIFS(RAB!$F$17:$F$106,RAB!$C$17:$C$106,C356)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SUMIFS(RAB!$F$17:$F$106,RAB!$C$17:$C$106,C357)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SUMIFS(RAB!$F$17:$F$106,RAB!$C$17:$C$106,C358)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SUMIFS(RAB!$F$17:$F$106,RAB!$C$17:$C$106,C359)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SUMIFS(RAB!$F$17:$F$106,RAB!$C$17:$C$106,C360)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SUMIFS(RAB!$F$17:$F$106,RAB!$C$17:$C$106,C361)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SUMIFS(RAB!$F$17:$F$106,RAB!$C$17:$C$106,C362)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SUMIFS(RAB!$F$17:$F$106,RAB!$C$17:$C$106,C363)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SUMIFS(RAB!$F$17:$F$106,RAB!$C$17:$C$106,C364)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SUMIFS(RAB!$F$17:$F$106,RAB!$C$17:$C$106,C365)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SUMIFS(RAB!$F$17:$F$106,RAB!$C$17:$C$106,C366)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SUMIFS(RAB!$F$17:$F$106,RAB!$C$17:$C$106,C367)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SUMIFS(RAB!$F$17:$F$106,RAB!$C$17:$C$106,C368)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SUMIFS(RAB!$F$17:$F$106,RAB!$C$17:$C$106,C369)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SUMIFS(RAB!$F$17:$F$106,RAB!$C$17:$C$106,C370)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SUMIFS(RAB!$F$17:$F$106,RAB!$C$17:$C$106,C371)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SUMIFS(RAB!$F$17:$F$106,RAB!$C$17:$C$106,C372)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SUMIFS(RAB!$F$17:$F$106,RAB!$C$17:$C$106,C373)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8" priority="5" operator="equal">
      <formula>0</formula>
    </cfRule>
  </conditionalFormatting>
  <conditionalFormatting sqref="C16:C165">
    <cfRule type="cellIs" dxfId="47" priority="4" stopIfTrue="1" operator="equal">
      <formula>0</formula>
    </cfRule>
  </conditionalFormatting>
  <conditionalFormatting sqref="C16:E165">
    <cfRule type="cellIs" dxfId="46" priority="1" operator="equal">
      <formula>0</formula>
    </cfRule>
  </conditionalFormatting>
  <conditionalFormatting sqref="D224:F373">
    <cfRule type="cellIs" dxfId="45" priority="8" operator="equal">
      <formula>0</formula>
    </cfRule>
  </conditionalFormatting>
  <conditionalFormatting sqref="E1:E3 G1:G115 E6:E15 H12:I12 N13 F14:F15 H14:K115 E166:K166 G166:G223 E167:F167 H167:K167">
    <cfRule type="cellIs" dxfId="44" priority="43" stopIfTrue="1" operator="equal">
      <formula>0</formula>
    </cfRule>
  </conditionalFormatting>
  <conditionalFormatting sqref="E171:E65536">
    <cfRule type="cellIs" dxfId="43" priority="9" stopIfTrue="1" operator="equal">
      <formula>0</formula>
    </cfRule>
  </conditionalFormatting>
  <conditionalFormatting sqref="G224">
    <cfRule type="cellIs" dxfId="42" priority="10" operator="equal">
      <formula>0</formula>
    </cfRule>
  </conditionalFormatting>
  <conditionalFormatting sqref="G225:G65536">
    <cfRule type="cellIs" dxfId="41" priority="14" stopIfTrue="1" operator="equal">
      <formula>0</formula>
    </cfRule>
  </conditionalFormatting>
  <conditionalFormatting sqref="R14:T166 G116:K165">
    <cfRule type="cellIs" dxfId="4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06"/>
    </row>
    <row r="4" spans="4:4" ht="57" customHeight="1">
      <c r="D4" s="406">
        <v>3</v>
      </c>
    </row>
    <row r="5" spans="4:4" ht="57" customHeight="1">
      <c r="D5" s="40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052" activePane="bottomRight" state="frozen"/>
      <selection activeCell="C28" sqref="C28"/>
      <selection pane="topRight" activeCell="C28" sqref="C28"/>
      <selection pane="bottomLeft" activeCell="C28" sqref="C28"/>
      <selection pane="bottomRight" activeCell="C1073" sqref="C107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0" t="s">
        <v>41</v>
      </c>
      <c r="C2" s="54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1" t="s">
        <v>23</v>
      </c>
      <c r="C4" s="542" t="s">
        <v>1011</v>
      </c>
      <c r="D4" s="542" t="s">
        <v>42</v>
      </c>
      <c r="E4" s="541" t="s">
        <v>43</v>
      </c>
      <c r="F4" s="108" t="s">
        <v>1604</v>
      </c>
      <c r="G4" s="108" t="s">
        <v>1603</v>
      </c>
      <c r="H4" s="539" t="s">
        <v>1024</v>
      </c>
      <c r="I4" s="193" t="s">
        <v>478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1"/>
      <c r="C5" s="542"/>
      <c r="D5" s="542"/>
      <c r="E5" s="541"/>
      <c r="F5" s="93"/>
      <c r="G5" s="93"/>
      <c r="H5" s="539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479</v>
      </c>
      <c r="C8" s="109" t="s">
        <v>480</v>
      </c>
      <c r="D8" s="237"/>
      <c r="E8" s="238"/>
      <c r="F8" s="176">
        <f>(IF(D8="JASA",G8*'[86]DETAIL USULAN'!$K$58,0))+(IF(D8="HDW",G8*'[86]DETAIL USULAN'!$J$58,0))+(IF(D8="MDU",G8*'[86]DETAIL USULAN'!$I$58,0))+(IF(D8="MDU-KD",G8*'[86]DETAIL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481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482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483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1140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1139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1196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1197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1195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1141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484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485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486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487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488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489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490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491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492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493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494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495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496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497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498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499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500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501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502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503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1322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1323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1324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1325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1326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1327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1328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1329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1330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1331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1332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1333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1334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1335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1336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1337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1338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1339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1340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1341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1342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1343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1380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1381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1382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1383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1384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1385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1386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1387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1388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1389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1390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1391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1392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1393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1394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1395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1344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1345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504</v>
      </c>
      <c r="C87" s="109" t="s">
        <v>505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506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507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508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509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510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511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512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513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514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515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516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517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518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519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520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521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522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523</v>
      </c>
      <c r="C114" s="109" t="s">
        <v>1193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1194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1012</v>
      </c>
      <c r="D116" s="237" t="s">
        <v>44</v>
      </c>
      <c r="E116" s="238" t="s">
        <v>524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1013</v>
      </c>
      <c r="D117" s="237" t="s">
        <v>44</v>
      </c>
      <c r="E117" s="238" t="s">
        <v>524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1014</v>
      </c>
      <c r="D118" s="237" t="s">
        <v>44</v>
      </c>
      <c r="E118" s="238" t="s">
        <v>524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1015</v>
      </c>
      <c r="D119" s="237" t="s">
        <v>44</v>
      </c>
      <c r="E119" s="238" t="s">
        <v>524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1016</v>
      </c>
      <c r="D120" s="237" t="s">
        <v>44</v>
      </c>
      <c r="E120" s="238" t="s">
        <v>524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1192</v>
      </c>
      <c r="D121" s="237" t="s">
        <v>44</v>
      </c>
      <c r="E121" s="238" t="s">
        <v>524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1396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1397</v>
      </c>
      <c r="D123" s="237" t="s">
        <v>44</v>
      </c>
      <c r="E123" s="238" t="s">
        <v>524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1398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525</v>
      </c>
      <c r="C126" s="109" t="s">
        <v>526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527</v>
      </c>
      <c r="D127" s="237" t="s">
        <v>44</v>
      </c>
      <c r="E127" s="238" t="s">
        <v>524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528</v>
      </c>
      <c r="D128" s="237" t="s">
        <v>44</v>
      </c>
      <c r="E128" s="238" t="s">
        <v>524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1142</v>
      </c>
      <c r="D129" s="237" t="s">
        <v>45</v>
      </c>
      <c r="E129" s="238" t="s">
        <v>524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1143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1144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529</v>
      </c>
      <c r="C133" s="109" t="s">
        <v>530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531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1145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1146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1147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1148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1149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1150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1151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1456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1042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1043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1044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1045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532</v>
      </c>
      <c r="C150" s="109" t="s">
        <v>533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534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535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536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537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1399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1400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538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539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540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541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542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543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544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545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546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547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548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549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550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551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552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553</v>
      </c>
      <c r="C184" s="109" t="s">
        <v>1152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554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555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1032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556</v>
      </c>
      <c r="C191" s="109" t="s">
        <v>557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558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559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1046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581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582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561</v>
      </c>
      <c r="C203" s="109" t="s">
        <v>560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563</v>
      </c>
      <c r="C213" s="109" t="s">
        <v>562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1128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565</v>
      </c>
      <c r="C219" s="109" t="s">
        <v>564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578</v>
      </c>
      <c r="C227" s="109" t="s">
        <v>566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1401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1402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1457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1458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567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568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569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570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571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572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573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574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575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576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577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580</v>
      </c>
      <c r="C274" s="109" t="s">
        <v>579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1459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1460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583</v>
      </c>
      <c r="C315" s="109" t="s">
        <v>584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1155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1153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1154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585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1461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1462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1463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1464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1403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586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587</v>
      </c>
      <c r="C361" s="109" t="s">
        <v>588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589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590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1156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591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592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593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594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595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596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1465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29" t="s">
        <v>597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1017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1018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598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599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600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1047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1048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1049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1050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1051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1052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601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602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603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29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604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605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606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607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608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1466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1467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609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610</v>
      </c>
      <c r="C557" s="109" t="s">
        <v>611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1468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1469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1470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1471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1472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1473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1474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1475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1476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1477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1478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1479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1480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1481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1482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1483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1484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1485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1486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1487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1488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1489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1490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1491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1492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612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613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1091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614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1092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615</v>
      </c>
      <c r="C598" s="109" t="s">
        <v>1053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1054</v>
      </c>
      <c r="D599" s="237" t="s">
        <v>45</v>
      </c>
      <c r="E599" s="238" t="s">
        <v>1089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1055</v>
      </c>
      <c r="D600" s="237" t="s">
        <v>45</v>
      </c>
      <c r="E600" s="238" t="s">
        <v>1089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1157</v>
      </c>
      <c r="D601" s="237" t="s">
        <v>45</v>
      </c>
      <c r="E601" s="238" t="s">
        <v>1089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1158</v>
      </c>
      <c r="D602" s="237" t="s">
        <v>45</v>
      </c>
      <c r="E602" s="238" t="s">
        <v>1089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1159</v>
      </c>
      <c r="D603" s="237" t="s">
        <v>45</v>
      </c>
      <c r="E603" s="238" t="s">
        <v>1089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1056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1160</v>
      </c>
      <c r="D605" s="237" t="s">
        <v>45</v>
      </c>
      <c r="E605" s="238" t="s">
        <v>1089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800</v>
      </c>
      <c r="C607" s="109" t="s">
        <v>1058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1065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1066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1067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1068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1069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1070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1071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1072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1073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1074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1075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1076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1077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1078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1079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1080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1163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1081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1082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1083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1084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1085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1086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1087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1088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1001</v>
      </c>
      <c r="C634" s="109" t="s">
        <v>1103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1189</v>
      </c>
      <c r="C635" s="109" t="s">
        <v>1346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1104</v>
      </c>
      <c r="D636" s="237" t="s">
        <v>47</v>
      </c>
      <c r="E636" s="238" t="s">
        <v>1120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1105</v>
      </c>
      <c r="D637" s="237" t="s">
        <v>47</v>
      </c>
      <c r="E637" s="238" t="s">
        <v>1121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1106</v>
      </c>
      <c r="D638" s="237" t="s">
        <v>47</v>
      </c>
      <c r="E638" s="238" t="s">
        <v>1122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1107</v>
      </c>
      <c r="D639" s="237" t="s">
        <v>47</v>
      </c>
      <c r="E639" s="238" t="s">
        <v>1122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1108</v>
      </c>
      <c r="D640" s="237" t="s">
        <v>45</v>
      </c>
      <c r="E640" s="238" t="s">
        <v>1122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1109</v>
      </c>
      <c r="D641" s="237" t="s">
        <v>45</v>
      </c>
      <c r="E641" s="238" t="s">
        <v>1122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1110</v>
      </c>
      <c r="D642" s="237" t="s">
        <v>45</v>
      </c>
      <c r="E642" s="238" t="s">
        <v>1122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1111</v>
      </c>
      <c r="D643" s="237" t="s">
        <v>45</v>
      </c>
      <c r="E643" s="238" t="s">
        <v>1122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1112</v>
      </c>
      <c r="D644" s="237" t="s">
        <v>45</v>
      </c>
      <c r="E644" s="238" t="s">
        <v>1123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1190</v>
      </c>
      <c r="C646" s="109" t="s">
        <v>1113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1114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1115</v>
      </c>
      <c r="D648" s="237" t="s">
        <v>47</v>
      </c>
      <c r="E648" s="238" t="s">
        <v>1122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1116</v>
      </c>
      <c r="D649" s="237" t="s">
        <v>47</v>
      </c>
      <c r="E649" s="238" t="s">
        <v>1122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1117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1118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1191</v>
      </c>
      <c r="C653" s="109" t="s">
        <v>1119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1057</v>
      </c>
      <c r="C655" s="109" t="s">
        <v>616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1030</v>
      </c>
      <c r="C656" s="109" t="s">
        <v>617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618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619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620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621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622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623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624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625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626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627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628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629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630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631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632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633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634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635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636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637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638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1030</v>
      </c>
      <c r="C679" s="109" t="s">
        <v>639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640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641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642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643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644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645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646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647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648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649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650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651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652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653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654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655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656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657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658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659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660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661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662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663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664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665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666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667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668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669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670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671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672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673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1493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1494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1495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1496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1497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1498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1499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1500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1501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1502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1503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1504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1505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1506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1507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1508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1030</v>
      </c>
      <c r="C731" s="109" t="s">
        <v>674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675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676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677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678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679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680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1030</v>
      </c>
      <c r="C739" s="109" t="s">
        <v>681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682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683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684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685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686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687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688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689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690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691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1509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692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693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694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695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696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697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698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699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700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701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702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703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704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705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706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1510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707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708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709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1511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710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711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1512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1513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712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713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714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715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716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717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718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719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720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1030</v>
      </c>
      <c r="C785" s="109" t="s">
        <v>721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722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723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1514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724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725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726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727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728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1516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1515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729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730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731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732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1030</v>
      </c>
      <c r="C801" s="109" t="s">
        <v>1058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1059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1060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1061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1062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1063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1064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1161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1162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1030</v>
      </c>
      <c r="C811" s="109" t="s">
        <v>733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734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735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736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737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738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739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740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741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742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743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744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745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746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747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748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749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750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751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752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753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754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755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756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757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758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759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760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761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762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763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764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765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766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767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768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1164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1165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1019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1020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1030</v>
      </c>
      <c r="C853" s="109" t="s">
        <v>1167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1168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1169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1170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1171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1030</v>
      </c>
      <c r="C859" s="109" t="s">
        <v>769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770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771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772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475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476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477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773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774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775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776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777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1124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1030</v>
      </c>
      <c r="C917" s="109" t="s">
        <v>778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1030</v>
      </c>
      <c r="C926" s="109" t="s">
        <v>769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1198</v>
      </c>
      <c r="D927" s="237" t="s">
        <v>47</v>
      </c>
      <c r="E927" s="238" t="s">
        <v>1101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1199</v>
      </c>
      <c r="D928" s="237" t="s">
        <v>47</v>
      </c>
      <c r="E928" s="238" t="s">
        <v>1101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1200</v>
      </c>
      <c r="D929" s="237" t="s">
        <v>47</v>
      </c>
      <c r="E929" s="238" t="s">
        <v>1101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1201</v>
      </c>
      <c r="D930" s="237" t="s">
        <v>47</v>
      </c>
      <c r="E930" s="238" t="s">
        <v>1101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1202</v>
      </c>
      <c r="D931" s="237" t="s">
        <v>47</v>
      </c>
      <c r="E931" s="238" t="s">
        <v>1101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1203</v>
      </c>
      <c r="D932" s="237" t="s">
        <v>47</v>
      </c>
      <c r="E932" s="238" t="s">
        <v>1101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1204</v>
      </c>
      <c r="D933" s="237" t="s">
        <v>47</v>
      </c>
      <c r="E933" s="238" t="s">
        <v>1101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1205</v>
      </c>
      <c r="D934" s="237" t="s">
        <v>47</v>
      </c>
      <c r="E934" s="238" t="s">
        <v>1101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1206</v>
      </c>
      <c r="D935" s="237" t="s">
        <v>47</v>
      </c>
      <c r="E935" s="238" t="s">
        <v>1101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1207</v>
      </c>
      <c r="D936" s="237" t="s">
        <v>47</v>
      </c>
      <c r="E936" s="238" t="s">
        <v>1101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1208</v>
      </c>
      <c r="D937" s="237" t="s">
        <v>47</v>
      </c>
      <c r="E937" s="238" t="s">
        <v>1101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1209</v>
      </c>
      <c r="D938" s="237" t="s">
        <v>47</v>
      </c>
      <c r="E938" s="238" t="s">
        <v>1101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1210</v>
      </c>
      <c r="D939" s="237" t="s">
        <v>47</v>
      </c>
      <c r="E939" s="238" t="s">
        <v>1101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1211</v>
      </c>
      <c r="D940" s="237" t="s">
        <v>47</v>
      </c>
      <c r="E940" s="238" t="s">
        <v>1101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1212</v>
      </c>
      <c r="D941" s="237" t="s">
        <v>47</v>
      </c>
      <c r="E941" s="238" t="s">
        <v>1101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1213</v>
      </c>
      <c r="D942" s="237" t="s">
        <v>47</v>
      </c>
      <c r="E942" s="238" t="s">
        <v>1101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1214</v>
      </c>
      <c r="D943" s="237" t="s">
        <v>47</v>
      </c>
      <c r="E943" s="238" t="s">
        <v>1101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1215</v>
      </c>
      <c r="D944" s="237" t="s">
        <v>47</v>
      </c>
      <c r="E944" s="238" t="s">
        <v>1101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1216</v>
      </c>
      <c r="D945" s="237" t="s">
        <v>47</v>
      </c>
      <c r="E945" s="238" t="s">
        <v>1101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1217</v>
      </c>
      <c r="D946" s="237" t="s">
        <v>47</v>
      </c>
      <c r="E946" s="238" t="s">
        <v>1101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1218</v>
      </c>
      <c r="D947" s="237" t="s">
        <v>47</v>
      </c>
      <c r="E947" s="238" t="s">
        <v>1101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1219</v>
      </c>
      <c r="D948" s="237" t="s">
        <v>47</v>
      </c>
      <c r="E948" s="238" t="s">
        <v>1101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1220</v>
      </c>
      <c r="D949" s="237" t="s">
        <v>47</v>
      </c>
      <c r="E949" s="238" t="s">
        <v>1101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1221</v>
      </c>
      <c r="D950" s="237" t="s">
        <v>47</v>
      </c>
      <c r="E950" s="238" t="s">
        <v>1101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1222</v>
      </c>
      <c r="D951" s="237" t="s">
        <v>47</v>
      </c>
      <c r="E951" s="238" t="s">
        <v>1101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1223</v>
      </c>
      <c r="D952" s="237" t="s">
        <v>47</v>
      </c>
      <c r="E952" s="238" t="s">
        <v>1101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1224</v>
      </c>
      <c r="D953" s="237" t="s">
        <v>47</v>
      </c>
      <c r="E953" s="238" t="s">
        <v>1101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1225</v>
      </c>
      <c r="D954" s="237" t="s">
        <v>47</v>
      </c>
      <c r="E954" s="238" t="s">
        <v>1101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1226</v>
      </c>
      <c r="D955" s="237" t="s">
        <v>47</v>
      </c>
      <c r="E955" s="238" t="s">
        <v>1101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1227</v>
      </c>
      <c r="D956" s="237" t="s">
        <v>47</v>
      </c>
      <c r="E956" s="238" t="s">
        <v>1101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1228</v>
      </c>
      <c r="D957" s="237" t="s">
        <v>47</v>
      </c>
      <c r="E957" s="238" t="s">
        <v>1101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1229</v>
      </c>
      <c r="D958" s="237" t="s">
        <v>47</v>
      </c>
      <c r="E958" s="238" t="s">
        <v>1101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1230</v>
      </c>
      <c r="D959" s="237" t="s">
        <v>47</v>
      </c>
      <c r="E959" s="238" t="s">
        <v>1101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1231</v>
      </c>
      <c r="D960" s="237" t="s">
        <v>47</v>
      </c>
      <c r="E960" s="238" t="s">
        <v>1101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1232</v>
      </c>
      <c r="D961" s="237" t="s">
        <v>47</v>
      </c>
      <c r="E961" s="238" t="s">
        <v>1101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1233</v>
      </c>
      <c r="D962" s="237" t="s">
        <v>47</v>
      </c>
      <c r="E962" s="238" t="s">
        <v>1101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1234</v>
      </c>
      <c r="D963" s="237" t="s">
        <v>47</v>
      </c>
      <c r="E963" s="238" t="s">
        <v>1101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1235</v>
      </c>
      <c r="D964" s="237" t="s">
        <v>47</v>
      </c>
      <c r="E964" s="238" t="s">
        <v>1101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1236</v>
      </c>
      <c r="D965" s="237" t="s">
        <v>47</v>
      </c>
      <c r="E965" s="238" t="s">
        <v>1101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1237</v>
      </c>
      <c r="D966" s="237" t="s">
        <v>47</v>
      </c>
      <c r="E966" s="238" t="s">
        <v>1101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1238</v>
      </c>
      <c r="D967" s="237" t="s">
        <v>47</v>
      </c>
      <c r="E967" s="238" t="s">
        <v>1101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1239</v>
      </c>
      <c r="D968" s="237" t="s">
        <v>47</v>
      </c>
      <c r="E968" s="238" t="s">
        <v>1101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1240</v>
      </c>
      <c r="D969" s="237" t="s">
        <v>47</v>
      </c>
      <c r="E969" s="238" t="s">
        <v>1101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1241</v>
      </c>
      <c r="D970" s="237" t="s">
        <v>47</v>
      </c>
      <c r="E970" s="238" t="s">
        <v>1101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1242</v>
      </c>
      <c r="D971" s="237" t="s">
        <v>47</v>
      </c>
      <c r="E971" s="238" t="s">
        <v>1101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1243</v>
      </c>
      <c r="D972" s="237" t="s">
        <v>47</v>
      </c>
      <c r="E972" s="238" t="s">
        <v>1101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1244</v>
      </c>
      <c r="D973" s="237" t="s">
        <v>47</v>
      </c>
      <c r="E973" s="238" t="s">
        <v>1101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1245</v>
      </c>
      <c r="D974" s="237" t="s">
        <v>47</v>
      </c>
      <c r="E974" s="238" t="s">
        <v>1101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1246</v>
      </c>
      <c r="D975" s="237" t="s">
        <v>47</v>
      </c>
      <c r="E975" s="238" t="s">
        <v>1101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1247</v>
      </c>
      <c r="D976" s="237" t="s">
        <v>47</v>
      </c>
      <c r="E976" s="238" t="s">
        <v>1101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1248</v>
      </c>
      <c r="D977" s="237" t="s">
        <v>47</v>
      </c>
      <c r="E977" s="238" t="s">
        <v>1101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1249</v>
      </c>
      <c r="D978" s="237" t="s">
        <v>47</v>
      </c>
      <c r="E978" s="238" t="s">
        <v>1101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1250</v>
      </c>
      <c r="D979" s="237" t="s">
        <v>47</v>
      </c>
      <c r="E979" s="238" t="s">
        <v>1101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1251</v>
      </c>
      <c r="D980" s="237" t="s">
        <v>47</v>
      </c>
      <c r="E980" s="238" t="s">
        <v>1101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1252</v>
      </c>
      <c r="D981" s="237" t="s">
        <v>47</v>
      </c>
      <c r="E981" s="238" t="s">
        <v>1101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1030</v>
      </c>
      <c r="C983" s="109" t="s">
        <v>778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1253</v>
      </c>
      <c r="D984" s="237" t="s">
        <v>47</v>
      </c>
      <c r="E984" s="238" t="s">
        <v>1101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1254</v>
      </c>
      <c r="D985" s="237" t="s">
        <v>47</v>
      </c>
      <c r="E985" s="238" t="s">
        <v>1101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1255</v>
      </c>
      <c r="D986" s="237" t="s">
        <v>47</v>
      </c>
      <c r="E986" s="238" t="s">
        <v>1101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1256</v>
      </c>
      <c r="D987" s="237" t="s">
        <v>47</v>
      </c>
      <c r="E987" s="238" t="s">
        <v>1101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1257</v>
      </c>
      <c r="D988" s="237" t="s">
        <v>47</v>
      </c>
      <c r="E988" s="238" t="s">
        <v>1101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1258</v>
      </c>
      <c r="D989" s="237" t="s">
        <v>47</v>
      </c>
      <c r="E989" s="238" t="s">
        <v>1101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1259</v>
      </c>
      <c r="D990" s="237" t="s">
        <v>47</v>
      </c>
      <c r="E990" s="238" t="s">
        <v>1101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1030</v>
      </c>
      <c r="C992" s="109" t="s">
        <v>530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779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780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781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782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783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784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785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786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1517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1518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1030</v>
      </c>
      <c r="C1006" s="109" t="s">
        <v>787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1129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1130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1030</v>
      </c>
      <c r="C1034" s="109" t="s">
        <v>788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789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790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791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792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793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1093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1519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1520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1521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1522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1523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794</v>
      </c>
      <c r="D1049" s="237" t="s">
        <v>47</v>
      </c>
      <c r="E1049" s="238" t="s">
        <v>795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1030</v>
      </c>
      <c r="C1051" s="109" t="s">
        <v>796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797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798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799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1166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1524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801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1030</v>
      </c>
      <c r="C1062" s="109" t="s">
        <v>617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802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803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804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805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806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807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808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809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810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811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812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813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814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815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816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817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818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819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820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821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822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1030</v>
      </c>
      <c r="C1085" s="109" t="s">
        <v>639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823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824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825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826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827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828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829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830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831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832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833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834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835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836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837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838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839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840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841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842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843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844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845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846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847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848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849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850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851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852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853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854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855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856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1030</v>
      </c>
      <c r="C1121" s="109" t="s">
        <v>674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857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858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859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860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861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862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1030</v>
      </c>
      <c r="C1129" s="109" t="s">
        <v>681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863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864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865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866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867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868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869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870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871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872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873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874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875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876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877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878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879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880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881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882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883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884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885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886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887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888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889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890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891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892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893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894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895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896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897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898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899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900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901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1030</v>
      </c>
      <c r="C1170" s="109" t="s">
        <v>721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902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903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904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905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906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907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908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909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910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911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912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913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1030</v>
      </c>
      <c r="C1184" s="109" t="s">
        <v>1058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1172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1173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1174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1175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1176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1177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1178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1179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1030</v>
      </c>
      <c r="C1194" s="109" t="s">
        <v>733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914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915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916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917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918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919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920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921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922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923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924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925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926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927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928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929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930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931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932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933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934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935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936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937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938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939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940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941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942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943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944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945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946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947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948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1180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1181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1021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1182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1030</v>
      </c>
      <c r="C1236" s="109" t="s">
        <v>1167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1183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1184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1185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1186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1030</v>
      </c>
      <c r="C1242" s="109" t="s">
        <v>769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949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950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951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952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953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954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955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956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957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958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959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1125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1030</v>
      </c>
      <c r="C1299" s="109" t="s">
        <v>778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1030</v>
      </c>
      <c r="C1308" s="109" t="s">
        <v>769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1260</v>
      </c>
      <c r="D1309" s="237" t="s">
        <v>47</v>
      </c>
      <c r="E1309" s="238" t="s">
        <v>1101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1261</v>
      </c>
      <c r="D1310" s="237" t="s">
        <v>47</v>
      </c>
      <c r="E1310" s="238" t="s">
        <v>1101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1262</v>
      </c>
      <c r="D1311" s="237" t="s">
        <v>47</v>
      </c>
      <c r="E1311" s="238" t="s">
        <v>1101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1263</v>
      </c>
      <c r="D1312" s="237" t="s">
        <v>47</v>
      </c>
      <c r="E1312" s="238" t="s">
        <v>1101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1264</v>
      </c>
      <c r="D1313" s="237" t="s">
        <v>47</v>
      </c>
      <c r="E1313" s="238" t="s">
        <v>1101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1265</v>
      </c>
      <c r="D1314" s="237" t="s">
        <v>47</v>
      </c>
      <c r="E1314" s="238" t="s">
        <v>1101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1266</v>
      </c>
      <c r="D1315" s="237" t="s">
        <v>47</v>
      </c>
      <c r="E1315" s="238" t="s">
        <v>1101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1267</v>
      </c>
      <c r="D1316" s="237" t="s">
        <v>47</v>
      </c>
      <c r="E1316" s="238" t="s">
        <v>1101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1268</v>
      </c>
      <c r="D1317" s="237" t="s">
        <v>47</v>
      </c>
      <c r="E1317" s="238" t="s">
        <v>1101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1269</v>
      </c>
      <c r="D1318" s="237" t="s">
        <v>47</v>
      </c>
      <c r="E1318" s="238" t="s">
        <v>1101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1270</v>
      </c>
      <c r="D1319" s="237" t="s">
        <v>47</v>
      </c>
      <c r="E1319" s="238" t="s">
        <v>1101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1271</v>
      </c>
      <c r="D1320" s="237" t="s">
        <v>47</v>
      </c>
      <c r="E1320" s="238" t="s">
        <v>1101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1272</v>
      </c>
      <c r="D1321" s="237" t="s">
        <v>47</v>
      </c>
      <c r="E1321" s="238" t="s">
        <v>1101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1273</v>
      </c>
      <c r="D1322" s="237" t="s">
        <v>47</v>
      </c>
      <c r="E1322" s="238" t="s">
        <v>1101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1274</v>
      </c>
      <c r="D1323" s="237" t="s">
        <v>47</v>
      </c>
      <c r="E1323" s="238" t="s">
        <v>1101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1275</v>
      </c>
      <c r="D1324" s="237" t="s">
        <v>47</v>
      </c>
      <c r="E1324" s="238" t="s">
        <v>1101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1276</v>
      </c>
      <c r="D1325" s="237" t="s">
        <v>47</v>
      </c>
      <c r="E1325" s="238" t="s">
        <v>1101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1277</v>
      </c>
      <c r="D1326" s="237" t="s">
        <v>47</v>
      </c>
      <c r="E1326" s="238" t="s">
        <v>1101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1278</v>
      </c>
      <c r="D1327" s="237" t="s">
        <v>47</v>
      </c>
      <c r="E1327" s="238" t="s">
        <v>1101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1279</v>
      </c>
      <c r="D1328" s="237" t="s">
        <v>47</v>
      </c>
      <c r="E1328" s="238" t="s">
        <v>1101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1280</v>
      </c>
      <c r="D1329" s="237" t="s">
        <v>47</v>
      </c>
      <c r="E1329" s="238" t="s">
        <v>1101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1281</v>
      </c>
      <c r="D1330" s="237" t="s">
        <v>47</v>
      </c>
      <c r="E1330" s="238" t="s">
        <v>1101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1282</v>
      </c>
      <c r="D1331" s="237" t="s">
        <v>47</v>
      </c>
      <c r="E1331" s="238" t="s">
        <v>1101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1283</v>
      </c>
      <c r="D1332" s="237" t="s">
        <v>47</v>
      </c>
      <c r="E1332" s="238" t="s">
        <v>1101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1284</v>
      </c>
      <c r="D1333" s="237" t="s">
        <v>47</v>
      </c>
      <c r="E1333" s="238" t="s">
        <v>1101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1285</v>
      </c>
      <c r="D1334" s="237" t="s">
        <v>47</v>
      </c>
      <c r="E1334" s="238" t="s">
        <v>1101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1286</v>
      </c>
      <c r="D1335" s="237" t="s">
        <v>47</v>
      </c>
      <c r="E1335" s="238" t="s">
        <v>1101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1287</v>
      </c>
      <c r="D1336" s="237" t="s">
        <v>47</v>
      </c>
      <c r="E1336" s="238" t="s">
        <v>1101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1288</v>
      </c>
      <c r="D1337" s="237" t="s">
        <v>47</v>
      </c>
      <c r="E1337" s="238" t="s">
        <v>1101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1289</v>
      </c>
      <c r="D1338" s="237" t="s">
        <v>47</v>
      </c>
      <c r="E1338" s="238" t="s">
        <v>1101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1290</v>
      </c>
      <c r="D1339" s="237" t="s">
        <v>47</v>
      </c>
      <c r="E1339" s="238" t="s">
        <v>1101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1291</v>
      </c>
      <c r="D1340" s="237" t="s">
        <v>47</v>
      </c>
      <c r="E1340" s="238" t="s">
        <v>1101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1292</v>
      </c>
      <c r="D1341" s="237" t="s">
        <v>47</v>
      </c>
      <c r="E1341" s="238" t="s">
        <v>1101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1293</v>
      </c>
      <c r="D1342" s="237" t="s">
        <v>47</v>
      </c>
      <c r="E1342" s="238" t="s">
        <v>1101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1294</v>
      </c>
      <c r="D1343" s="237" t="s">
        <v>47</v>
      </c>
      <c r="E1343" s="238" t="s">
        <v>1101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1295</v>
      </c>
      <c r="D1344" s="237" t="s">
        <v>47</v>
      </c>
      <c r="E1344" s="238" t="s">
        <v>1101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1296</v>
      </c>
      <c r="D1345" s="237" t="s">
        <v>47</v>
      </c>
      <c r="E1345" s="238" t="s">
        <v>1101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1297</v>
      </c>
      <c r="D1346" s="237" t="s">
        <v>47</v>
      </c>
      <c r="E1346" s="238" t="s">
        <v>1101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1298</v>
      </c>
      <c r="D1347" s="237" t="s">
        <v>47</v>
      </c>
      <c r="E1347" s="238" t="s">
        <v>1101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1299</v>
      </c>
      <c r="D1348" s="237" t="s">
        <v>47</v>
      </c>
      <c r="E1348" s="238" t="s">
        <v>1101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1300</v>
      </c>
      <c r="D1349" s="237" t="s">
        <v>47</v>
      </c>
      <c r="E1349" s="238" t="s">
        <v>1101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1301</v>
      </c>
      <c r="D1350" s="237" t="s">
        <v>47</v>
      </c>
      <c r="E1350" s="238" t="s">
        <v>1101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1302</v>
      </c>
      <c r="D1351" s="237" t="s">
        <v>47</v>
      </c>
      <c r="E1351" s="238" t="s">
        <v>1101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1303</v>
      </c>
      <c r="D1352" s="237" t="s">
        <v>47</v>
      </c>
      <c r="E1352" s="238" t="s">
        <v>1101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1304</v>
      </c>
      <c r="D1353" s="237" t="s">
        <v>47</v>
      </c>
      <c r="E1353" s="238" t="s">
        <v>1101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1305</v>
      </c>
      <c r="D1354" s="237" t="s">
        <v>47</v>
      </c>
      <c r="E1354" s="238" t="s">
        <v>1101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1306</v>
      </c>
      <c r="D1355" s="237" t="s">
        <v>47</v>
      </c>
      <c r="E1355" s="238" t="s">
        <v>1101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1307</v>
      </c>
      <c r="D1356" s="237" t="s">
        <v>47</v>
      </c>
      <c r="E1356" s="238" t="s">
        <v>1101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1308</v>
      </c>
      <c r="D1357" s="237" t="s">
        <v>47</v>
      </c>
      <c r="E1357" s="238" t="s">
        <v>1101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1309</v>
      </c>
      <c r="D1358" s="237" t="s">
        <v>47</v>
      </c>
      <c r="E1358" s="238" t="s">
        <v>1101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1310</v>
      </c>
      <c r="D1359" s="237" t="s">
        <v>47</v>
      </c>
      <c r="E1359" s="238" t="s">
        <v>1101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1311</v>
      </c>
      <c r="D1360" s="237" t="s">
        <v>47</v>
      </c>
      <c r="E1360" s="238" t="s">
        <v>1101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1312</v>
      </c>
      <c r="D1361" s="237" t="s">
        <v>47</v>
      </c>
      <c r="E1361" s="238" t="s">
        <v>1101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1313</v>
      </c>
      <c r="D1362" s="237" t="s">
        <v>47</v>
      </c>
      <c r="E1362" s="238" t="s">
        <v>1101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1314</v>
      </c>
      <c r="D1363" s="237" t="s">
        <v>47</v>
      </c>
      <c r="E1363" s="238" t="s">
        <v>1101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1030</v>
      </c>
      <c r="C1365" s="109" t="s">
        <v>778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1315</v>
      </c>
      <c r="D1366" s="237" t="s">
        <v>47</v>
      </c>
      <c r="E1366" s="238" t="s">
        <v>1101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1316</v>
      </c>
      <c r="D1367" s="237" t="s">
        <v>47</v>
      </c>
      <c r="E1367" s="238" t="s">
        <v>1101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1317</v>
      </c>
      <c r="D1368" s="237" t="s">
        <v>47</v>
      </c>
      <c r="E1368" s="238" t="s">
        <v>1101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1318</v>
      </c>
      <c r="D1369" s="237" t="s">
        <v>47</v>
      </c>
      <c r="E1369" s="238" t="s">
        <v>1101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1319</v>
      </c>
      <c r="D1370" s="237" t="s">
        <v>47</v>
      </c>
      <c r="E1370" s="238" t="s">
        <v>1101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1320</v>
      </c>
      <c r="D1371" s="237" t="s">
        <v>47</v>
      </c>
      <c r="E1371" s="238" t="s">
        <v>1101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1321</v>
      </c>
      <c r="D1372" s="237" t="s">
        <v>47</v>
      </c>
      <c r="E1372" s="238" t="s">
        <v>1101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1030</v>
      </c>
      <c r="C1374" s="109" t="s">
        <v>530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960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961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962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963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964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965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966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967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968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1030</v>
      </c>
      <c r="C1385" s="109" t="s">
        <v>787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1131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1132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1030</v>
      </c>
      <c r="C1413" s="109" t="s">
        <v>788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1094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969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970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971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972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973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974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975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976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977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978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979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1095</v>
      </c>
      <c r="D1433" s="237" t="s">
        <v>47</v>
      </c>
      <c r="E1433" s="238" t="s">
        <v>473</v>
      </c>
      <c r="F1433" s="430">
        <v>2740</v>
      </c>
      <c r="G1433" s="430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1030</v>
      </c>
      <c r="C1435" s="109" t="s">
        <v>796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980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981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982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1187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1188</v>
      </c>
      <c r="C1443" s="109" t="s">
        <v>1002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1090</v>
      </c>
      <c r="D1444" s="237" t="s">
        <v>47</v>
      </c>
      <c r="E1444" s="238" t="s">
        <v>1003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1005</v>
      </c>
      <c r="D1445" s="237" t="s">
        <v>47</v>
      </c>
      <c r="E1445" s="238" t="s">
        <v>1004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1006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1096</v>
      </c>
      <c r="D1447" s="237" t="s">
        <v>47</v>
      </c>
      <c r="E1447" s="238" t="s">
        <v>1102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1097</v>
      </c>
      <c r="D1448" s="237" t="s">
        <v>47</v>
      </c>
      <c r="E1448" s="238" t="s">
        <v>1102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1098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1099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1100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1404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1405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1406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1407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1408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1030</v>
      </c>
      <c r="C1458" s="199" t="s">
        <v>1409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1410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1411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1030</v>
      </c>
      <c r="C1462" s="199" t="s">
        <v>1412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1030</v>
      </c>
      <c r="C1463" s="199" t="s">
        <v>1413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1030</v>
      </c>
      <c r="C1464" s="199" t="s">
        <v>1414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1030</v>
      </c>
      <c r="C1465" s="199" t="s">
        <v>1415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1030</v>
      </c>
      <c r="C1467" s="199" t="s">
        <v>1416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1417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1418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1030</v>
      </c>
      <c r="C1471" s="199" t="s">
        <v>1419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1420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1421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1422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1423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1424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31" t="s">
        <v>1425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31" t="s">
        <v>1426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31" t="s">
        <v>1427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31" t="s">
        <v>1428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1429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1430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31" t="s">
        <v>1430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1034</v>
      </c>
      <c r="C1487" s="199" t="s">
        <v>1431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1432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1433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1434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1026</v>
      </c>
      <c r="C1491" s="199" t="s">
        <v>1435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1436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1437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9" priority="138" operator="equal">
      <formula>0</formula>
    </cfRule>
  </conditionalFormatting>
  <conditionalFormatting sqref="B8:C135">
    <cfRule type="cellIs" dxfId="38" priority="51" operator="equal">
      <formula>0</formula>
    </cfRule>
  </conditionalFormatting>
  <conditionalFormatting sqref="B150:G1493">
    <cfRule type="cellIs" dxfId="37" priority="1" operator="equal">
      <formula>0</formula>
    </cfRule>
  </conditionalFormatting>
  <conditionalFormatting sqref="C143:G149">
    <cfRule type="cellIs" dxfId="36" priority="5" operator="equal">
      <formula>0</formula>
    </cfRule>
  </conditionalFormatting>
  <conditionalFormatting sqref="D9:G142">
    <cfRule type="cellIs" dxfId="35" priority="11" operator="equal">
      <formula>0</formula>
    </cfRule>
  </conditionalFormatting>
  <conditionalFormatting sqref="D1:IV5 A1:C7 D6:K6 H1455:IV1457 H1458:XFD1485 H1486:H1493 I1486:XFD1494 A1494:H1494 A1495:XFD65536">
    <cfRule type="cellIs" dxfId="34" priority="163" operator="equal">
      <formula>0</formula>
    </cfRule>
  </conditionalFormatting>
  <conditionalFormatting sqref="D7:IV8 C136:C142 B136:B149">
    <cfRule type="cellIs" dxfId="33" priority="62" operator="equal">
      <formula>0</formula>
    </cfRule>
  </conditionalFormatting>
  <conditionalFormatting sqref="H9:H1418">
    <cfRule type="cellIs" dxfId="32" priority="129" operator="equal">
      <formula>0</formula>
    </cfRule>
  </conditionalFormatting>
  <conditionalFormatting sqref="H1419:I1454">
    <cfRule type="cellIs" dxfId="31" priority="128" operator="equal">
      <formula>0</formula>
    </cfRule>
  </conditionalFormatting>
  <conditionalFormatting sqref="I108:I1418">
    <cfRule type="cellIs" dxfId="30" priority="125" operator="equal">
      <formula>0</formula>
    </cfRule>
  </conditionalFormatting>
  <conditionalFormatting sqref="J108:IV1454">
    <cfRule type="cellIs" dxfId="29" priority="139" operator="equal">
      <formula>0</formula>
    </cfRule>
  </conditionalFormatting>
  <conditionalFormatting sqref="M6:IV6">
    <cfRule type="cellIs" dxfId="28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D5" sqref="D5:E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47" t="s">
        <v>1452</v>
      </c>
      <c r="C2" s="547"/>
      <c r="D2" s="547"/>
      <c r="E2" s="547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52" t="s">
        <v>1530</v>
      </c>
      <c r="C4" s="553"/>
      <c r="D4" s="553"/>
      <c r="E4" s="554"/>
      <c r="F4" s="388"/>
      <c r="G4" s="388"/>
      <c r="H4" s="389"/>
      <c r="I4" s="579" t="s">
        <v>1531</v>
      </c>
      <c r="J4" s="580"/>
      <c r="K4" s="580"/>
      <c r="L4" s="581"/>
    </row>
    <row r="5" spans="1:12" ht="34.5" customHeight="1">
      <c r="A5" s="204"/>
      <c r="B5" s="391" t="s">
        <v>1378</v>
      </c>
      <c r="C5" s="235" t="s">
        <v>9</v>
      </c>
      <c r="D5" s="548" t="str">
        <f>DATA!D14</f>
        <v>PT. DONLIM 105 KVA</v>
      </c>
      <c r="E5" s="549"/>
      <c r="F5" s="208"/>
      <c r="G5" s="208"/>
      <c r="I5" s="392" t="s">
        <v>1378</v>
      </c>
      <c r="J5" s="235" t="s">
        <v>9</v>
      </c>
      <c r="K5" s="582" t="str">
        <f>D5</f>
        <v>PT. DONLIM 105 KVA</v>
      </c>
      <c r="L5" s="583"/>
    </row>
    <row r="6" spans="1:12" ht="31.5" customHeight="1">
      <c r="A6" s="204"/>
      <c r="B6" s="391" t="s">
        <v>1527</v>
      </c>
      <c r="C6" s="235" t="s">
        <v>9</v>
      </c>
      <c r="D6" s="557">
        <f>DATA!D17*1000</f>
        <v>0</v>
      </c>
      <c r="E6" s="558"/>
      <c r="F6" s="208"/>
      <c r="G6" s="208"/>
      <c r="I6" s="392" t="s">
        <v>1528</v>
      </c>
      <c r="J6" s="235" t="s">
        <v>9</v>
      </c>
      <c r="K6" s="584">
        <f>DATA!D20*1000</f>
        <v>105000</v>
      </c>
      <c r="L6" s="585"/>
    </row>
    <row r="7" spans="1:12" ht="30.75" customHeight="1">
      <c r="A7" s="204"/>
      <c r="B7" s="391" t="s">
        <v>1439</v>
      </c>
      <c r="C7" s="235" t="s">
        <v>9</v>
      </c>
      <c r="D7" s="555">
        <f>DATA!D18</f>
        <v>1</v>
      </c>
      <c r="E7" s="556"/>
      <c r="F7" s="390" t="s">
        <v>1451</v>
      </c>
      <c r="I7" s="392" t="s">
        <v>1439</v>
      </c>
      <c r="J7" s="235" t="s">
        <v>9</v>
      </c>
      <c r="K7" s="586">
        <f>DATA!D21</f>
        <v>3</v>
      </c>
      <c r="L7" s="587"/>
    </row>
    <row r="8" spans="1:12" ht="51" customHeight="1">
      <c r="A8" s="204"/>
      <c r="B8" s="391" t="s">
        <v>1440</v>
      </c>
      <c r="C8" s="235" t="s">
        <v>9</v>
      </c>
      <c r="D8" s="555">
        <f>DATA!D19</f>
        <v>220</v>
      </c>
      <c r="E8" s="556"/>
      <c r="F8" s="390" t="s">
        <v>1451</v>
      </c>
      <c r="G8" s="385">
        <v>220</v>
      </c>
      <c r="I8" s="392" t="s">
        <v>1440</v>
      </c>
      <c r="J8" s="235" t="s">
        <v>9</v>
      </c>
      <c r="K8" s="586">
        <f>DATA!D22</f>
        <v>380</v>
      </c>
      <c r="L8" s="587"/>
    </row>
    <row r="9" spans="1:12" ht="30" customHeight="1" thickBot="1">
      <c r="A9" s="204"/>
      <c r="B9" s="397" t="s">
        <v>1539</v>
      </c>
      <c r="C9" s="387" t="s">
        <v>9</v>
      </c>
      <c r="D9" s="550">
        <f>IF(D7=1,D6/(380/3^0.5),(D6/(380*3^0.5)))</f>
        <v>0</v>
      </c>
      <c r="E9" s="551"/>
      <c r="F9" s="207"/>
      <c r="G9" s="386">
        <v>380</v>
      </c>
      <c r="I9" s="398" t="s">
        <v>1539</v>
      </c>
      <c r="J9" s="387" t="s">
        <v>9</v>
      </c>
      <c r="K9" s="588">
        <f>IF(K7=1,K6/(380/3^0.5),(K6/(380*3^0.5)))</f>
        <v>159.53099543397556</v>
      </c>
      <c r="L9" s="589"/>
    </row>
    <row r="10" spans="1:12" ht="24.75" customHeight="1">
      <c r="B10" s="399"/>
      <c r="C10" s="396"/>
      <c r="D10" s="400"/>
      <c r="E10" s="400"/>
      <c r="F10" s="207"/>
      <c r="G10" s="386"/>
      <c r="I10" s="399"/>
      <c r="J10" s="396"/>
      <c r="K10" s="400"/>
      <c r="L10" s="400"/>
    </row>
    <row r="11" spans="1:12" ht="16.5" thickBot="1">
      <c r="B11" s="393" t="s">
        <v>1540</v>
      </c>
      <c r="I11" s="393" t="s">
        <v>1534</v>
      </c>
    </row>
    <row r="12" spans="1:12" ht="34.5" customHeight="1">
      <c r="A12" s="204"/>
      <c r="B12" s="421" t="s">
        <v>1532</v>
      </c>
      <c r="C12" s="415" t="s">
        <v>9</v>
      </c>
      <c r="D12" s="559"/>
      <c r="E12" s="560"/>
      <c r="F12" s="208"/>
      <c r="G12" s="208"/>
      <c r="I12" s="414" t="s">
        <v>1532</v>
      </c>
      <c r="J12" s="415" t="s">
        <v>9</v>
      </c>
      <c r="K12" s="559"/>
      <c r="L12" s="560"/>
    </row>
    <row r="13" spans="1:12" ht="31.5" customHeight="1">
      <c r="A13" s="204"/>
      <c r="B13" s="422" t="s">
        <v>1379</v>
      </c>
      <c r="C13" s="402" t="s">
        <v>9</v>
      </c>
      <c r="D13" s="563"/>
      <c r="E13" s="564"/>
      <c r="F13" s="208"/>
      <c r="G13" s="208"/>
      <c r="I13" s="416" t="s">
        <v>1379</v>
      </c>
      <c r="J13" s="402" t="s">
        <v>9</v>
      </c>
      <c r="K13" s="563"/>
      <c r="L13" s="564"/>
    </row>
    <row r="14" spans="1:12" ht="30.75" customHeight="1">
      <c r="A14" s="204"/>
      <c r="B14" s="422" t="s">
        <v>1533</v>
      </c>
      <c r="C14" s="402" t="s">
        <v>9</v>
      </c>
      <c r="D14" s="571"/>
      <c r="E14" s="572"/>
      <c r="F14" s="390" t="s">
        <v>1451</v>
      </c>
      <c r="G14" s="394">
        <v>50</v>
      </c>
      <c r="I14" s="416" t="s">
        <v>1533</v>
      </c>
      <c r="J14" s="402" t="s">
        <v>9</v>
      </c>
      <c r="K14" s="573">
        <v>100</v>
      </c>
      <c r="L14" s="574"/>
    </row>
    <row r="15" spans="1:12" ht="57" customHeight="1">
      <c r="A15" s="204"/>
      <c r="B15" s="422" t="s">
        <v>1439</v>
      </c>
      <c r="C15" s="402" t="s">
        <v>9</v>
      </c>
      <c r="D15" s="408"/>
      <c r="E15" s="417"/>
      <c r="F15" s="390" t="s">
        <v>1451</v>
      </c>
      <c r="G15" s="394">
        <v>100</v>
      </c>
      <c r="I15" s="416" t="s">
        <v>1439</v>
      </c>
      <c r="J15" s="402" t="s">
        <v>9</v>
      </c>
      <c r="K15" s="408">
        <v>3</v>
      </c>
      <c r="L15" s="417"/>
    </row>
    <row r="16" spans="1:12" ht="44.25" customHeight="1">
      <c r="A16" s="204"/>
      <c r="B16" s="422" t="s">
        <v>1543</v>
      </c>
      <c r="C16" s="402"/>
      <c r="D16" s="575">
        <v>35</v>
      </c>
      <c r="E16" s="576"/>
      <c r="F16" s="390"/>
      <c r="G16" s="394">
        <v>160</v>
      </c>
      <c r="I16" s="416" t="s">
        <v>1535</v>
      </c>
      <c r="J16" s="402" t="s">
        <v>9</v>
      </c>
      <c r="K16" s="577">
        <f>K9</f>
        <v>159.53099543397556</v>
      </c>
      <c r="L16" s="578"/>
    </row>
    <row r="17" spans="1:12" ht="34.5" customHeight="1">
      <c r="A17" s="204"/>
      <c r="B17" s="422" t="s">
        <v>1536</v>
      </c>
      <c r="C17" s="402" t="s">
        <v>9</v>
      </c>
      <c r="D17" s="565">
        <f>IF(D15=1,D14/(20/3^0.5),(D14/(20*3^0.5)))</f>
        <v>0</v>
      </c>
      <c r="E17" s="566"/>
      <c r="F17" s="390" t="s">
        <v>1451</v>
      </c>
      <c r="G17" s="395">
        <v>200</v>
      </c>
      <c r="I17" s="416" t="s">
        <v>1536</v>
      </c>
      <c r="J17" s="402" t="s">
        <v>9</v>
      </c>
      <c r="K17" s="569">
        <f>IF(K15=1,K14/(20/3^0.5),(K14/(20*3^0.5)))</f>
        <v>2.8867513459481291</v>
      </c>
      <c r="L17" s="570"/>
    </row>
    <row r="18" spans="1:12" ht="34.5" customHeight="1">
      <c r="A18" s="204"/>
      <c r="B18" s="422" t="s">
        <v>1537</v>
      </c>
      <c r="C18" s="402" t="s">
        <v>9</v>
      </c>
      <c r="D18" s="565">
        <f>IF(D15=1,D14/(380/3^0.5),(D14/(380*3^0.5)))*1000</f>
        <v>0</v>
      </c>
      <c r="E18" s="566"/>
      <c r="F18" s="390" t="s">
        <v>1451</v>
      </c>
      <c r="G18" s="395">
        <v>250</v>
      </c>
      <c r="I18" s="416" t="s">
        <v>1537</v>
      </c>
      <c r="J18" s="402" t="s">
        <v>9</v>
      </c>
      <c r="K18" s="569">
        <f>IF(K15=1,K14/(380/3^0.5),(K14/(380*3^0.5)))*1000</f>
        <v>151.93428136569102</v>
      </c>
      <c r="L18" s="570"/>
    </row>
    <row r="19" spans="1:12" ht="30" customHeight="1">
      <c r="A19" s="204"/>
      <c r="B19" s="423" t="s">
        <v>1529</v>
      </c>
      <c r="C19" s="401" t="s">
        <v>9</v>
      </c>
      <c r="D19" s="565">
        <f>IF(D15=1,D14/(380/3^0.5),(D14/(380*3^0.5)))</f>
        <v>0</v>
      </c>
      <c r="E19" s="566"/>
      <c r="F19" s="207"/>
      <c r="G19" s="386"/>
      <c r="I19" s="418" t="s">
        <v>1529</v>
      </c>
      <c r="J19" s="401" t="s">
        <v>9</v>
      </c>
      <c r="K19" s="569">
        <f>IF(K15=1,K14/(380/3^0.5),(K14/(380*3^0.5)))</f>
        <v>0.15193428136569101</v>
      </c>
      <c r="L19" s="570"/>
    </row>
    <row r="20" spans="1:12" ht="30" customHeight="1" thickBot="1">
      <c r="A20" s="204"/>
      <c r="B20" s="424" t="s">
        <v>1538</v>
      </c>
      <c r="C20" s="420" t="s">
        <v>9</v>
      </c>
      <c r="D20" s="561" t="e">
        <f>D16/D18</f>
        <v>#DIV/0!</v>
      </c>
      <c r="E20" s="562"/>
      <c r="F20" s="207"/>
      <c r="G20" s="386"/>
      <c r="I20" s="419" t="s">
        <v>1529</v>
      </c>
      <c r="J20" s="420" t="s">
        <v>9</v>
      </c>
      <c r="K20" s="567">
        <f>K16/K18</f>
        <v>1.05</v>
      </c>
      <c r="L20" s="568"/>
    </row>
    <row r="21" spans="1:12" ht="9.75" customHeight="1">
      <c r="A21" s="204"/>
      <c r="B21" s="409" t="s">
        <v>1538</v>
      </c>
      <c r="C21" s="410" t="s">
        <v>9</v>
      </c>
      <c r="D21" s="546">
        <v>1</v>
      </c>
      <c r="E21" s="546"/>
      <c r="F21" s="411"/>
      <c r="G21" s="412"/>
      <c r="H21" s="413"/>
      <c r="I21" s="409" t="s">
        <v>1529</v>
      </c>
      <c r="J21" s="410" t="s">
        <v>9</v>
      </c>
      <c r="K21" s="546">
        <v>1</v>
      </c>
      <c r="L21" s="546"/>
    </row>
    <row r="22" spans="1:12" ht="6.75" customHeight="1">
      <c r="B22" s="399"/>
      <c r="C22" s="396"/>
      <c r="D22" s="407"/>
      <c r="E22" s="407"/>
      <c r="F22" s="207"/>
      <c r="G22" s="386"/>
      <c r="J22" s="396"/>
      <c r="K22" s="407"/>
      <c r="L22" s="407"/>
    </row>
    <row r="23" spans="1:12" ht="15.75" thickBot="1"/>
    <row r="24" spans="1:12" ht="200.25" customHeight="1" thickBot="1">
      <c r="B24" s="543"/>
      <c r="C24" s="544"/>
      <c r="D24" s="544"/>
      <c r="E24" s="545"/>
      <c r="I24" s="543"/>
      <c r="J24" s="544"/>
      <c r="K24" s="544"/>
      <c r="L24" s="545"/>
    </row>
    <row r="26" spans="1:12">
      <c r="D26" s="404"/>
    </row>
    <row r="27" spans="1:12">
      <c r="D27" s="405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7" priority="5" stopIfTrue="1" operator="greaterThan">
      <formula>0.89</formula>
    </cfRule>
    <cfRule type="cellIs" dxfId="2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="85" zoomScaleNormal="85" workbookViewId="0">
      <selection activeCell="D25" sqref="D25"/>
    </sheetView>
  </sheetViews>
  <sheetFormatPr defaultRowHeight="15"/>
  <cols>
    <col min="1" max="1" width="1.28515625" style="245" customWidth="1"/>
    <col min="2" max="2" width="25.28515625" style="245" customWidth="1"/>
    <col min="3" max="3" width="3.28515625" style="245" customWidth="1"/>
    <col min="4" max="4" width="26.28515625" style="259" customWidth="1"/>
    <col min="5" max="5" width="6.42578125" style="245" customWidth="1"/>
    <col min="6" max="6" width="12" style="245" bestFit="1" customWidth="1"/>
    <col min="7" max="8" width="9.140625" style="245" hidden="1" customWidth="1"/>
    <col min="9" max="9" width="9.140625" style="245"/>
    <col min="10" max="10" width="3.85546875" style="245" customWidth="1"/>
    <col min="11" max="11" width="2.7109375" style="245" customWidth="1"/>
    <col min="12" max="16384" width="9.140625" style="245"/>
  </cols>
  <sheetData>
    <row r="1" spans="2:11" ht="12.75" customHeight="1">
      <c r="B1" s="590"/>
      <c r="C1" s="590"/>
      <c r="D1" s="590"/>
    </row>
    <row r="2" spans="2:11" ht="15.75" customHeight="1">
      <c r="B2" s="246" t="s">
        <v>1441</v>
      </c>
      <c r="C2" s="247"/>
      <c r="D2" s="248"/>
    </row>
    <row r="3" spans="2:11" ht="20.100000000000001" customHeight="1">
      <c r="B3" s="249" t="s">
        <v>1348</v>
      </c>
      <c r="C3" s="250" t="s">
        <v>9</v>
      </c>
      <c r="D3" s="251">
        <v>2022</v>
      </c>
    </row>
    <row r="4" spans="2:11" ht="20.100000000000001" customHeight="1">
      <c r="B4" s="249" t="s">
        <v>1029</v>
      </c>
      <c r="C4" s="250" t="s">
        <v>9</v>
      </c>
      <c r="D4" s="252">
        <v>0.12</v>
      </c>
    </row>
    <row r="5" spans="2:11" ht="20.100000000000001" customHeight="1">
      <c r="B5" s="249" t="s">
        <v>1349</v>
      </c>
      <c r="C5" s="250" t="s">
        <v>9</v>
      </c>
      <c r="D5" s="432">
        <v>1084.1250458865841</v>
      </c>
      <c r="F5" s="428" t="s">
        <v>1606</v>
      </c>
      <c r="K5" s="427"/>
    </row>
    <row r="6" spans="2:11" ht="20.100000000000001" customHeight="1">
      <c r="B6" s="249" t="s">
        <v>1350</v>
      </c>
      <c r="C6" s="250" t="s">
        <v>9</v>
      </c>
      <c r="D6" s="254">
        <v>25</v>
      </c>
      <c r="F6" s="428"/>
    </row>
    <row r="7" spans="2:11" ht="20.100000000000001" customHeight="1">
      <c r="B7" s="249" t="s">
        <v>1351</v>
      </c>
      <c r="C7" s="250" t="s">
        <v>9</v>
      </c>
      <c r="D7" s="255">
        <v>2.2499999999999999E-2</v>
      </c>
    </row>
    <row r="8" spans="2:11" ht="20.100000000000001" customHeight="1">
      <c r="B8" s="249" t="s">
        <v>1442</v>
      </c>
      <c r="C8" s="250" t="s">
        <v>9</v>
      </c>
      <c r="D8" s="256">
        <f>D20-D17</f>
        <v>105</v>
      </c>
    </row>
    <row r="9" spans="2:11" ht="20.100000000000001" customHeight="1">
      <c r="B9" s="249" t="s">
        <v>1443</v>
      </c>
      <c r="C9" s="250" t="s">
        <v>9</v>
      </c>
      <c r="D9" s="256">
        <f>(D8*D25)*1000</f>
        <v>101745000</v>
      </c>
    </row>
    <row r="10" spans="2:11" ht="20.100000000000001" customHeight="1">
      <c r="B10" s="249" t="s">
        <v>1444</v>
      </c>
      <c r="C10" s="250" t="s">
        <v>9</v>
      </c>
      <c r="D10" s="256">
        <f ca="1">RAB!K112</f>
        <v>142883339.40912133</v>
      </c>
    </row>
    <row r="11" spans="2:11" ht="20.100000000000001" customHeight="1">
      <c r="B11" s="249" t="s">
        <v>1355</v>
      </c>
      <c r="C11" s="250" t="s">
        <v>9</v>
      </c>
      <c r="D11" s="253">
        <f ca="1">2%*D10</f>
        <v>2857666.7881824267</v>
      </c>
    </row>
    <row r="12" spans="2:11" ht="9" customHeight="1">
      <c r="B12" s="591"/>
      <c r="C12" s="591"/>
      <c r="D12" s="591"/>
    </row>
    <row r="13" spans="2:11" ht="15.75" customHeight="1">
      <c r="B13" s="257"/>
      <c r="C13" s="257"/>
      <c r="D13" s="257"/>
    </row>
    <row r="14" spans="2:11" ht="33.75" customHeight="1">
      <c r="B14" s="361" t="s">
        <v>1378</v>
      </c>
      <c r="C14" s="362" t="s">
        <v>9</v>
      </c>
      <c r="D14" s="367" t="s">
        <v>1630</v>
      </c>
      <c r="E14" s="258" t="s">
        <v>1451</v>
      </c>
    </row>
    <row r="15" spans="2:11" ht="20.100000000000001" customHeight="1">
      <c r="B15" s="363" t="s">
        <v>1445</v>
      </c>
      <c r="C15" s="364" t="s">
        <v>9</v>
      </c>
      <c r="D15" s="368" t="s">
        <v>565</v>
      </c>
      <c r="E15" s="258" t="s">
        <v>1451</v>
      </c>
    </row>
    <row r="16" spans="2:11" ht="20.100000000000001" customHeight="1">
      <c r="B16" s="363" t="s">
        <v>1446</v>
      </c>
      <c r="C16" s="364" t="s">
        <v>9</v>
      </c>
      <c r="D16" s="368" t="s">
        <v>1449</v>
      </c>
      <c r="E16" s="258" t="s">
        <v>1451</v>
      </c>
    </row>
    <row r="17" spans="2:5" ht="20.100000000000001" customHeight="1">
      <c r="B17" s="363" t="s">
        <v>1447</v>
      </c>
      <c r="C17" s="364" t="s">
        <v>9</v>
      </c>
      <c r="D17" s="369">
        <v>0</v>
      </c>
      <c r="E17" s="258" t="s">
        <v>1451</v>
      </c>
    </row>
    <row r="18" spans="2:5" ht="20.100000000000001" hidden="1" customHeight="1">
      <c r="B18" s="363" t="s">
        <v>1541</v>
      </c>
      <c r="C18" s="364"/>
      <c r="D18" s="369">
        <f>IF((D17&lt;=11),1,3)</f>
        <v>1</v>
      </c>
      <c r="E18" s="258"/>
    </row>
    <row r="19" spans="2:5" ht="20.100000000000001" hidden="1" customHeight="1">
      <c r="B19" s="363" t="s">
        <v>1542</v>
      </c>
      <c r="C19" s="364"/>
      <c r="D19" s="369">
        <f>IF((D17&lt;=11),220,380)</f>
        <v>220</v>
      </c>
      <c r="E19" s="258"/>
    </row>
    <row r="20" spans="2:5" ht="20.100000000000001" customHeight="1">
      <c r="B20" s="363" t="s">
        <v>1448</v>
      </c>
      <c r="C20" s="364" t="s">
        <v>9</v>
      </c>
      <c r="D20" s="369">
        <v>105</v>
      </c>
      <c r="E20" s="258" t="s">
        <v>1451</v>
      </c>
    </row>
    <row r="21" spans="2:5" ht="20.100000000000001" hidden="1" customHeight="1">
      <c r="B21" s="363" t="s">
        <v>1541</v>
      </c>
      <c r="C21" s="364"/>
      <c r="D21" s="369">
        <f>IF((D20&lt;=11),1,3)</f>
        <v>3</v>
      </c>
      <c r="E21" s="258"/>
    </row>
    <row r="22" spans="2:5" ht="20.100000000000001" hidden="1" customHeight="1">
      <c r="B22" s="363" t="s">
        <v>1542</v>
      </c>
      <c r="C22" s="364"/>
      <c r="D22" s="369">
        <f>IF((D20&lt;=11),220,380)</f>
        <v>380</v>
      </c>
      <c r="E22" s="258"/>
    </row>
    <row r="23" spans="2:5" ht="20.100000000000001" customHeight="1">
      <c r="B23" s="363" t="s">
        <v>1352</v>
      </c>
      <c r="C23" s="364" t="s">
        <v>9</v>
      </c>
      <c r="D23" s="368">
        <v>900</v>
      </c>
      <c r="E23" s="258" t="s">
        <v>1451</v>
      </c>
    </row>
    <row r="24" spans="2:5" ht="20.100000000000001" customHeight="1">
      <c r="B24" s="363" t="s">
        <v>1353</v>
      </c>
      <c r="C24" s="364" t="s">
        <v>9</v>
      </c>
      <c r="D24" s="368">
        <v>900</v>
      </c>
      <c r="E24" s="258" t="s">
        <v>1451</v>
      </c>
    </row>
    <row r="25" spans="2:5" ht="20.100000000000001" customHeight="1">
      <c r="B25" s="363" t="s">
        <v>1450</v>
      </c>
      <c r="C25" s="364" t="s">
        <v>9</v>
      </c>
      <c r="D25" s="369">
        <v>969</v>
      </c>
      <c r="E25" s="258" t="s">
        <v>1451</v>
      </c>
    </row>
    <row r="26" spans="2:5" ht="20.100000000000001" customHeight="1">
      <c r="B26" s="365" t="s">
        <v>1354</v>
      </c>
      <c r="C26" s="366" t="s">
        <v>9</v>
      </c>
      <c r="D26" s="370">
        <v>40</v>
      </c>
      <c r="E26" s="258" t="s">
        <v>1451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C28" sqref="C28"/>
      <selection pane="bottomLeft" activeCell="K25" sqref="K25"/>
    </sheetView>
  </sheetViews>
  <sheetFormatPr defaultRowHeight="15"/>
  <cols>
    <col min="1" max="1" width="5" style="260" customWidth="1"/>
    <col min="2" max="2" width="6.28515625" style="260" customWidth="1"/>
    <col min="3" max="3" width="15.140625" style="260" customWidth="1"/>
    <col min="4" max="4" width="15" style="260" customWidth="1"/>
    <col min="5" max="5" width="15.140625" style="260" bestFit="1" customWidth="1"/>
    <col min="6" max="6" width="12.140625" style="260" bestFit="1" customWidth="1"/>
    <col min="7" max="7" width="10" style="260" bestFit="1" customWidth="1"/>
    <col min="8" max="8" width="15.7109375" style="260" bestFit="1" customWidth="1"/>
    <col min="9" max="9" width="14.140625" style="260" bestFit="1" customWidth="1"/>
    <col min="10" max="10" width="13.85546875" style="260" bestFit="1" customWidth="1"/>
    <col min="11" max="11" width="15.7109375" style="260" customWidth="1"/>
    <col min="12" max="12" width="11.140625" style="260" bestFit="1" customWidth="1"/>
    <col min="13" max="13" width="13.85546875" style="260" bestFit="1" customWidth="1"/>
    <col min="14" max="14" width="12.85546875" style="260" bestFit="1" customWidth="1"/>
    <col min="15" max="15" width="7" style="260" customWidth="1"/>
    <col min="16" max="17" width="12.85546875" style="260" bestFit="1" customWidth="1"/>
    <col min="18" max="18" width="1.28515625" style="260" hidden="1" customWidth="1"/>
    <col min="19" max="19" width="3" style="262" hidden="1" customWidth="1"/>
    <col min="20" max="16384" width="9.140625" style="260"/>
  </cols>
  <sheetData>
    <row r="1" spans="1:21">
      <c r="G1" s="261"/>
    </row>
    <row r="2" spans="1:21">
      <c r="G2" s="261"/>
      <c r="K2" s="261"/>
    </row>
    <row r="3" spans="1:21">
      <c r="B3" s="592" t="s">
        <v>1356</v>
      </c>
      <c r="C3" s="592"/>
      <c r="D3" s="592"/>
      <c r="E3" s="592"/>
      <c r="F3" s="263" t="str">
        <f>DATA!D14</f>
        <v>PT. DONLIM 105 KVA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.100000000000001" customHeight="1">
      <c r="B5" s="593" t="s">
        <v>1348</v>
      </c>
      <c r="C5" s="593" t="s">
        <v>1357</v>
      </c>
      <c r="D5" s="594" t="s">
        <v>1358</v>
      </c>
      <c r="E5" s="594" t="s">
        <v>1359</v>
      </c>
      <c r="F5" s="593" t="s">
        <v>1360</v>
      </c>
      <c r="G5" s="593"/>
      <c r="H5" s="593"/>
      <c r="I5" s="593"/>
      <c r="J5" s="593"/>
      <c r="K5" s="593" t="s">
        <v>1361</v>
      </c>
      <c r="L5" s="593"/>
      <c r="M5" s="265"/>
      <c r="N5" s="597" t="s">
        <v>1362</v>
      </c>
      <c r="O5" s="594" t="s">
        <v>1363</v>
      </c>
      <c r="P5" s="594" t="s">
        <v>1364</v>
      </c>
      <c r="Q5" s="594" t="s">
        <v>1365</v>
      </c>
      <c r="R5" s="266"/>
      <c r="S5" s="267"/>
      <c r="T5" s="595" t="s">
        <v>1366</v>
      </c>
      <c r="U5" s="268"/>
    </row>
    <row r="6" spans="1:21" ht="20.100000000000001" customHeight="1">
      <c r="B6" s="593"/>
      <c r="C6" s="593"/>
      <c r="D6" s="593"/>
      <c r="E6" s="593"/>
      <c r="F6" s="269" t="s">
        <v>1367</v>
      </c>
      <c r="G6" s="269" t="s">
        <v>1368</v>
      </c>
      <c r="H6" s="269" t="s">
        <v>1369</v>
      </c>
      <c r="I6" s="269" t="s">
        <v>1370</v>
      </c>
      <c r="J6" s="269" t="s">
        <v>1031</v>
      </c>
      <c r="K6" s="269" t="s">
        <v>1371</v>
      </c>
      <c r="L6" s="269" t="s">
        <v>1372</v>
      </c>
      <c r="M6" s="269" t="s">
        <v>1031</v>
      </c>
      <c r="N6" s="598"/>
      <c r="O6" s="593"/>
      <c r="P6" s="593"/>
      <c r="Q6" s="593"/>
      <c r="R6" s="266"/>
      <c r="S6" s="267"/>
      <c r="T6" s="593"/>
      <c r="U6" s="270"/>
    </row>
    <row r="7" spans="1:21" ht="20.100000000000001" customHeight="1">
      <c r="A7" s="271">
        <v>0</v>
      </c>
      <c r="B7" s="272">
        <v>2023</v>
      </c>
      <c r="C7" s="425">
        <f>DATA!D8*DATA!D26*8</f>
        <v>33600</v>
      </c>
      <c r="D7" s="274">
        <f>C7*4/24</f>
        <v>5600</v>
      </c>
      <c r="E7" s="274">
        <f>C7-D7</f>
        <v>28000</v>
      </c>
      <c r="F7" s="275">
        <f ca="1">DATA!D10/1000000</f>
        <v>142.88333940912133</v>
      </c>
      <c r="G7" s="276">
        <f ca="1">DATA!$D$11/1000000</f>
        <v>2.8576667881824269</v>
      </c>
      <c r="H7" s="276">
        <f>C7*DATA!$D$5/1000000</f>
        <v>36.426601541789225</v>
      </c>
      <c r="I7" s="276">
        <f>(C7*DATA!$D$5*DATA!$D$7)/1000000</f>
        <v>0.81959853469025756</v>
      </c>
      <c r="J7" s="274">
        <f ca="1">SUM(F7:I7)</f>
        <v>182.98720627378327</v>
      </c>
      <c r="K7" s="277">
        <f>DATA!D9/1000000</f>
        <v>101.745</v>
      </c>
      <c r="L7" s="274">
        <f>((D7*DATA!$D$23)/1000000)+((E7*DATA!$D$24)/1000000)</f>
        <v>30.24</v>
      </c>
      <c r="M7" s="274">
        <f>K7+L7</f>
        <v>131.98500000000001</v>
      </c>
      <c r="N7" s="274">
        <f ca="1">M7-J7</f>
        <v>-51.002206273783258</v>
      </c>
      <c r="O7" s="272">
        <v>1</v>
      </c>
      <c r="P7" s="274">
        <f ca="1">O7*N7</f>
        <v>-51.002206273783258</v>
      </c>
      <c r="Q7" s="274">
        <f ca="1">P7</f>
        <v>-51.002206273783258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.100000000000001" customHeight="1">
      <c r="A8" s="271">
        <f>A7+1</f>
        <v>1</v>
      </c>
      <c r="B8" s="272">
        <f>B7+1</f>
        <v>2024</v>
      </c>
      <c r="C8" s="273">
        <f>DATA!D8*DATA!D26*12</f>
        <v>50400</v>
      </c>
      <c r="D8" s="274">
        <f>C8*4/24</f>
        <v>8400</v>
      </c>
      <c r="E8" s="274">
        <f t="shared" ref="E8:E32" si="0">C8-D8</f>
        <v>42000</v>
      </c>
      <c r="F8" s="272"/>
      <c r="G8" s="276">
        <f ca="1">DATA!$D$11/1000000</f>
        <v>2.8576667881824269</v>
      </c>
      <c r="H8" s="276">
        <f>C8*DATA!$D$5/1000000</f>
        <v>54.639902312683837</v>
      </c>
      <c r="I8" s="276">
        <f>(C8*DATA!$D$5*DATA!$D$7)/1000000</f>
        <v>1.2293978020353862</v>
      </c>
      <c r="J8" s="274">
        <f t="shared" ref="J8:J32" ca="1" si="1">SUM(F8:I8)</f>
        <v>58.726966902901651</v>
      </c>
      <c r="K8" s="279"/>
      <c r="L8" s="274">
        <f>((D8*DATA!$D$23)/1000000)+((E8*DATA!$D$24)/1000000)</f>
        <v>45.36</v>
      </c>
      <c r="M8" s="274">
        <f t="shared" ref="M8:M32" si="2">K8+L8</f>
        <v>45.36</v>
      </c>
      <c r="N8" s="274">
        <f ca="1">M8-J8</f>
        <v>-13.366966902901652</v>
      </c>
      <c r="O8" s="273">
        <f>1/(1+'[87]Asumsi I'!$C$3)^(KKF!A8)</f>
        <v>0.89285714285714279</v>
      </c>
      <c r="P8" s="274">
        <f ca="1">O8*N8</f>
        <v>-11.93479187759076</v>
      </c>
      <c r="Q8" s="274">
        <f ca="1">Q7+P8</f>
        <v>-62.93699815137402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.100000000000001" customHeight="1">
      <c r="A9" s="271">
        <f t="shared" ref="A9:B24" si="4">A8+1</f>
        <v>2</v>
      </c>
      <c r="B9" s="272">
        <f t="shared" si="4"/>
        <v>2025</v>
      </c>
      <c r="C9" s="280">
        <f>+C8</f>
        <v>50400</v>
      </c>
      <c r="D9" s="274">
        <f t="shared" ref="D9:D32" si="5">C9*4/24</f>
        <v>8400</v>
      </c>
      <c r="E9" s="274">
        <f t="shared" si="0"/>
        <v>42000</v>
      </c>
      <c r="F9" s="272"/>
      <c r="G9" s="276">
        <f ca="1">DATA!$D$11/1000000</f>
        <v>2.8576667881824269</v>
      </c>
      <c r="H9" s="276">
        <f>C9*DATA!$D$5/1000000</f>
        <v>54.639902312683837</v>
      </c>
      <c r="I9" s="276">
        <f>(C9*DATA!$D$5*DATA!$D$7)/1000000</f>
        <v>1.2293978020353862</v>
      </c>
      <c r="J9" s="274">
        <f t="shared" ca="1" si="1"/>
        <v>58.726966902901651</v>
      </c>
      <c r="K9" s="274"/>
      <c r="L9" s="274">
        <f>((D9*DATA!$D$23)/1000000)+((E9*DATA!$D$24)/1000000)</f>
        <v>45.36</v>
      </c>
      <c r="M9" s="274">
        <f t="shared" si="2"/>
        <v>45.36</v>
      </c>
      <c r="N9" s="274">
        <f t="shared" ref="N9:N32" ca="1" si="6">M9-J9</f>
        <v>-13.366966902901652</v>
      </c>
      <c r="O9" s="280">
        <f>1/(1+'[87]Asumsi I'!$C$3)^(KKF!A9)</f>
        <v>0.79719387755102034</v>
      </c>
      <c r="P9" s="274">
        <f t="shared" ref="P9:P32" ca="1" si="7">O9*N9</f>
        <v>-10.656064176420321</v>
      </c>
      <c r="Q9" s="274">
        <f ca="1">Q8+P9</f>
        <v>-73.593062327794343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.100000000000001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50400</v>
      </c>
      <c r="D10" s="274">
        <f t="shared" si="5"/>
        <v>8400</v>
      </c>
      <c r="E10" s="274">
        <f t="shared" si="0"/>
        <v>42000</v>
      </c>
      <c r="F10" s="272"/>
      <c r="G10" s="276">
        <f ca="1">DATA!$D$11/1000000</f>
        <v>2.8576667881824269</v>
      </c>
      <c r="H10" s="276">
        <f>C10*DATA!$D$5/1000000</f>
        <v>54.639902312683837</v>
      </c>
      <c r="I10" s="276">
        <f>(C10*DATA!$D$5*DATA!$D$7)/1000000</f>
        <v>1.2293978020353862</v>
      </c>
      <c r="J10" s="274">
        <f t="shared" ca="1" si="1"/>
        <v>58.726966902901651</v>
      </c>
      <c r="K10" s="272"/>
      <c r="L10" s="274">
        <f>((D10*DATA!$D$23)/1000000)+((E10*DATA!$D$24)/1000000)</f>
        <v>45.36</v>
      </c>
      <c r="M10" s="274">
        <f t="shared" si="2"/>
        <v>45.36</v>
      </c>
      <c r="N10" s="274">
        <f t="shared" ca="1" si="6"/>
        <v>-13.366966902901652</v>
      </c>
      <c r="O10" s="273">
        <f>1/(1+'[87]Asumsi I'!$C$3)^(KKF!A10)</f>
        <v>0.71178024781341087</v>
      </c>
      <c r="P10" s="274">
        <f t="shared" ca="1" si="7"/>
        <v>-9.5143430146609997</v>
      </c>
      <c r="Q10" s="274">
        <f t="shared" ref="Q10:Q30" ca="1" si="9">Q9+P10</f>
        <v>-83.107405342455337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.100000000000001" customHeight="1">
      <c r="A11" s="271">
        <f t="shared" si="4"/>
        <v>4</v>
      </c>
      <c r="B11" s="272">
        <f t="shared" si="4"/>
        <v>2027</v>
      </c>
      <c r="C11" s="273">
        <f>+C10</f>
        <v>50400</v>
      </c>
      <c r="D11" s="274">
        <f t="shared" si="5"/>
        <v>8400</v>
      </c>
      <c r="E11" s="274">
        <f t="shared" si="0"/>
        <v>42000</v>
      </c>
      <c r="F11" s="272"/>
      <c r="G11" s="276">
        <f ca="1">DATA!$D$11/1000000</f>
        <v>2.8576667881824269</v>
      </c>
      <c r="H11" s="276">
        <f>C11*DATA!$D$5/1000000</f>
        <v>54.639902312683837</v>
      </c>
      <c r="I11" s="276">
        <f>(C11*DATA!$D$5*DATA!$D$7)/1000000</f>
        <v>1.2293978020353862</v>
      </c>
      <c r="J11" s="274">
        <f t="shared" ca="1" si="1"/>
        <v>58.726966902901651</v>
      </c>
      <c r="K11" s="272"/>
      <c r="L11" s="274">
        <f>((D11*DATA!$D$23)/1000000)+((E11*DATA!$D$24)/1000000)</f>
        <v>45.36</v>
      </c>
      <c r="M11" s="274">
        <f t="shared" si="2"/>
        <v>45.36</v>
      </c>
      <c r="N11" s="274">
        <f t="shared" ca="1" si="6"/>
        <v>-13.366966902901652</v>
      </c>
      <c r="O11" s="273">
        <f>1/(1+'[87]Asumsi I'!$C$3)^(KKF!A11)</f>
        <v>0.63551807840483121</v>
      </c>
      <c r="P11" s="274">
        <f t="shared" ca="1" si="7"/>
        <v>-8.4949491202330361</v>
      </c>
      <c r="Q11" s="274">
        <f t="shared" ca="1" si="9"/>
        <v>-91.602354462688368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.100000000000001" customHeight="1">
      <c r="A12" s="271">
        <f t="shared" si="4"/>
        <v>5</v>
      </c>
      <c r="B12" s="272">
        <f t="shared" si="4"/>
        <v>2028</v>
      </c>
      <c r="C12" s="273">
        <f t="shared" si="8"/>
        <v>50400</v>
      </c>
      <c r="D12" s="274">
        <f t="shared" si="5"/>
        <v>8400</v>
      </c>
      <c r="E12" s="274">
        <f t="shared" si="0"/>
        <v>42000</v>
      </c>
      <c r="F12" s="272"/>
      <c r="G12" s="276">
        <f ca="1">DATA!$D$11/1000000</f>
        <v>2.8576667881824269</v>
      </c>
      <c r="H12" s="276">
        <f>C12*DATA!$D$5/1000000</f>
        <v>54.639902312683837</v>
      </c>
      <c r="I12" s="276">
        <f>(C12*DATA!$D$5*DATA!$D$7)/1000000</f>
        <v>1.2293978020353862</v>
      </c>
      <c r="J12" s="274">
        <f t="shared" ca="1" si="1"/>
        <v>58.726966902901651</v>
      </c>
      <c r="K12" s="272"/>
      <c r="L12" s="274">
        <f>((D12*DATA!$D$23)/1000000)+((E12*DATA!$D$24)/1000000)</f>
        <v>45.36</v>
      </c>
      <c r="M12" s="274">
        <f t="shared" si="2"/>
        <v>45.36</v>
      </c>
      <c r="N12" s="274">
        <f t="shared" ca="1" si="6"/>
        <v>-13.366966902901652</v>
      </c>
      <c r="O12" s="273">
        <f>1/(1+'[87]Asumsi I'!$C$3)^(KKF!A12)</f>
        <v>0.56742685571859919</v>
      </c>
      <c r="P12" s="274">
        <f t="shared" ca="1" si="7"/>
        <v>-7.5847760002080662</v>
      </c>
      <c r="Q12" s="274">
        <f t="shared" ca="1" si="9"/>
        <v>-99.187130462896434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.100000000000001" customHeight="1">
      <c r="A13" s="271">
        <f t="shared" si="4"/>
        <v>6</v>
      </c>
      <c r="B13" s="272">
        <f t="shared" si="4"/>
        <v>2029</v>
      </c>
      <c r="C13" s="273">
        <f t="shared" si="8"/>
        <v>50400</v>
      </c>
      <c r="D13" s="274">
        <f t="shared" si="5"/>
        <v>8400</v>
      </c>
      <c r="E13" s="274">
        <f t="shared" si="0"/>
        <v>42000</v>
      </c>
      <c r="F13" s="272"/>
      <c r="G13" s="276">
        <f ca="1">DATA!$D$11/1000000</f>
        <v>2.8576667881824269</v>
      </c>
      <c r="H13" s="276">
        <f>C13*DATA!$D$5/1000000</f>
        <v>54.639902312683837</v>
      </c>
      <c r="I13" s="276">
        <f>(C13*DATA!$D$5*DATA!$D$7)/1000000</f>
        <v>1.2293978020353862</v>
      </c>
      <c r="J13" s="274">
        <f t="shared" ca="1" si="1"/>
        <v>58.726966902901651</v>
      </c>
      <c r="K13" s="272"/>
      <c r="L13" s="274">
        <f>((D13*DATA!$D$23)/1000000)+((E13*DATA!$D$24)/1000000)</f>
        <v>45.36</v>
      </c>
      <c r="M13" s="274">
        <f t="shared" si="2"/>
        <v>45.36</v>
      </c>
      <c r="N13" s="274">
        <f t="shared" ca="1" si="6"/>
        <v>-13.366966902901652</v>
      </c>
      <c r="O13" s="273">
        <f>1/(1+'[87]Asumsi I'!$C$3)^(KKF!A13)</f>
        <v>0.50663112117732068</v>
      </c>
      <c r="P13" s="274">
        <f t="shared" ca="1" si="7"/>
        <v>-6.7721214287572016</v>
      </c>
      <c r="Q13" s="274">
        <f t="shared" ca="1" si="9"/>
        <v>-105.95925189165364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.100000000000001" customHeight="1">
      <c r="A14" s="271">
        <f t="shared" si="4"/>
        <v>7</v>
      </c>
      <c r="B14" s="272">
        <f t="shared" si="4"/>
        <v>2030</v>
      </c>
      <c r="C14" s="273">
        <f t="shared" si="8"/>
        <v>50400</v>
      </c>
      <c r="D14" s="274">
        <f t="shared" si="5"/>
        <v>8400</v>
      </c>
      <c r="E14" s="274">
        <f t="shared" si="0"/>
        <v>42000</v>
      </c>
      <c r="F14" s="272"/>
      <c r="G14" s="276">
        <f ca="1">DATA!$D$11/1000000</f>
        <v>2.8576667881824269</v>
      </c>
      <c r="H14" s="276">
        <f>C14*DATA!$D$5/1000000</f>
        <v>54.639902312683837</v>
      </c>
      <c r="I14" s="276">
        <f>(C14*DATA!$D$5*DATA!$D$7)/1000000</f>
        <v>1.2293978020353862</v>
      </c>
      <c r="J14" s="274">
        <f t="shared" ca="1" si="1"/>
        <v>58.726966902901651</v>
      </c>
      <c r="K14" s="272"/>
      <c r="L14" s="274">
        <f>((D14*DATA!$D$23)/1000000)+((E14*DATA!$D$24)/1000000)</f>
        <v>45.36</v>
      </c>
      <c r="M14" s="274">
        <f t="shared" si="2"/>
        <v>45.36</v>
      </c>
      <c r="N14" s="274">
        <f t="shared" ca="1" si="6"/>
        <v>-13.366966902901652</v>
      </c>
      <c r="O14" s="273">
        <f>1/(1+'[87]Asumsi I'!$C$3)^(KKF!A14)</f>
        <v>0.45234921533689343</v>
      </c>
      <c r="P14" s="274">
        <f t="shared" ca="1" si="7"/>
        <v>-6.0465369899617869</v>
      </c>
      <c r="Q14" s="274">
        <f t="shared" ca="1" si="9"/>
        <v>-112.00578888161542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.100000000000001" customHeight="1">
      <c r="A15" s="271">
        <f t="shared" si="4"/>
        <v>8</v>
      </c>
      <c r="B15" s="272">
        <f t="shared" si="4"/>
        <v>2031</v>
      </c>
      <c r="C15" s="273">
        <f t="shared" si="8"/>
        <v>50400</v>
      </c>
      <c r="D15" s="274">
        <f t="shared" si="5"/>
        <v>8400</v>
      </c>
      <c r="E15" s="274">
        <f t="shared" si="0"/>
        <v>42000</v>
      </c>
      <c r="F15" s="272"/>
      <c r="G15" s="276">
        <f ca="1">DATA!$D$11/1000000</f>
        <v>2.8576667881824269</v>
      </c>
      <c r="H15" s="276">
        <f>C15*DATA!$D$5/1000000</f>
        <v>54.639902312683837</v>
      </c>
      <c r="I15" s="276">
        <f>(C15*DATA!$D$5*DATA!$D$7)/1000000</f>
        <v>1.2293978020353862</v>
      </c>
      <c r="J15" s="274">
        <f t="shared" ca="1" si="1"/>
        <v>58.726966902901651</v>
      </c>
      <c r="K15" s="272"/>
      <c r="L15" s="274">
        <f>((D15*DATA!$D$23)/1000000)+((E15*DATA!$D$24)/1000000)</f>
        <v>45.36</v>
      </c>
      <c r="M15" s="274">
        <f t="shared" si="2"/>
        <v>45.36</v>
      </c>
      <c r="N15" s="274">
        <f t="shared" ca="1" si="6"/>
        <v>-13.366966902901652</v>
      </c>
      <c r="O15" s="273">
        <f>1/(1+'[87]Asumsi I'!$C$3)^(KKF!A15)</f>
        <v>0.4038832279793691</v>
      </c>
      <c r="P15" s="274">
        <f t="shared" ca="1" si="7"/>
        <v>-5.3986937410373095</v>
      </c>
      <c r="Q15" s="274">
        <f t="shared" ca="1" si="9"/>
        <v>-117.40448262265272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.100000000000001" customHeight="1">
      <c r="A16" s="271">
        <f t="shared" si="4"/>
        <v>9</v>
      </c>
      <c r="B16" s="272">
        <f t="shared" si="4"/>
        <v>2032</v>
      </c>
      <c r="C16" s="273">
        <f t="shared" si="8"/>
        <v>50400</v>
      </c>
      <c r="D16" s="274">
        <f t="shared" si="5"/>
        <v>8400</v>
      </c>
      <c r="E16" s="274">
        <f t="shared" si="0"/>
        <v>42000</v>
      </c>
      <c r="F16" s="272"/>
      <c r="G16" s="276">
        <f ca="1">DATA!$D$11/1000000</f>
        <v>2.8576667881824269</v>
      </c>
      <c r="H16" s="276">
        <f>C16*DATA!$D$5/1000000</f>
        <v>54.639902312683837</v>
      </c>
      <c r="I16" s="276">
        <f>(C16*DATA!$D$5*DATA!$D$7)/1000000</f>
        <v>1.2293978020353862</v>
      </c>
      <c r="J16" s="274">
        <f t="shared" ca="1" si="1"/>
        <v>58.726966902901651</v>
      </c>
      <c r="K16" s="272"/>
      <c r="L16" s="274">
        <f>((D16*DATA!$D$23)/1000000)+((E16*DATA!$D$24)/1000000)</f>
        <v>45.36</v>
      </c>
      <c r="M16" s="274">
        <f t="shared" si="2"/>
        <v>45.36</v>
      </c>
      <c r="N16" s="274">
        <f t="shared" ca="1" si="6"/>
        <v>-13.366966902901652</v>
      </c>
      <c r="O16" s="273">
        <f>1/(1+'[87]Asumsi I'!$C$3)^(KKF!A16)</f>
        <v>0.36061002498157957</v>
      </c>
      <c r="P16" s="274">
        <f t="shared" ca="1" si="7"/>
        <v>-4.8202622687833117</v>
      </c>
      <c r="Q16" s="274">
        <f t="shared" ca="1" si="9"/>
        <v>-122.22474489143603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.100000000000001" customHeight="1">
      <c r="A17" s="271">
        <f t="shared" si="4"/>
        <v>10</v>
      </c>
      <c r="B17" s="272">
        <f t="shared" si="4"/>
        <v>2033</v>
      </c>
      <c r="C17" s="273">
        <f t="shared" si="8"/>
        <v>50400</v>
      </c>
      <c r="D17" s="274">
        <f t="shared" si="5"/>
        <v>8400</v>
      </c>
      <c r="E17" s="274">
        <f t="shared" si="0"/>
        <v>42000</v>
      </c>
      <c r="F17" s="272"/>
      <c r="G17" s="276">
        <f ca="1">DATA!$D$11/1000000</f>
        <v>2.8576667881824269</v>
      </c>
      <c r="H17" s="276">
        <f>C17*DATA!$D$5/1000000</f>
        <v>54.639902312683837</v>
      </c>
      <c r="I17" s="276">
        <f>(C17*DATA!$D$5*DATA!$D$7)/1000000</f>
        <v>1.2293978020353862</v>
      </c>
      <c r="J17" s="274">
        <f t="shared" ca="1" si="1"/>
        <v>58.726966902901651</v>
      </c>
      <c r="K17" s="272"/>
      <c r="L17" s="274">
        <f>((D17*DATA!$D$23)/1000000)+((E17*DATA!$D$24)/1000000)</f>
        <v>45.36</v>
      </c>
      <c r="M17" s="274">
        <f t="shared" si="2"/>
        <v>45.36</v>
      </c>
      <c r="N17" s="274">
        <f t="shared" ca="1" si="6"/>
        <v>-13.366966902901652</v>
      </c>
      <c r="O17" s="273">
        <f>1/(1+'[87]Asumsi I'!$C$3)^(KKF!A17)</f>
        <v>0.32197323659069599</v>
      </c>
      <c r="P17" s="274">
        <f t="shared" ca="1" si="7"/>
        <v>-4.3038055971279565</v>
      </c>
      <c r="Q17" s="274">
        <f t="shared" ca="1" si="9"/>
        <v>-126.52855048856399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.100000000000001" customHeight="1">
      <c r="A18" s="271">
        <f t="shared" si="4"/>
        <v>11</v>
      </c>
      <c r="B18" s="272">
        <f t="shared" si="4"/>
        <v>2034</v>
      </c>
      <c r="C18" s="273">
        <f t="shared" si="8"/>
        <v>50400</v>
      </c>
      <c r="D18" s="274">
        <f t="shared" si="5"/>
        <v>8400</v>
      </c>
      <c r="E18" s="274">
        <f t="shared" si="0"/>
        <v>42000</v>
      </c>
      <c r="F18" s="272"/>
      <c r="G18" s="276">
        <f ca="1">DATA!$D$11/1000000</f>
        <v>2.8576667881824269</v>
      </c>
      <c r="H18" s="276">
        <f>C18*DATA!$D$5/1000000</f>
        <v>54.639902312683837</v>
      </c>
      <c r="I18" s="276">
        <f>(C18*DATA!$D$5*DATA!$D$7)/1000000</f>
        <v>1.2293978020353862</v>
      </c>
      <c r="J18" s="274">
        <f t="shared" ca="1" si="1"/>
        <v>58.726966902901651</v>
      </c>
      <c r="K18" s="272"/>
      <c r="L18" s="274">
        <f>((D18*DATA!$D$23)/1000000)+((E18*DATA!$D$24)/1000000)</f>
        <v>45.36</v>
      </c>
      <c r="M18" s="274">
        <f t="shared" si="2"/>
        <v>45.36</v>
      </c>
      <c r="N18" s="274">
        <f t="shared" ca="1" si="6"/>
        <v>-13.366966902901652</v>
      </c>
      <c r="O18" s="273">
        <f>1/(1+'[87]Asumsi I'!$C$3)^(KKF!A18)</f>
        <v>0.28747610409883567</v>
      </c>
      <c r="P18" s="274">
        <f t="shared" ca="1" si="7"/>
        <v>-3.8426835688642464</v>
      </c>
      <c r="Q18" s="274">
        <f t="shared" ca="1" si="9"/>
        <v>-130.37123405742824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.100000000000001" customHeight="1">
      <c r="A19" s="271">
        <f t="shared" si="4"/>
        <v>12</v>
      </c>
      <c r="B19" s="272">
        <f t="shared" si="4"/>
        <v>2035</v>
      </c>
      <c r="C19" s="273">
        <f t="shared" si="8"/>
        <v>50400</v>
      </c>
      <c r="D19" s="274">
        <f t="shared" si="5"/>
        <v>8400</v>
      </c>
      <c r="E19" s="274">
        <f t="shared" si="0"/>
        <v>42000</v>
      </c>
      <c r="F19" s="272"/>
      <c r="G19" s="276">
        <f ca="1">DATA!$D$11/1000000</f>
        <v>2.8576667881824269</v>
      </c>
      <c r="H19" s="276">
        <f>C19*DATA!$D$5/1000000</f>
        <v>54.639902312683837</v>
      </c>
      <c r="I19" s="276">
        <f>(C19*DATA!$D$5*DATA!$D$7)/1000000</f>
        <v>1.2293978020353862</v>
      </c>
      <c r="J19" s="274">
        <f t="shared" ca="1" si="1"/>
        <v>58.726966902901651</v>
      </c>
      <c r="K19" s="272"/>
      <c r="L19" s="274">
        <f>((D19*DATA!$D$23)/1000000)+((E19*DATA!$D$24)/1000000)</f>
        <v>45.36</v>
      </c>
      <c r="M19" s="274">
        <f t="shared" si="2"/>
        <v>45.36</v>
      </c>
      <c r="N19" s="274">
        <f t="shared" ca="1" si="6"/>
        <v>-13.366966902901652</v>
      </c>
      <c r="O19" s="273">
        <f>1/(1+'[87]Asumsi I'!$C$3)^(KKF!A19)</f>
        <v>0.25667509294538904</v>
      </c>
      <c r="P19" s="274">
        <f t="shared" ca="1" si="7"/>
        <v>-3.4309674722002206</v>
      </c>
      <c r="Q19" s="274">
        <f t="shared" ca="1" si="9"/>
        <v>-133.80220152962846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.100000000000001" customHeight="1">
      <c r="A20" s="271">
        <f t="shared" si="4"/>
        <v>13</v>
      </c>
      <c r="B20" s="272">
        <f t="shared" si="4"/>
        <v>2036</v>
      </c>
      <c r="C20" s="273">
        <f t="shared" si="8"/>
        <v>50400</v>
      </c>
      <c r="D20" s="274">
        <f t="shared" si="5"/>
        <v>8400</v>
      </c>
      <c r="E20" s="274">
        <f t="shared" si="0"/>
        <v>42000</v>
      </c>
      <c r="F20" s="272"/>
      <c r="G20" s="276">
        <f ca="1">DATA!$D$11/1000000</f>
        <v>2.8576667881824269</v>
      </c>
      <c r="H20" s="276">
        <f>C20*DATA!$D$5/1000000</f>
        <v>54.639902312683837</v>
      </c>
      <c r="I20" s="276">
        <f>(C20*DATA!$D$5*DATA!$D$7)/1000000</f>
        <v>1.2293978020353862</v>
      </c>
      <c r="J20" s="274">
        <f t="shared" ca="1" si="1"/>
        <v>58.726966902901651</v>
      </c>
      <c r="K20" s="272"/>
      <c r="L20" s="274">
        <f>((D20*DATA!$D$23)/1000000)+((E20*DATA!$D$24)/1000000)</f>
        <v>45.36</v>
      </c>
      <c r="M20" s="274">
        <f t="shared" si="2"/>
        <v>45.36</v>
      </c>
      <c r="N20" s="274">
        <f t="shared" ca="1" si="6"/>
        <v>-13.366966902901652</v>
      </c>
      <c r="O20" s="273">
        <f>1/(1+'[87]Asumsi I'!$C$3)^(KKF!A20)</f>
        <v>0.22917419012981158</v>
      </c>
      <c r="P20" s="274">
        <f t="shared" ca="1" si="7"/>
        <v>-3.0633638144644819</v>
      </c>
      <c r="Q20" s="274">
        <f t="shared" ca="1" si="9"/>
        <v>-136.86556534409294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.100000000000001" customHeight="1">
      <c r="A21" s="271">
        <f t="shared" si="4"/>
        <v>14</v>
      </c>
      <c r="B21" s="272">
        <f t="shared" si="4"/>
        <v>2037</v>
      </c>
      <c r="C21" s="273">
        <f t="shared" si="8"/>
        <v>50400</v>
      </c>
      <c r="D21" s="274">
        <f t="shared" si="5"/>
        <v>8400</v>
      </c>
      <c r="E21" s="274">
        <f t="shared" si="0"/>
        <v>42000</v>
      </c>
      <c r="F21" s="272"/>
      <c r="G21" s="276">
        <f ca="1">DATA!$D$11/1000000</f>
        <v>2.8576667881824269</v>
      </c>
      <c r="H21" s="276">
        <f>C21*DATA!$D$5/1000000</f>
        <v>54.639902312683837</v>
      </c>
      <c r="I21" s="276">
        <f>(C21*DATA!$D$5*DATA!$D$7)/1000000</f>
        <v>1.2293978020353862</v>
      </c>
      <c r="J21" s="274">
        <f t="shared" ca="1" si="1"/>
        <v>58.726966902901651</v>
      </c>
      <c r="K21" s="272"/>
      <c r="L21" s="274">
        <f>((D21*DATA!$D$23)/1000000)+((E21*DATA!$D$24)/1000000)</f>
        <v>45.36</v>
      </c>
      <c r="M21" s="274">
        <f t="shared" si="2"/>
        <v>45.36</v>
      </c>
      <c r="N21" s="274">
        <f t="shared" ca="1" si="6"/>
        <v>-13.366966902901652</v>
      </c>
      <c r="O21" s="273">
        <f>1/(1+'[87]Asumsi I'!$C$3)^(KKF!A21)</f>
        <v>0.20461981261590317</v>
      </c>
      <c r="P21" s="274">
        <f t="shared" ca="1" si="7"/>
        <v>-2.7351462629147156</v>
      </c>
      <c r="Q21" s="274">
        <f t="shared" ca="1" si="9"/>
        <v>-139.60071160700767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.100000000000001" customHeight="1">
      <c r="A22" s="271">
        <f t="shared" si="4"/>
        <v>15</v>
      </c>
      <c r="B22" s="272">
        <f t="shared" si="4"/>
        <v>2038</v>
      </c>
      <c r="C22" s="273">
        <f t="shared" si="8"/>
        <v>50400</v>
      </c>
      <c r="D22" s="274">
        <f t="shared" si="5"/>
        <v>8400</v>
      </c>
      <c r="E22" s="274">
        <f t="shared" si="0"/>
        <v>42000</v>
      </c>
      <c r="F22" s="272"/>
      <c r="G22" s="276">
        <f ca="1">DATA!$D$11/1000000</f>
        <v>2.8576667881824269</v>
      </c>
      <c r="H22" s="276">
        <f>C22*DATA!$D$5/1000000</f>
        <v>54.639902312683837</v>
      </c>
      <c r="I22" s="276">
        <f>(C22*DATA!$D$5*DATA!$D$7)/1000000</f>
        <v>1.2293978020353862</v>
      </c>
      <c r="J22" s="274">
        <f t="shared" ca="1" si="1"/>
        <v>58.726966902901651</v>
      </c>
      <c r="K22" s="272"/>
      <c r="L22" s="274">
        <f>((D22*DATA!$D$23)/1000000)+((E22*DATA!$D$24)/1000000)</f>
        <v>45.36</v>
      </c>
      <c r="M22" s="274">
        <f t="shared" si="2"/>
        <v>45.36</v>
      </c>
      <c r="N22" s="274">
        <f t="shared" ca="1" si="6"/>
        <v>-13.366966902901652</v>
      </c>
      <c r="O22" s="273">
        <f>1/(1+'[87]Asumsi I'!$C$3)^(KKF!A22)</f>
        <v>0.18269626126419927</v>
      </c>
      <c r="P22" s="274">
        <f t="shared" ca="1" si="7"/>
        <v>-2.4420948776024249</v>
      </c>
      <c r="Q22" s="274">
        <f t="shared" ca="1" si="9"/>
        <v>-142.04280648461008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.100000000000001" customHeight="1">
      <c r="A23" s="271">
        <f t="shared" si="4"/>
        <v>16</v>
      </c>
      <c r="B23" s="272">
        <f t="shared" si="4"/>
        <v>2039</v>
      </c>
      <c r="C23" s="273">
        <f t="shared" si="8"/>
        <v>50400</v>
      </c>
      <c r="D23" s="274">
        <f t="shared" si="5"/>
        <v>8400</v>
      </c>
      <c r="E23" s="274">
        <f t="shared" si="0"/>
        <v>42000</v>
      </c>
      <c r="F23" s="272"/>
      <c r="G23" s="276">
        <f ca="1">DATA!$D$11/1000000</f>
        <v>2.8576667881824269</v>
      </c>
      <c r="H23" s="276">
        <f>C23*DATA!$D$5/1000000</f>
        <v>54.639902312683837</v>
      </c>
      <c r="I23" s="276">
        <f>(C23*DATA!$D$5*DATA!$D$7)/1000000</f>
        <v>1.2293978020353862</v>
      </c>
      <c r="J23" s="274">
        <f t="shared" ca="1" si="1"/>
        <v>58.726966902901651</v>
      </c>
      <c r="K23" s="272"/>
      <c r="L23" s="274">
        <f>((D23*DATA!$D$23)/1000000)+((E23*DATA!$D$24)/1000000)</f>
        <v>45.36</v>
      </c>
      <c r="M23" s="274">
        <f t="shared" si="2"/>
        <v>45.36</v>
      </c>
      <c r="N23" s="274">
        <f t="shared" ca="1" si="6"/>
        <v>-13.366966902901652</v>
      </c>
      <c r="O23" s="273">
        <f>1/(1+'[87]Asumsi I'!$C$3)^(KKF!A23)</f>
        <v>0.16312166184303503</v>
      </c>
      <c r="P23" s="274">
        <f t="shared" ca="1" si="7"/>
        <v>-2.1804418550021647</v>
      </c>
      <c r="Q23" s="274">
        <f t="shared" ca="1" si="9"/>
        <v>-144.22324833961224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.100000000000001" customHeight="1">
      <c r="A24" s="271">
        <f t="shared" si="4"/>
        <v>17</v>
      </c>
      <c r="B24" s="272">
        <f t="shared" si="4"/>
        <v>2040</v>
      </c>
      <c r="C24" s="273">
        <f t="shared" si="8"/>
        <v>50400</v>
      </c>
      <c r="D24" s="274">
        <f t="shared" si="5"/>
        <v>8400</v>
      </c>
      <c r="E24" s="274">
        <f t="shared" si="0"/>
        <v>42000</v>
      </c>
      <c r="F24" s="272"/>
      <c r="G24" s="276">
        <f ca="1">DATA!$D$11/1000000</f>
        <v>2.8576667881824269</v>
      </c>
      <c r="H24" s="276">
        <f>C24*DATA!$D$5/1000000</f>
        <v>54.639902312683837</v>
      </c>
      <c r="I24" s="276">
        <f>(C24*DATA!$D$5*DATA!$D$7)/1000000</f>
        <v>1.2293978020353862</v>
      </c>
      <c r="J24" s="274">
        <f t="shared" ca="1" si="1"/>
        <v>58.726966902901651</v>
      </c>
      <c r="K24" s="272"/>
      <c r="L24" s="274">
        <f>((D24*DATA!$D$23)/1000000)+((E24*DATA!$D$24)/1000000)</f>
        <v>45.36</v>
      </c>
      <c r="M24" s="274">
        <f t="shared" si="2"/>
        <v>45.36</v>
      </c>
      <c r="N24" s="274">
        <f t="shared" ca="1" si="6"/>
        <v>-13.366966902901652</v>
      </c>
      <c r="O24" s="273">
        <f>1/(1+'[87]Asumsi I'!$C$3)^(KKF!A24)</f>
        <v>0.14564434093128129</v>
      </c>
      <c r="P24" s="274">
        <f t="shared" ca="1" si="7"/>
        <v>-1.9468230848233612</v>
      </c>
      <c r="Q24" s="274">
        <f t="shared" ca="1" si="9"/>
        <v>-146.1700714244356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.100000000000001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50400</v>
      </c>
      <c r="D25" s="274">
        <f t="shared" si="5"/>
        <v>8400</v>
      </c>
      <c r="E25" s="274">
        <f t="shared" si="0"/>
        <v>42000</v>
      </c>
      <c r="F25" s="272"/>
      <c r="G25" s="276">
        <f ca="1">DATA!$D$11/1000000</f>
        <v>2.8576667881824269</v>
      </c>
      <c r="H25" s="276">
        <f>C25*DATA!$D$5/1000000</f>
        <v>54.639902312683837</v>
      </c>
      <c r="I25" s="276">
        <f>(C25*DATA!$D$5*DATA!$D$7)/1000000</f>
        <v>1.2293978020353862</v>
      </c>
      <c r="J25" s="274">
        <f t="shared" ca="1" si="1"/>
        <v>58.726966902901651</v>
      </c>
      <c r="K25" s="272"/>
      <c r="L25" s="274">
        <f>((D25*DATA!$D$23)/1000000)+((E25*DATA!$D$24)/1000000)</f>
        <v>45.36</v>
      </c>
      <c r="M25" s="274">
        <f t="shared" si="2"/>
        <v>45.36</v>
      </c>
      <c r="N25" s="274">
        <f t="shared" ca="1" si="6"/>
        <v>-13.366966902901652</v>
      </c>
      <c r="O25" s="273">
        <f>1/(1+'[87]Asumsi I'!$C$3)^(KKF!A25)</f>
        <v>0.13003959011721541</v>
      </c>
      <c r="P25" s="274">
        <f t="shared" ca="1" si="7"/>
        <v>-1.7382348971637152</v>
      </c>
      <c r="Q25" s="274">
        <f t="shared" ca="1" si="9"/>
        <v>-147.90830632159933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.100000000000001" customHeight="1">
      <c r="A26" s="271">
        <f t="shared" si="11"/>
        <v>19</v>
      </c>
      <c r="B26" s="272">
        <f t="shared" si="11"/>
        <v>2042</v>
      </c>
      <c r="C26" s="273">
        <f t="shared" si="8"/>
        <v>50400</v>
      </c>
      <c r="D26" s="274">
        <f t="shared" si="5"/>
        <v>8400</v>
      </c>
      <c r="E26" s="274">
        <f t="shared" si="0"/>
        <v>42000</v>
      </c>
      <c r="F26" s="272"/>
      <c r="G26" s="276">
        <f ca="1">DATA!$D$11/1000000</f>
        <v>2.8576667881824269</v>
      </c>
      <c r="H26" s="276">
        <f>C26*DATA!$D$5/1000000</f>
        <v>54.639902312683837</v>
      </c>
      <c r="I26" s="276">
        <f>(C26*DATA!$D$5*DATA!$D$7)/1000000</f>
        <v>1.2293978020353862</v>
      </c>
      <c r="J26" s="274">
        <f t="shared" ca="1" si="1"/>
        <v>58.726966902901651</v>
      </c>
      <c r="K26" s="272"/>
      <c r="L26" s="274">
        <f>((D26*DATA!$D$23)/1000000)+((E26*DATA!$D$24)/1000000)</f>
        <v>45.36</v>
      </c>
      <c r="M26" s="274">
        <f t="shared" si="2"/>
        <v>45.36</v>
      </c>
      <c r="N26" s="274">
        <f t="shared" ca="1" si="6"/>
        <v>-13.366966902901652</v>
      </c>
      <c r="O26" s="273">
        <f>1/(1+'[87]Asumsi I'!$C$3)^(KKF!A26)</f>
        <v>0.1161067768903709</v>
      </c>
      <c r="P26" s="274">
        <f t="shared" ca="1" si="7"/>
        <v>-1.5519954438961741</v>
      </c>
      <c r="Q26" s="274">
        <f t="shared" ca="1" si="9"/>
        <v>-149.4603017654955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.100000000000001" customHeight="1">
      <c r="A27" s="271">
        <f t="shared" si="11"/>
        <v>20</v>
      </c>
      <c r="B27" s="272">
        <f t="shared" si="11"/>
        <v>2043</v>
      </c>
      <c r="C27" s="273">
        <f t="shared" si="8"/>
        <v>50400</v>
      </c>
      <c r="D27" s="274">
        <f t="shared" si="5"/>
        <v>8400</v>
      </c>
      <c r="E27" s="274">
        <f t="shared" si="0"/>
        <v>42000</v>
      </c>
      <c r="F27" s="272"/>
      <c r="G27" s="276">
        <f ca="1">DATA!$D$11/1000000</f>
        <v>2.8576667881824269</v>
      </c>
      <c r="H27" s="276">
        <f>C27*DATA!$D$5/1000000</f>
        <v>54.639902312683837</v>
      </c>
      <c r="I27" s="276">
        <f>(C27*DATA!$D$5*DATA!$D$7)/1000000</f>
        <v>1.2293978020353862</v>
      </c>
      <c r="J27" s="274">
        <f t="shared" ca="1" si="1"/>
        <v>58.726966902901651</v>
      </c>
      <c r="K27" s="272"/>
      <c r="L27" s="274">
        <f>((D27*DATA!$D$23)/1000000)+((E27*DATA!$D$24)/1000000)</f>
        <v>45.36</v>
      </c>
      <c r="M27" s="274">
        <f t="shared" si="2"/>
        <v>45.36</v>
      </c>
      <c r="N27" s="274">
        <f t="shared" ca="1" si="6"/>
        <v>-13.366966902901652</v>
      </c>
      <c r="O27" s="273">
        <f>1/(1+'[87]Asumsi I'!$C$3)^(KKF!A27)</f>
        <v>0.1036667650806883</v>
      </c>
      <c r="P27" s="274">
        <f t="shared" ca="1" si="7"/>
        <v>-1.3857102177644411</v>
      </c>
      <c r="Q27" s="274">
        <f t="shared" ca="1" si="9"/>
        <v>-150.84601198325996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.100000000000001" customHeight="1">
      <c r="A28" s="271">
        <f t="shared" si="11"/>
        <v>21</v>
      </c>
      <c r="B28" s="272">
        <f t="shared" si="11"/>
        <v>2044</v>
      </c>
      <c r="C28" s="273">
        <f t="shared" si="8"/>
        <v>50400</v>
      </c>
      <c r="D28" s="274">
        <f t="shared" si="5"/>
        <v>8400</v>
      </c>
      <c r="E28" s="274">
        <f t="shared" si="0"/>
        <v>42000</v>
      </c>
      <c r="F28" s="272"/>
      <c r="G28" s="276">
        <f ca="1">DATA!$D$11/1000000</f>
        <v>2.8576667881824269</v>
      </c>
      <c r="H28" s="276">
        <f>C28*DATA!$D$5/1000000</f>
        <v>54.639902312683837</v>
      </c>
      <c r="I28" s="276">
        <f>(C28*DATA!$D$5*DATA!$D$7)/1000000</f>
        <v>1.2293978020353862</v>
      </c>
      <c r="J28" s="274">
        <f t="shared" ca="1" si="1"/>
        <v>58.726966902901651</v>
      </c>
      <c r="K28" s="272"/>
      <c r="L28" s="274">
        <f>((D28*DATA!$D$23)/1000000)+((E28*DATA!$D$24)/1000000)</f>
        <v>45.36</v>
      </c>
      <c r="M28" s="274">
        <f t="shared" si="2"/>
        <v>45.36</v>
      </c>
      <c r="N28" s="274">
        <f t="shared" ca="1" si="6"/>
        <v>-13.366966902901652</v>
      </c>
      <c r="O28" s="273">
        <f>1/(1+'[87]Asumsi I'!$C$3)^(KKF!A28)</f>
        <v>9.2559611679185971E-2</v>
      </c>
      <c r="P28" s="274">
        <f t="shared" ca="1" si="7"/>
        <v>-1.2372412658611081</v>
      </c>
      <c r="Q28" s="274">
        <f t="shared" ca="1" si="9"/>
        <v>-152.08325324912107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.100000000000001" customHeight="1">
      <c r="A29" s="271">
        <f t="shared" si="11"/>
        <v>22</v>
      </c>
      <c r="B29" s="272">
        <f t="shared" si="11"/>
        <v>2045</v>
      </c>
      <c r="C29" s="273">
        <f t="shared" si="8"/>
        <v>50400</v>
      </c>
      <c r="D29" s="274">
        <f t="shared" si="5"/>
        <v>8400</v>
      </c>
      <c r="E29" s="274">
        <f t="shared" si="0"/>
        <v>42000</v>
      </c>
      <c r="F29" s="272"/>
      <c r="G29" s="276">
        <f ca="1">DATA!$D$11/1000000</f>
        <v>2.8576667881824269</v>
      </c>
      <c r="H29" s="276">
        <f>C29*DATA!$D$5/1000000</f>
        <v>54.639902312683837</v>
      </c>
      <c r="I29" s="276">
        <f>(C29*DATA!$D$5*DATA!$D$7)/1000000</f>
        <v>1.2293978020353862</v>
      </c>
      <c r="J29" s="274">
        <f t="shared" ca="1" si="1"/>
        <v>58.726966902901651</v>
      </c>
      <c r="K29" s="272"/>
      <c r="L29" s="274">
        <f>((D29*DATA!$D$23)/1000000)+((E29*DATA!$D$24)/1000000)</f>
        <v>45.36</v>
      </c>
      <c r="M29" s="274">
        <f t="shared" si="2"/>
        <v>45.36</v>
      </c>
      <c r="N29" s="274">
        <f t="shared" ca="1" si="6"/>
        <v>-13.366966902901652</v>
      </c>
      <c r="O29" s="273">
        <f>1/(1+'[87]Asumsi I'!$C$3)^(KKF!A29)</f>
        <v>8.2642510427844609E-2</v>
      </c>
      <c r="P29" s="274">
        <f t="shared" ca="1" si="7"/>
        <v>-1.1046797016617036</v>
      </c>
      <c r="Q29" s="274">
        <f t="shared" ca="1" si="9"/>
        <v>-153.18793295078277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.100000000000001" customHeight="1">
      <c r="A30" s="271">
        <f t="shared" si="11"/>
        <v>23</v>
      </c>
      <c r="B30" s="272">
        <f t="shared" si="11"/>
        <v>2046</v>
      </c>
      <c r="C30" s="273">
        <f t="shared" si="8"/>
        <v>50400</v>
      </c>
      <c r="D30" s="274">
        <f t="shared" si="5"/>
        <v>8400</v>
      </c>
      <c r="E30" s="274">
        <f t="shared" si="0"/>
        <v>42000</v>
      </c>
      <c r="F30" s="272"/>
      <c r="G30" s="276">
        <f ca="1">DATA!$D$11/1000000</f>
        <v>2.8576667881824269</v>
      </c>
      <c r="H30" s="276">
        <f>C30*DATA!$D$5/1000000</f>
        <v>54.639902312683837</v>
      </c>
      <c r="I30" s="276">
        <f>(C30*DATA!$D$5*DATA!$D$7)/1000000</f>
        <v>1.2293978020353862</v>
      </c>
      <c r="J30" s="274">
        <f t="shared" ca="1" si="1"/>
        <v>58.726966902901651</v>
      </c>
      <c r="K30" s="272"/>
      <c r="L30" s="274">
        <f>((D30*DATA!$D$23)/1000000)+((E30*DATA!$D$24)/1000000)</f>
        <v>45.36</v>
      </c>
      <c r="M30" s="274">
        <f t="shared" si="2"/>
        <v>45.36</v>
      </c>
      <c r="N30" s="274">
        <f t="shared" ca="1" si="6"/>
        <v>-13.366966902901652</v>
      </c>
      <c r="O30" s="273">
        <f>1/(1+'[87]Asumsi I'!$C$3)^(KKF!A30)</f>
        <v>7.3787955739146982E-2</v>
      </c>
      <c r="P30" s="274">
        <f t="shared" ca="1" si="7"/>
        <v>-0.98632116219794974</v>
      </c>
      <c r="Q30" s="274">
        <f t="shared" ca="1" si="9"/>
        <v>-154.17425411298072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.100000000000001" customHeight="1">
      <c r="A31" s="271">
        <f t="shared" si="11"/>
        <v>24</v>
      </c>
      <c r="B31" s="272">
        <f t="shared" si="11"/>
        <v>2047</v>
      </c>
      <c r="C31" s="273">
        <f t="shared" si="8"/>
        <v>50400</v>
      </c>
      <c r="D31" s="274">
        <f t="shared" si="5"/>
        <v>8400</v>
      </c>
      <c r="E31" s="274">
        <f t="shared" si="0"/>
        <v>42000</v>
      </c>
      <c r="F31" s="272"/>
      <c r="G31" s="276">
        <f ca="1">DATA!$D$11/1000000</f>
        <v>2.8576667881824269</v>
      </c>
      <c r="H31" s="276">
        <f>C31*DATA!$D$5/1000000</f>
        <v>54.639902312683837</v>
      </c>
      <c r="I31" s="276">
        <f>(C31*DATA!$D$5*DATA!$D$7)/1000000</f>
        <v>1.2293978020353862</v>
      </c>
      <c r="J31" s="274">
        <f t="shared" ca="1" si="1"/>
        <v>58.726966902901651</v>
      </c>
      <c r="K31" s="272"/>
      <c r="L31" s="274">
        <f>((D31*DATA!$D$23)/1000000)+((E31*DATA!$D$24)/1000000)</f>
        <v>45.36</v>
      </c>
      <c r="M31" s="274">
        <f t="shared" si="2"/>
        <v>45.36</v>
      </c>
      <c r="N31" s="274">
        <f t="shared" ca="1" si="6"/>
        <v>-13.366966902901652</v>
      </c>
      <c r="O31" s="273">
        <f>1/(1+'[87]Asumsi I'!$C$3)^(KKF!A31)</f>
        <v>6.5882103338524081E-2</v>
      </c>
      <c r="P31" s="274">
        <f t="shared" ca="1" si="7"/>
        <v>-0.88064389481959782</v>
      </c>
      <c r="Q31" s="274">
        <f ca="1">Q30+P31</f>
        <v>-155.05489800780032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.100000000000001" customHeight="1">
      <c r="A32" s="271">
        <f t="shared" si="11"/>
        <v>25</v>
      </c>
      <c r="B32" s="272">
        <f>B30+1</f>
        <v>2047</v>
      </c>
      <c r="C32" s="273">
        <f t="shared" si="8"/>
        <v>50400</v>
      </c>
      <c r="D32" s="274">
        <f t="shared" si="5"/>
        <v>8400</v>
      </c>
      <c r="E32" s="274">
        <f t="shared" si="0"/>
        <v>42000</v>
      </c>
      <c r="F32" s="272"/>
      <c r="G32" s="276">
        <f ca="1">DATA!$D$11/1000000</f>
        <v>2.8576667881824269</v>
      </c>
      <c r="H32" s="276">
        <f>C32*DATA!$D$5/1000000</f>
        <v>54.639902312683837</v>
      </c>
      <c r="I32" s="276">
        <f>(C32*DATA!$D$5*DATA!$D$7)/1000000</f>
        <v>1.2293978020353862</v>
      </c>
      <c r="J32" s="274">
        <f t="shared" ca="1" si="1"/>
        <v>58.726966902901651</v>
      </c>
      <c r="K32" s="272"/>
      <c r="L32" s="274">
        <f>((D32*DATA!$D$23)/1000000)+((E32*DATA!$D$24)/1000000)</f>
        <v>45.36</v>
      </c>
      <c r="M32" s="274">
        <f t="shared" si="2"/>
        <v>45.36</v>
      </c>
      <c r="N32" s="274">
        <f t="shared" ca="1" si="6"/>
        <v>-13.366966902901652</v>
      </c>
      <c r="O32" s="273">
        <f>1/(1+'[87]Asumsi I'!$C$3)^(KKF!A32)</f>
        <v>5.8823306552253637E-2</v>
      </c>
      <c r="P32" s="274">
        <f t="shared" ca="1" si="7"/>
        <v>-0.78628919180321222</v>
      </c>
      <c r="Q32" s="274">
        <f ca="1">Q31+P32</f>
        <v>-155.84118719960352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.100000000000001" customHeight="1">
      <c r="B33" s="281"/>
      <c r="C33" s="281"/>
      <c r="D33" s="281"/>
      <c r="E33" s="281"/>
      <c r="F33" s="596" t="s">
        <v>1373</v>
      </c>
      <c r="G33" s="596"/>
      <c r="H33" s="596"/>
      <c r="I33" s="282"/>
      <c r="J33" s="283">
        <f ca="1">SUM(J7:J32)</f>
        <v>1651.1613788463251</v>
      </c>
      <c r="K33" s="596" t="s">
        <v>1374</v>
      </c>
      <c r="L33" s="596"/>
      <c r="M33" s="283">
        <f>SUM(M7:M32)</f>
        <v>1265.9849999999997</v>
      </c>
      <c r="N33" s="281"/>
      <c r="O33" s="281"/>
      <c r="P33" s="284"/>
      <c r="Q33" s="284"/>
      <c r="S33" s="262">
        <f ca="1">COUNTIF(S7:S32,"a")</f>
        <v>26</v>
      </c>
    </row>
    <row r="34" spans="2:22" ht="20.100000000000001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1375</v>
      </c>
      <c r="Q34" s="288">
        <f ca="1">+J7/N32</f>
        <v>-13.689508442940864</v>
      </c>
      <c r="V34" s="289"/>
    </row>
    <row r="35" spans="2:22" ht="20.100000000000001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1376</v>
      </c>
      <c r="Q35" s="290" t="e">
        <f ca="1">AVERAGE(T7:T32)</f>
        <v>#DIV/0!</v>
      </c>
    </row>
    <row r="36" spans="2:22" ht="20.100000000000001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1377</v>
      </c>
      <c r="Q36" s="291">
        <f ca="1">M33/J33</f>
        <v>0.76672396545790689</v>
      </c>
    </row>
    <row r="37" spans="2:22" ht="20.100000000000001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1027</v>
      </c>
      <c r="Q37" s="292">
        <f ca="1">+NPV(0.12,N7:N32)</f>
        <v>-139.14391714250311</v>
      </c>
    </row>
    <row r="38" spans="2:22" ht="20.100000000000001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1028</v>
      </c>
      <c r="Q38" s="293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5" priority="1" stopIfTrue="1" operator="greaterThanOrEqual">
      <formula>$F$7</formula>
    </cfRule>
    <cfRule type="cellIs" dxfId="24" priority="2" stopIfTrue="1" operator="lessThan">
      <formula>$F$7</formula>
    </cfRule>
  </conditionalFormatting>
  <conditionalFormatting sqref="Q7:Q32">
    <cfRule type="cellIs" dxfId="23" priority="3" operator="lessThan">
      <formula>0</formula>
    </cfRule>
    <cfRule type="cellIs" dxfId="22" priority="4" operator="lessThan">
      <formula>0</formula>
    </cfRule>
    <cfRule type="cellIs" dxfId="21" priority="5" operator="lessThan">
      <formula>-6395.81</formula>
    </cfRule>
    <cfRule type="cellIs" dxfId="2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27"/>
  <sheetViews>
    <sheetView showGridLines="0" tabSelected="1" zoomScale="85" zoomScaleNormal="85" zoomScaleSheetLayoutView="70" workbookViewId="0">
      <pane ySplit="13" topLeftCell="A96" activePane="bottomLeft" state="frozen"/>
      <selection activeCell="H1093" sqref="H1093"/>
      <selection pane="bottomLeft" activeCell="G80" sqref="G80"/>
    </sheetView>
  </sheetViews>
  <sheetFormatPr defaultRowHeight="15"/>
  <cols>
    <col min="1" max="1" width="8.28515625" style="294" customWidth="1"/>
    <col min="2" max="2" width="5.140625" style="295" customWidth="1"/>
    <col min="3" max="3" width="53.42578125" style="355" customWidth="1"/>
    <col min="4" max="4" width="13.7109375" style="355" customWidth="1"/>
    <col min="5" max="5" width="12.5703125" style="298" customWidth="1"/>
    <col min="6" max="6" width="7.7109375" style="298" customWidth="1"/>
    <col min="7" max="7" width="12.7109375" style="298" customWidth="1"/>
    <col min="8" max="8" width="18.140625" style="299" customWidth="1"/>
    <col min="9" max="9" width="16.7109375" style="299" customWidth="1"/>
    <col min="10" max="10" width="16.7109375" style="300" customWidth="1"/>
    <col min="11" max="11" width="24.5703125" style="300" customWidth="1"/>
    <col min="12" max="12" width="3.7109375" style="300" customWidth="1"/>
    <col min="13" max="13" width="14" style="300" customWidth="1"/>
    <col min="14" max="14" width="15" style="300" customWidth="1"/>
    <col min="15" max="15" width="9.140625" style="301" customWidth="1"/>
    <col min="16" max="16" width="12.7109375" style="302" customWidth="1"/>
    <col min="17" max="17" width="12.7109375" style="301" customWidth="1"/>
    <col min="18" max="18" width="2.42578125" style="301" customWidth="1"/>
    <col min="19" max="22" width="10.85546875" style="301" customWidth="1"/>
    <col min="23" max="24" width="9.140625" style="301" customWidth="1"/>
    <col min="25" max="16384" width="9.140625" style="301"/>
  </cols>
  <sheetData>
    <row r="1" spans="1:22">
      <c r="C1" s="296" t="s">
        <v>1008</v>
      </c>
      <c r="D1" s="297"/>
      <c r="U1" s="294"/>
    </row>
    <row r="2" spans="1:22">
      <c r="C2" s="296" t="s">
        <v>1347</v>
      </c>
      <c r="D2" s="297"/>
      <c r="T2" s="302"/>
      <c r="U2" s="303" t="s">
        <v>1035</v>
      </c>
      <c r="V2" s="302"/>
    </row>
    <row r="3" spans="1:22">
      <c r="C3" s="296" t="s">
        <v>1438</v>
      </c>
      <c r="D3" s="297"/>
      <c r="O3" s="599" t="s">
        <v>1035</v>
      </c>
      <c r="P3" s="599"/>
      <c r="Q3" s="304"/>
      <c r="T3" s="302"/>
      <c r="U3" s="303" t="s">
        <v>1040</v>
      </c>
      <c r="V3" s="302"/>
    </row>
    <row r="4" spans="1:22" ht="15.75" customHeight="1">
      <c r="B4" s="600" t="s">
        <v>1022</v>
      </c>
      <c r="C4" s="600"/>
      <c r="D4" s="600"/>
      <c r="E4" s="600"/>
      <c r="F4" s="600"/>
      <c r="G4" s="600"/>
      <c r="H4" s="600"/>
      <c r="I4" s="600"/>
      <c r="J4" s="600"/>
      <c r="K4" s="600"/>
      <c r="O4" s="599"/>
      <c r="P4" s="599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>
      <c r="C6" s="305"/>
      <c r="D6" s="297"/>
      <c r="E6" s="306" t="s">
        <v>1036</v>
      </c>
      <c r="F6" s="307" t="s">
        <v>9</v>
      </c>
      <c r="G6" s="616" t="str">
        <f>DATA!D14</f>
        <v>PT. DONLIM 105 KVA</v>
      </c>
      <c r="H6" s="616"/>
      <c r="I6" s="616"/>
      <c r="J6" s="616"/>
      <c r="K6" s="616"/>
      <c r="T6" s="302"/>
      <c r="U6" s="303"/>
      <c r="V6" s="302"/>
    </row>
    <row r="7" spans="1:22">
      <c r="C7" s="305"/>
      <c r="D7" s="297"/>
      <c r="E7" s="306" t="s">
        <v>1037</v>
      </c>
      <c r="F7" s="307" t="s">
        <v>9</v>
      </c>
      <c r="G7" s="306">
        <f>GAMBAR!E6</f>
        <v>0</v>
      </c>
      <c r="J7" s="308"/>
      <c r="T7" s="302"/>
      <c r="U7" s="303"/>
      <c r="V7" s="302"/>
    </row>
    <row r="8" spans="1:22">
      <c r="C8" s="305"/>
      <c r="D8" s="297"/>
      <c r="E8" s="306" t="s">
        <v>1038</v>
      </c>
      <c r="F8" s="307" t="s">
        <v>9</v>
      </c>
      <c r="G8" s="306" t="s">
        <v>1438</v>
      </c>
      <c r="J8" s="308"/>
      <c r="T8" s="302"/>
      <c r="U8" s="303"/>
      <c r="V8" s="302"/>
    </row>
    <row r="9" spans="1:22">
      <c r="C9" s="305"/>
      <c r="D9" s="297"/>
      <c r="E9" s="306" t="s">
        <v>1039</v>
      </c>
      <c r="F9" s="307" t="s">
        <v>9</v>
      </c>
      <c r="G9" s="306" t="s">
        <v>1546</v>
      </c>
      <c r="J9" s="308"/>
      <c r="T9" s="302"/>
      <c r="U9" s="303"/>
      <c r="V9" s="302"/>
    </row>
    <row r="10" spans="1:22" ht="15.75" thickBot="1">
      <c r="C10" s="297"/>
      <c r="D10" s="297"/>
      <c r="T10" s="302"/>
      <c r="U10" s="302"/>
      <c r="V10" s="302"/>
    </row>
    <row r="11" spans="1:22" ht="21" customHeight="1">
      <c r="B11" s="602" t="s">
        <v>0</v>
      </c>
      <c r="C11" s="604" t="s">
        <v>1</v>
      </c>
      <c r="D11" s="607" t="s">
        <v>42</v>
      </c>
      <c r="E11" s="607" t="s">
        <v>43</v>
      </c>
      <c r="F11" s="607" t="s">
        <v>2</v>
      </c>
      <c r="G11" s="609" t="s">
        <v>41</v>
      </c>
      <c r="H11" s="607" t="s">
        <v>3</v>
      </c>
      <c r="I11" s="607"/>
      <c r="J11" s="607"/>
      <c r="K11" s="626"/>
      <c r="O11" s="309"/>
      <c r="P11" s="310"/>
      <c r="Q11" s="309"/>
      <c r="S11" s="311"/>
      <c r="T11" s="312"/>
      <c r="U11" s="312"/>
      <c r="V11" s="312"/>
    </row>
    <row r="12" spans="1:22" ht="15" customHeight="1">
      <c r="B12" s="603"/>
      <c r="C12" s="605"/>
      <c r="D12" s="608"/>
      <c r="E12" s="608"/>
      <c r="F12" s="608"/>
      <c r="G12" s="610"/>
      <c r="H12" s="612" t="s">
        <v>46</v>
      </c>
      <c r="I12" s="612" t="s">
        <v>5</v>
      </c>
      <c r="J12" s="608" t="s">
        <v>47</v>
      </c>
      <c r="K12" s="627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603"/>
      <c r="C13" s="606"/>
      <c r="D13" s="608"/>
      <c r="E13" s="608"/>
      <c r="F13" s="608"/>
      <c r="G13" s="611"/>
      <c r="H13" s="613"/>
      <c r="I13" s="613"/>
      <c r="J13" s="608"/>
      <c r="K13" s="627"/>
      <c r="O13" s="313"/>
      <c r="P13" s="313"/>
      <c r="Q13" s="313"/>
      <c r="S13" s="311"/>
      <c r="T13" s="311"/>
      <c r="U13" s="311"/>
      <c r="V13" s="311"/>
    </row>
    <row r="14" spans="1:22" s="321" customFormat="1" ht="15.75" customHeight="1">
      <c r="A14" s="294"/>
      <c r="B14" s="437" t="s">
        <v>10</v>
      </c>
      <c r="C14" s="438" t="s">
        <v>1612</v>
      </c>
      <c r="D14" s="314" t="str">
        <f ca="1">IF(ISERROR(OFFSET('HARGA SATUAN'!$D$6,MATCH(RAB!C14,'HARGA SATUAN'!$C$7:$C$1492,0),0)),"",OFFSET('HARGA SATUAN'!$D$6,MATCH(RAB!C14,'HARGA SATUAN'!$C$7:$C$1492,0),0))</f>
        <v/>
      </c>
      <c r="E14" s="315" t="str">
        <f ca="1">IF(B14="+","Unit",IF(ISERROR(OFFSET('HARGA SATUAN'!$E$6,MATCH(RAB!C14,'HARGA SATUAN'!$C$7:$C$1492,0),0)),"",OFFSET('HARGA SATUAN'!$E$6,MATCH(RAB!C14,'HARGA SATUAN'!$C$7:$C$1492,0),0)))</f>
        <v/>
      </c>
      <c r="F14" s="322"/>
      <c r="G14" s="316">
        <f ca="1">IF(ISERROR(OFFSET('HARGA SATUAN'!$I$6,MATCH(RAB!C14,'HARGA SATUAN'!$C$7:$C$1492,0),0)),0,OFFSET('HARGA SATUAN'!$I$6,MATCH(RAB!C14,'HARGA SATUAN'!$C$7:$C$1492,0),0))</f>
        <v>0</v>
      </c>
      <c r="H14" s="317">
        <f t="shared" ref="H14" ca="1" si="0">IF(OR(D14="MDU",D14="MDU-KD"),(IF($O$3="RAB NON MDU","PLN KD",G14*F14)),0)</f>
        <v>0</v>
      </c>
      <c r="I14" s="317">
        <f t="shared" ref="I14:I15" ca="1" si="1">IF(D14="HDW",G14*F14,0)</f>
        <v>0</v>
      </c>
      <c r="J14" s="317">
        <f t="shared" ref="J14" ca="1" si="2">IF(D14="JASA",G14*F14,0)</f>
        <v>0</v>
      </c>
      <c r="K14" s="318">
        <f t="shared" ref="K14:K15" ca="1" si="3">SUM(H14:J14)</f>
        <v>0</v>
      </c>
      <c r="L14" s="300"/>
      <c r="M14" s="300"/>
      <c r="N14" s="300"/>
      <c r="O14" s="319"/>
      <c r="P14" s="319"/>
      <c r="Q14" s="302"/>
      <c r="R14" s="294"/>
      <c r="S14" s="320"/>
      <c r="T14" s="299"/>
      <c r="U14" s="299"/>
      <c r="V14" s="299"/>
    </row>
    <row r="15" spans="1:22" s="321" customFormat="1" ht="15.75" customHeight="1">
      <c r="A15" s="294"/>
      <c r="B15" s="439">
        <v>1</v>
      </c>
      <c r="C15" s="109" t="s">
        <v>101</v>
      </c>
      <c r="D15" s="314" t="s">
        <v>1621</v>
      </c>
      <c r="E15" s="315" t="str">
        <f ca="1">IF(B15="+","Unit",IF(ISERROR(OFFSET('HARGA SATUAN'!$E$6,MATCH(RAB!C15,'HARGA SATUAN'!$C$7:$C$1492,0),0)),"",OFFSET('HARGA SATUAN'!$E$6,MATCH(RAB!C15,'HARGA SATUAN'!$C$7:$C$1492,0),0)))</f>
        <v>Btg</v>
      </c>
      <c r="F15" s="322">
        <v>4</v>
      </c>
      <c r="G15" s="316">
        <f ca="1">IF(ISERROR(OFFSET('HARGA SATUAN'!$I$6,MATCH(RAB!C15,'HARGA SATUAN'!$C$7:$C$1492,0),0)),0,OFFSET('HARGA SATUAN'!$I$6,MATCH(RAB!C15,'HARGA SATUAN'!$C$7:$C$1492,0),0))</f>
        <v>3382600</v>
      </c>
      <c r="H15" s="317">
        <f ca="1">G15</f>
        <v>3382600</v>
      </c>
      <c r="I15" s="317">
        <f t="shared" si="1"/>
        <v>0</v>
      </c>
      <c r="J15" s="317">
        <f t="shared" ref="J15:J17" si="4">IF(D15="JASA",G15*F15,0)</f>
        <v>0</v>
      </c>
      <c r="K15" s="318">
        <f t="shared" ca="1" si="3"/>
        <v>3382600</v>
      </c>
      <c r="L15" s="300"/>
      <c r="M15" s="300"/>
      <c r="N15" s="300"/>
      <c r="O15" s="319"/>
      <c r="P15" s="319"/>
      <c r="Q15" s="302"/>
      <c r="R15" s="294"/>
      <c r="S15" s="320"/>
      <c r="T15" s="299"/>
      <c r="U15" s="299"/>
      <c r="V15" s="299"/>
    </row>
    <row r="16" spans="1:22" s="321" customFormat="1" ht="15.75" customHeight="1">
      <c r="A16" s="294"/>
      <c r="B16" s="439">
        <v>2</v>
      </c>
      <c r="C16" s="109" t="s">
        <v>352</v>
      </c>
      <c r="D16" s="314" t="str">
        <f ca="1">IF(ISERROR(OFFSET('HARGA SATUAN'!$D$6,MATCH(RAB!C16,'HARGA SATUAN'!$C$7:$C$1492,0),0)),"",OFFSET('HARGA SATUAN'!$D$6,MATCH(RAB!C16,'HARGA SATUAN'!$C$7:$C$1492,0),0))</f>
        <v>JASA</v>
      </c>
      <c r="E16" s="315" t="str">
        <f ca="1">IF(B16="+","Unit",IF(ISERROR(OFFSET('HARGA SATUAN'!$E$6,MATCH(RAB!C16,'HARGA SATUAN'!$C$7:$C$1492,0),0)),"",OFFSET('HARGA SATUAN'!$E$6,MATCH(RAB!C16,'HARGA SATUAN'!$C$7:$C$1492,0),0)))</f>
        <v>Btg</v>
      </c>
      <c r="F16" s="322">
        <v>4</v>
      </c>
      <c r="G16" s="316">
        <f ca="1">IF(ISERROR(OFFSET('HARGA SATUAN'!$I$6,MATCH(RAB!C16,'HARGA SATUAN'!$C$7:$C$1492,0),0)),0,OFFSET('HARGA SATUAN'!$I$6,MATCH(RAB!C16,'HARGA SATUAN'!$C$7:$C$1492,0),0))</f>
        <v>542850</v>
      </c>
      <c r="H16" s="317">
        <f t="shared" ref="H16" ca="1" si="5">IF(OR(D16="MDU",D16="MDU-KD"),(IF($O$3="RAB NON MDU","PLN KD",G16*F16)),0)</f>
        <v>0</v>
      </c>
      <c r="I16" s="317">
        <f t="shared" ref="I16" ca="1" si="6">IF(D16="HDW",G16*F16,0)</f>
        <v>0</v>
      </c>
      <c r="J16" s="317">
        <f t="shared" ref="J16" ca="1" si="7">IF(D16="JASA",G16*F16,0)</f>
        <v>2171400</v>
      </c>
      <c r="K16" s="318">
        <f t="shared" ref="K16" ca="1" si="8">SUM(H16:J16)</f>
        <v>2171400</v>
      </c>
      <c r="L16" s="300"/>
      <c r="M16" s="300"/>
      <c r="N16" s="300"/>
      <c r="O16" s="319"/>
      <c r="P16" s="319"/>
      <c r="Q16" s="302"/>
      <c r="R16" s="294"/>
      <c r="S16" s="320"/>
      <c r="T16" s="299"/>
      <c r="U16" s="299"/>
      <c r="V16" s="299"/>
    </row>
    <row r="17" spans="1:22" s="321" customFormat="1" ht="15.75" customHeight="1">
      <c r="A17" s="294"/>
      <c r="B17" s="433">
        <v>3</v>
      </c>
      <c r="C17" s="109" t="s">
        <v>432</v>
      </c>
      <c r="D17" s="314" t="str">
        <f ca="1">IF(ISERROR(OFFSET('HARGA SATUAN'!$D$6,MATCH(RAB!C17,'HARGA SATUAN'!$C$7:$C$1492,0),0)),"",OFFSET('HARGA SATUAN'!$D$6,MATCH(RAB!C17,'HARGA SATUAN'!$C$7:$C$1492,0),0))</f>
        <v>JASA</v>
      </c>
      <c r="E17" s="315" t="str">
        <f ca="1">IF(B17="+","Unit",IF(ISERROR(OFFSET('HARGA SATUAN'!$E$6,MATCH(RAB!C17,'HARGA SATUAN'!$C$7:$C$1492,0),0)),"",OFFSET('HARGA SATUAN'!$E$6,MATCH(RAB!C17,'HARGA SATUAN'!$C$7:$C$1492,0),0)))</f>
        <v>Btg</v>
      </c>
      <c r="F17" s="322">
        <v>4</v>
      </c>
      <c r="G17" s="316">
        <f ca="1">IF(ISERROR(OFFSET('HARGA SATUAN'!$I$6,MATCH(RAB!C17,'HARGA SATUAN'!$C$7:$C$1492,0),0)),0,OFFSET('HARGA SATUAN'!$I$6,MATCH(RAB!C17,'HARGA SATUAN'!$C$7:$C$1492,0),0))</f>
        <v>277947.76156258525</v>
      </c>
      <c r="H17" s="317">
        <f t="shared" ref="H17" ca="1" si="9">IF(OR(D17="MDU",D17="MDU-KD"),(IF($O$3="RAB NON MDU","PLN KD",G17*F17)),0)</f>
        <v>0</v>
      </c>
      <c r="I17" s="317">
        <f t="shared" ref="I17" ca="1" si="10">IF(D17="HDW",G17*F17,0)</f>
        <v>0</v>
      </c>
      <c r="J17" s="317">
        <f t="shared" ca="1" si="4"/>
        <v>1111791.046250341</v>
      </c>
      <c r="K17" s="318">
        <f t="shared" ref="K17" ca="1" si="11">SUM(H17:J17)</f>
        <v>1111791.046250341</v>
      </c>
      <c r="L17" s="300"/>
      <c r="M17" s="300"/>
      <c r="N17" s="300"/>
      <c r="O17" s="319"/>
      <c r="P17" s="319"/>
      <c r="Q17" s="302"/>
      <c r="R17" s="294"/>
      <c r="S17" s="320"/>
      <c r="T17" s="299"/>
      <c r="U17" s="299"/>
      <c r="V17" s="299"/>
    </row>
    <row r="18" spans="1:22" s="321" customFormat="1" ht="15.75" customHeight="1">
      <c r="A18" s="294"/>
      <c r="B18" s="433"/>
      <c r="C18" s="109"/>
      <c r="D18" s="314" t="str">
        <f ca="1">IF(ISERROR(OFFSET('HARGA SATUAN'!$D$6,MATCH(RAB!C18,'HARGA SATUAN'!$C$7:$C$1492,0),0)),"",OFFSET('HARGA SATUAN'!$D$6,MATCH(RAB!C18,'HARGA SATUAN'!$C$7:$C$1492,0),0))</f>
        <v/>
      </c>
      <c r="E18" s="315" t="str">
        <f ca="1">IF(B18="+","Unit",IF(ISERROR(OFFSET('HARGA SATUAN'!$E$6,MATCH(RAB!C18,'HARGA SATUAN'!$C$7:$C$1492,0),0)),"",OFFSET('HARGA SATUAN'!$E$6,MATCH(RAB!C18,'HARGA SATUAN'!$C$7:$C$1492,0),0)))</f>
        <v/>
      </c>
      <c r="F18" s="322"/>
      <c r="G18" s="316">
        <f ca="1">IF(ISERROR(OFFSET('HARGA SATUAN'!$I$6,MATCH(RAB!C18,'HARGA SATUAN'!$C$7:$C$1492,0),0)),0,OFFSET('HARGA SATUAN'!$I$6,MATCH(RAB!C18,'HARGA SATUAN'!$C$7:$C$1492,0),0))</f>
        <v>0</v>
      </c>
      <c r="H18" s="317">
        <f t="shared" ref="H18:H59" ca="1" si="12">IF(OR(D18="MDU",D18="MDU-KD"),(IF($O$3="RAB NON MDU","PLN KD",G18*F18)),0)</f>
        <v>0</v>
      </c>
      <c r="I18" s="317">
        <f t="shared" ref="I18:I59" ca="1" si="13">IF(D18="HDW",G18*F18,0)</f>
        <v>0</v>
      </c>
      <c r="J18" s="317">
        <f t="shared" ref="J18:J59" ca="1" si="14">IF(D18="JASA",G18*F18,0)</f>
        <v>0</v>
      </c>
      <c r="K18" s="318">
        <f t="shared" ref="K18:K59" ca="1" si="15">SUM(H18:J18)</f>
        <v>0</v>
      </c>
      <c r="L18" s="300"/>
      <c r="M18" s="300"/>
      <c r="N18" s="300"/>
      <c r="O18" s="319"/>
      <c r="P18" s="319"/>
      <c r="Q18" s="302"/>
      <c r="R18" s="294"/>
      <c r="S18" s="320"/>
      <c r="T18" s="299"/>
      <c r="U18" s="299"/>
      <c r="V18" s="299"/>
    </row>
    <row r="19" spans="1:22" s="324" customFormat="1">
      <c r="A19" s="294" t="e">
        <f>IF(AND(C19=0,#REF!=0,#REF!=0),"BLANKS",1)</f>
        <v>#REF!</v>
      </c>
      <c r="B19" s="437" t="s">
        <v>1611</v>
      </c>
      <c r="C19" s="438" t="s">
        <v>1608</v>
      </c>
      <c r="D19" s="314" t="str">
        <f ca="1">IF(ISERROR(OFFSET('HARGA SATUAN'!$D$6,MATCH(RAB!C19,'HARGA SATUAN'!$C$7:$C$1492,0),0)),"",OFFSET('HARGA SATUAN'!$D$6,MATCH(RAB!C19,'HARGA SATUAN'!$C$7:$C$1492,0),0))</f>
        <v/>
      </c>
      <c r="E19" s="315" t="str">
        <f ca="1">IF(B19="+","Unit",IF(ISERROR(OFFSET('HARGA SATUAN'!$E$6,MATCH(RAB!C19,'HARGA SATUAN'!$C$7:$C$1492,0),0)),"",OFFSET('HARGA SATUAN'!$E$6,MATCH(RAB!C19,'HARGA SATUAN'!$C$7:$C$1492,0),0)))</f>
        <v/>
      </c>
      <c r="F19" s="322"/>
      <c r="G19" s="316">
        <f ca="1">IF(ISERROR(OFFSET('HARGA SATUAN'!$I$6,MATCH(RAB!C19,'HARGA SATUAN'!$C$7:$C$1492,0),0)),0,OFFSET('HARGA SATUAN'!$I$6,MATCH(RAB!C19,'HARGA SATUAN'!$C$7:$C$1492,0),0))</f>
        <v>0</v>
      </c>
      <c r="H19" s="317">
        <f t="shared" ca="1" si="12"/>
        <v>0</v>
      </c>
      <c r="I19" s="317">
        <f t="shared" ca="1" si="13"/>
        <v>0</v>
      </c>
      <c r="J19" s="317">
        <f t="shared" ca="1" si="14"/>
        <v>0</v>
      </c>
      <c r="K19" s="318">
        <f t="shared" ca="1" si="15"/>
        <v>0</v>
      </c>
      <c r="L19" s="323"/>
      <c r="M19" s="323"/>
      <c r="N19" s="323"/>
      <c r="O19" s="319"/>
      <c r="P19" s="319"/>
      <c r="Q19" s="302"/>
      <c r="R19" s="294"/>
      <c r="S19" s="320"/>
      <c r="T19" s="299"/>
      <c r="U19" s="299"/>
      <c r="V19" s="299"/>
    </row>
    <row r="20" spans="1:22" s="324" customFormat="1">
      <c r="A20" s="294"/>
      <c r="B20" s="444"/>
      <c r="C20" s="488"/>
      <c r="D20" s="314" t="str">
        <f ca="1">IF(ISERROR(OFFSET('HARGA SATUAN'!$D$6,MATCH(RAB!C20,'HARGA SATUAN'!$C$7:$C$1492,0),0)),"",OFFSET('HARGA SATUAN'!$D$6,MATCH(RAB!C20,'HARGA SATUAN'!$C$7:$C$1492,0),0))</f>
        <v/>
      </c>
      <c r="E20" s="315" t="str">
        <f ca="1">IF(B20="+","Unit",IF(ISERROR(OFFSET('HARGA SATUAN'!$E$6,MATCH(RAB!C20,'HARGA SATUAN'!$C$7:$C$1492,0),0)),"",OFFSET('HARGA SATUAN'!$E$6,MATCH(RAB!C20,'HARGA SATUAN'!$C$7:$C$1492,0),0)))</f>
        <v/>
      </c>
      <c r="F20" s="322"/>
      <c r="G20" s="316">
        <f ca="1">IF(ISERROR(OFFSET('HARGA SATUAN'!$I$6,MATCH(RAB!C20,'HARGA SATUAN'!$C$7:$C$1492,0),0)),0,OFFSET('HARGA SATUAN'!$I$6,MATCH(RAB!C20,'HARGA SATUAN'!$C$7:$C$1492,0),0))</f>
        <v>0</v>
      </c>
      <c r="H20" s="317">
        <f t="shared" ca="1" si="12"/>
        <v>0</v>
      </c>
      <c r="I20" s="317">
        <f t="shared" ca="1" si="13"/>
        <v>0</v>
      </c>
      <c r="J20" s="317">
        <f t="shared" ca="1" si="14"/>
        <v>0</v>
      </c>
      <c r="K20" s="318">
        <f t="shared" ca="1" si="15"/>
        <v>0</v>
      </c>
      <c r="L20" s="323"/>
      <c r="M20" s="323"/>
      <c r="N20" s="323"/>
      <c r="O20" s="319"/>
      <c r="P20" s="319"/>
      <c r="Q20" s="302"/>
      <c r="R20" s="294"/>
      <c r="S20" s="320"/>
      <c r="T20" s="299"/>
      <c r="U20" s="299"/>
      <c r="V20" s="299"/>
    </row>
    <row r="21" spans="1:22" s="324" customFormat="1">
      <c r="A21" s="294"/>
      <c r="B21" s="489" t="s">
        <v>1034</v>
      </c>
      <c r="C21" s="707" t="s">
        <v>1631</v>
      </c>
      <c r="D21" s="314" t="str">
        <f ca="1">IF(ISERROR(OFFSET('HARGA SATUAN'!$D$6,MATCH(RAB!C21,'HARGA SATUAN'!$C$7:$C$1492,0),0)),"",OFFSET('HARGA SATUAN'!$D$6,MATCH(RAB!C21,'HARGA SATUAN'!$C$7:$C$1492,0),0))</f>
        <v/>
      </c>
      <c r="E21" s="315" t="str">
        <f ca="1">IF(B21="+","Unit",IF(ISERROR(OFFSET('HARGA SATUAN'!$E$6,MATCH(RAB!C21,'HARGA SATUAN'!$C$7:$C$1492,0),0)),"",OFFSET('HARGA SATUAN'!$E$6,MATCH(RAB!C21,'HARGA SATUAN'!$C$7:$C$1492,0),0)))</f>
        <v>Unit</v>
      </c>
      <c r="F21" s="434">
        <v>1</v>
      </c>
      <c r="G21" s="316">
        <f ca="1">IF(ISERROR(OFFSET('HARGA SATUAN'!$I$6,MATCH(RAB!C21,'HARGA SATUAN'!$C$7:$C$1492,0),0)),0,OFFSET('HARGA SATUAN'!$I$6,MATCH(RAB!C21,'HARGA SATUAN'!$C$7:$C$1492,0),0))</f>
        <v>0</v>
      </c>
      <c r="H21" s="317">
        <f t="shared" ca="1" si="12"/>
        <v>0</v>
      </c>
      <c r="I21" s="317">
        <f t="shared" ca="1" si="13"/>
        <v>0</v>
      </c>
      <c r="J21" s="317">
        <f t="shared" ca="1" si="14"/>
        <v>0</v>
      </c>
      <c r="K21" s="318">
        <f t="shared" ca="1" si="15"/>
        <v>0</v>
      </c>
      <c r="L21" s="323"/>
      <c r="M21" s="323"/>
      <c r="N21" s="323"/>
      <c r="O21" s="319"/>
      <c r="P21" s="319"/>
      <c r="Q21" s="302"/>
      <c r="R21" s="294"/>
      <c r="S21" s="320"/>
      <c r="T21" s="299"/>
      <c r="U21" s="299"/>
      <c r="V21" s="299"/>
    </row>
    <row r="22" spans="1:22" s="324" customFormat="1">
      <c r="A22" s="294"/>
      <c r="B22" s="489">
        <v>1</v>
      </c>
      <c r="C22" s="707" t="s">
        <v>1146</v>
      </c>
      <c r="D22" s="314" t="str">
        <f ca="1">IF(ISERROR(OFFSET('HARGA SATUAN'!$D$6,MATCH(RAB!C22,'HARGA SATUAN'!$C$7:$C$1492,0),0)),"",OFFSET('HARGA SATUAN'!$D$6,MATCH(RAB!C22,'HARGA SATUAN'!$C$7:$C$1492,0),0))</f>
        <v>MDU-KD</v>
      </c>
      <c r="E22" s="315" t="str">
        <f ca="1">IF(B22="+","Unit",IF(ISERROR(OFFSET('HARGA SATUAN'!$E$6,MATCH(RAB!C22,'HARGA SATUAN'!$C$7:$C$1492,0),0)),"",OFFSET('HARGA SATUAN'!$E$6,MATCH(RAB!C22,'HARGA SATUAN'!$C$7:$C$1492,0),0)))</f>
        <v>Bh</v>
      </c>
      <c r="F22" s="434">
        <f>F21*1</f>
        <v>1</v>
      </c>
      <c r="G22" s="316">
        <f ca="1">IF(ISERROR(OFFSET('HARGA SATUAN'!$I$6,MATCH(RAB!C22,'HARGA SATUAN'!$C$7:$C$1492,0),0)),0,OFFSET('HARGA SATUAN'!$I$6,MATCH(RAB!C22,'HARGA SATUAN'!$C$7:$C$1492,0),0))</f>
        <v>56838600</v>
      </c>
      <c r="H22" s="317">
        <f t="shared" ca="1" si="12"/>
        <v>56838600</v>
      </c>
      <c r="I22" s="317">
        <f t="shared" ca="1" si="13"/>
        <v>0</v>
      </c>
      <c r="J22" s="317">
        <f t="shared" ca="1" si="14"/>
        <v>0</v>
      </c>
      <c r="K22" s="318">
        <f t="shared" ca="1" si="15"/>
        <v>56838600</v>
      </c>
      <c r="L22" s="323"/>
      <c r="M22" s="323"/>
      <c r="N22" s="323"/>
      <c r="O22" s="319"/>
      <c r="P22" s="319"/>
      <c r="Q22" s="302"/>
      <c r="R22" s="294"/>
      <c r="S22" s="320"/>
      <c r="T22" s="299"/>
      <c r="U22" s="299"/>
      <c r="V22" s="299"/>
    </row>
    <row r="23" spans="1:22" s="324" customFormat="1">
      <c r="A23" s="294"/>
      <c r="B23" s="491">
        <v>2</v>
      </c>
      <c r="C23" s="492" t="s">
        <v>1622</v>
      </c>
      <c r="D23" s="314" t="str">
        <f ca="1">IF(ISERROR(OFFSET('HARGA SATUAN'!$D$6,MATCH(RAB!C23,'HARGA SATUAN'!$C$7:$C$1492,0),0)),"",OFFSET('HARGA SATUAN'!$D$6,MATCH(RAB!C23,'HARGA SATUAN'!$C$7:$C$1492,0),0))</f>
        <v/>
      </c>
      <c r="E23" s="315" t="str">
        <f ca="1">IF(B23="+","Unit",IF(ISERROR(OFFSET('HARGA SATUAN'!$E$6,MATCH(RAB!C23,'HARGA SATUAN'!$C$7:$C$1492,0),0)),"",OFFSET('HARGA SATUAN'!$E$6,MATCH(RAB!C23,'HARGA SATUAN'!$C$7:$C$1492,0),0)))</f>
        <v/>
      </c>
      <c r="F23" s="493"/>
      <c r="G23" s="316">
        <f ca="1">IF(ISERROR(OFFSET('HARGA SATUAN'!$I$6,MATCH(RAB!C23,'HARGA SATUAN'!$C$7:$C$1492,0),0)),0,OFFSET('HARGA SATUAN'!$I$6,MATCH(RAB!C23,'HARGA SATUAN'!$C$7:$C$1492,0),0))</f>
        <v>0</v>
      </c>
      <c r="H23" s="317">
        <f t="shared" ca="1" si="12"/>
        <v>0</v>
      </c>
      <c r="I23" s="317">
        <f t="shared" ca="1" si="13"/>
        <v>0</v>
      </c>
      <c r="J23" s="317">
        <f t="shared" ca="1" si="14"/>
        <v>0</v>
      </c>
      <c r="K23" s="318">
        <f t="shared" ca="1" si="15"/>
        <v>0</v>
      </c>
      <c r="L23" s="323"/>
      <c r="M23" s="323"/>
      <c r="N23" s="323"/>
      <c r="O23" s="319"/>
      <c r="P23" s="319"/>
      <c r="Q23" s="302"/>
      <c r="R23" s="294"/>
      <c r="S23" s="320"/>
      <c r="T23" s="299"/>
      <c r="U23" s="299"/>
      <c r="V23" s="299"/>
    </row>
    <row r="24" spans="1:22" s="324" customFormat="1">
      <c r="A24" s="294"/>
      <c r="B24" s="489"/>
      <c r="C24" s="492" t="s">
        <v>65</v>
      </c>
      <c r="D24" s="314" t="str">
        <f ca="1">IF(ISERROR(OFFSET('HARGA SATUAN'!$D$6,MATCH(RAB!C24,'HARGA SATUAN'!$C$7:$C$1492,0),0)),"",OFFSET('HARGA SATUAN'!$D$6,MATCH(RAB!C24,'HARGA SATUAN'!$C$7:$C$1492,0),0))</f>
        <v>MDU-KD</v>
      </c>
      <c r="E24" s="315" t="str">
        <f ca="1">IF(B24="+","Unit",IF(ISERROR(OFFSET('HARGA SATUAN'!$E$6,MATCH(RAB!C24,'HARGA SATUAN'!$C$7:$C$1492,0),0)),"",OFFSET('HARGA SATUAN'!$E$6,MATCH(RAB!C24,'HARGA SATUAN'!$C$7:$C$1492,0),0)))</f>
        <v>Mtr</v>
      </c>
      <c r="F24" s="434">
        <f>F21*(3*3)</f>
        <v>9</v>
      </c>
      <c r="G24" s="316">
        <f ca="1">IF(ISERROR(OFFSET('HARGA SATUAN'!$I$6,MATCH(RAB!C24,'HARGA SATUAN'!$C$7:$C$1492,0),0)),0,OFFSET('HARGA SATUAN'!$I$6,MATCH(RAB!C24,'HARGA SATUAN'!$C$7:$C$1492,0),0))</f>
        <v>14200</v>
      </c>
      <c r="H24" s="317">
        <f t="shared" ca="1" si="12"/>
        <v>127800</v>
      </c>
      <c r="I24" s="317">
        <f t="shared" ca="1" si="13"/>
        <v>0</v>
      </c>
      <c r="J24" s="317">
        <f t="shared" ca="1" si="14"/>
        <v>0</v>
      </c>
      <c r="K24" s="318">
        <f t="shared" ca="1" si="15"/>
        <v>127800</v>
      </c>
      <c r="L24" s="323"/>
      <c r="M24" s="323"/>
      <c r="N24" s="323"/>
      <c r="O24" s="319"/>
      <c r="P24" s="319"/>
      <c r="Q24" s="302"/>
      <c r="R24" s="294"/>
      <c r="S24" s="320"/>
      <c r="T24" s="299"/>
      <c r="U24" s="299"/>
      <c r="V24" s="299"/>
    </row>
    <row r="25" spans="1:22" s="324" customFormat="1">
      <c r="A25" s="294"/>
      <c r="B25" s="489"/>
      <c r="C25" s="109" t="s">
        <v>1457</v>
      </c>
      <c r="D25" s="314" t="str">
        <f ca="1">IF(ISERROR(OFFSET('HARGA SATUAN'!$D$6,MATCH(RAB!C25,'HARGA SATUAN'!$C$7:$C$1492,0),0)),"",OFFSET('HARGA SATUAN'!$D$6,MATCH(RAB!C25,'HARGA SATUAN'!$C$7:$C$1492,0),0))</f>
        <v>MDU-KD</v>
      </c>
      <c r="E25" s="315" t="str">
        <f ca="1">IF(B25="+","Unit",IF(ISERROR(OFFSET('HARGA SATUAN'!$E$6,MATCH(RAB!C25,'HARGA SATUAN'!$C$7:$C$1492,0),0)),"",OFFSET('HARGA SATUAN'!$E$6,MATCH(RAB!C25,'HARGA SATUAN'!$C$7:$C$1492,0),0)))</f>
        <v>Mtr</v>
      </c>
      <c r="F25" s="434">
        <f>F21*3</f>
        <v>3</v>
      </c>
      <c r="G25" s="316">
        <f ca="1">IF(ISERROR(OFFSET('HARGA SATUAN'!$I$6,MATCH(RAB!C25,'HARGA SATUAN'!$C$7:$C$1492,0),0)),0,OFFSET('HARGA SATUAN'!$I$6,MATCH(RAB!C25,'HARGA SATUAN'!$C$7:$C$1492,0),0))</f>
        <v>54500</v>
      </c>
      <c r="H25" s="317">
        <f t="shared" ca="1" si="12"/>
        <v>163500</v>
      </c>
      <c r="I25" s="317">
        <f t="shared" ca="1" si="13"/>
        <v>0</v>
      </c>
      <c r="J25" s="317">
        <f t="shared" ca="1" si="14"/>
        <v>0</v>
      </c>
      <c r="K25" s="318">
        <f t="shared" ca="1" si="15"/>
        <v>163500</v>
      </c>
      <c r="L25" s="323"/>
      <c r="M25" s="323"/>
      <c r="N25" s="323"/>
      <c r="O25" s="319"/>
      <c r="P25" s="319"/>
      <c r="Q25" s="302"/>
      <c r="R25" s="294"/>
      <c r="S25" s="320"/>
      <c r="T25" s="299"/>
      <c r="U25" s="299"/>
      <c r="V25" s="299"/>
    </row>
    <row r="26" spans="1:22" s="324" customFormat="1">
      <c r="A26" s="294"/>
      <c r="B26" s="489">
        <v>3</v>
      </c>
      <c r="C26" s="109" t="s">
        <v>558</v>
      </c>
      <c r="D26" s="314" t="str">
        <f ca="1">IF(ISERROR(OFFSET('HARGA SATUAN'!$D$6,MATCH(RAB!C26,'HARGA SATUAN'!$C$7:$C$1492,0),0)),"",OFFSET('HARGA SATUAN'!$D$6,MATCH(RAB!C26,'HARGA SATUAN'!$C$7:$C$1492,0),0))</f>
        <v>MDU-KD</v>
      </c>
      <c r="E26" s="315" t="str">
        <f ca="1">IF(B26="+","Unit",IF(ISERROR(OFFSET('HARGA SATUAN'!$E$6,MATCH(RAB!C26,'HARGA SATUAN'!$C$7:$C$1492,0),0)),"",OFFSET('HARGA SATUAN'!$E$6,MATCH(RAB!C26,'HARGA SATUAN'!$C$7:$C$1492,0),0)))</f>
        <v>Bh</v>
      </c>
      <c r="F26" s="434">
        <f>F21*3</f>
        <v>3</v>
      </c>
      <c r="G26" s="316">
        <f ca="1">IF(ISERROR(OFFSET('HARGA SATUAN'!$I$6,MATCH(RAB!C26,'HARGA SATUAN'!$C$7:$C$1492,0),0)),0,OFFSET('HARGA SATUAN'!$I$6,MATCH(RAB!C26,'HARGA SATUAN'!$C$7:$C$1492,0),0))</f>
        <v>725900</v>
      </c>
      <c r="H26" s="317">
        <f t="shared" ca="1" si="12"/>
        <v>2177700</v>
      </c>
      <c r="I26" s="317">
        <f t="shared" ca="1" si="13"/>
        <v>0</v>
      </c>
      <c r="J26" s="317">
        <f t="shared" ca="1" si="14"/>
        <v>0</v>
      </c>
      <c r="K26" s="318">
        <f t="shared" ca="1" si="15"/>
        <v>2177700</v>
      </c>
      <c r="L26" s="323"/>
      <c r="M26" s="323"/>
      <c r="N26" s="323"/>
      <c r="O26" s="319"/>
      <c r="P26" s="319"/>
      <c r="Q26" s="302"/>
      <c r="R26" s="294"/>
      <c r="S26" s="320"/>
      <c r="T26" s="299"/>
      <c r="U26" s="299"/>
      <c r="V26" s="299"/>
    </row>
    <row r="27" spans="1:22" s="324" customFormat="1">
      <c r="A27" s="294"/>
      <c r="B27" s="489">
        <v>4</v>
      </c>
      <c r="C27" s="490" t="s">
        <v>534</v>
      </c>
      <c r="D27" s="314" t="str">
        <f ca="1">IF(ISERROR(OFFSET('HARGA SATUAN'!$D$6,MATCH(RAB!C27,'HARGA SATUAN'!$C$7:$C$1492,0),0)),"",OFFSET('HARGA SATUAN'!$D$6,MATCH(RAB!C27,'HARGA SATUAN'!$C$7:$C$1492,0),0))</f>
        <v>MDU-KD</v>
      </c>
      <c r="E27" s="315" t="str">
        <f ca="1">IF(B27="+","Unit",IF(ISERROR(OFFSET('HARGA SATUAN'!$E$6,MATCH(RAB!C27,'HARGA SATUAN'!$C$7:$C$1492,0),0)),"",OFFSET('HARGA SATUAN'!$E$6,MATCH(RAB!C27,'HARGA SATUAN'!$C$7:$C$1492,0),0)))</f>
        <v>Bh</v>
      </c>
      <c r="F27" s="434">
        <f>F21*3</f>
        <v>3</v>
      </c>
      <c r="G27" s="316">
        <f ca="1">IF(ISERROR(OFFSET('HARGA SATUAN'!$I$6,MATCH(RAB!C27,'HARGA SATUAN'!$C$7:$C$1492,0),0)),0,OFFSET('HARGA SATUAN'!$I$6,MATCH(RAB!C27,'HARGA SATUAN'!$C$7:$C$1492,0),0))</f>
        <v>848250</v>
      </c>
      <c r="H27" s="317">
        <f t="shared" ca="1" si="12"/>
        <v>2544750</v>
      </c>
      <c r="I27" s="317">
        <f t="shared" ca="1" si="13"/>
        <v>0</v>
      </c>
      <c r="J27" s="317">
        <f t="shared" ca="1" si="14"/>
        <v>0</v>
      </c>
      <c r="K27" s="318">
        <f t="shared" ca="1" si="15"/>
        <v>2544750</v>
      </c>
      <c r="L27" s="323"/>
      <c r="M27" s="323"/>
      <c r="N27" s="323"/>
      <c r="O27" s="319"/>
      <c r="P27" s="319"/>
      <c r="Q27" s="302"/>
      <c r="R27" s="294"/>
      <c r="S27" s="320"/>
      <c r="T27" s="299"/>
      <c r="U27" s="299"/>
      <c r="V27" s="299"/>
    </row>
    <row r="28" spans="1:22" s="324" customFormat="1">
      <c r="A28" s="294"/>
      <c r="B28" s="489">
        <v>5</v>
      </c>
      <c r="C28" s="490" t="s">
        <v>536</v>
      </c>
      <c r="D28" s="314" t="str">
        <f ca="1">IF(ISERROR(OFFSET('HARGA SATUAN'!$D$6,MATCH(RAB!C28,'HARGA SATUAN'!$C$7:$C$1492,0),0)),"",OFFSET('HARGA SATUAN'!$D$6,MATCH(RAB!C28,'HARGA SATUAN'!$C$7:$C$1492,0),0))</f>
        <v>HDW</v>
      </c>
      <c r="E28" s="315" t="str">
        <f ca="1">IF(B28="+","Unit",IF(ISERROR(OFFSET('HARGA SATUAN'!$E$6,MATCH(RAB!C28,'HARGA SATUAN'!$C$7:$C$1492,0),0)),"",OFFSET('HARGA SATUAN'!$E$6,MATCH(RAB!C28,'HARGA SATUAN'!$C$7:$C$1492,0),0)))</f>
        <v>Bh</v>
      </c>
      <c r="F28" s="434">
        <f>F21*3</f>
        <v>3</v>
      </c>
      <c r="G28" s="316">
        <f ca="1">IF(ISERROR(OFFSET('HARGA SATUAN'!$I$6,MATCH(RAB!C28,'HARGA SATUAN'!$C$7:$C$1492,0),0)),0,OFFSET('HARGA SATUAN'!$I$6,MATCH(RAB!C28,'HARGA SATUAN'!$C$7:$C$1492,0),0))</f>
        <v>17500</v>
      </c>
      <c r="H28" s="317">
        <f t="shared" ca="1" si="12"/>
        <v>0</v>
      </c>
      <c r="I28" s="317">
        <f t="shared" ca="1" si="13"/>
        <v>52500</v>
      </c>
      <c r="J28" s="317">
        <f t="shared" ca="1" si="14"/>
        <v>0</v>
      </c>
      <c r="K28" s="318">
        <f t="shared" ca="1" si="15"/>
        <v>52500</v>
      </c>
      <c r="L28" s="323"/>
      <c r="M28" s="323"/>
      <c r="N28" s="323"/>
      <c r="O28" s="319"/>
      <c r="P28" s="319"/>
      <c r="Q28" s="302"/>
      <c r="R28" s="294"/>
      <c r="S28" s="320"/>
      <c r="T28" s="299"/>
      <c r="U28" s="299"/>
      <c r="V28" s="299"/>
    </row>
    <row r="29" spans="1:22" s="324" customFormat="1">
      <c r="A29" s="294"/>
      <c r="B29" s="489">
        <v>6</v>
      </c>
      <c r="C29" s="109" t="s">
        <v>1564</v>
      </c>
      <c r="D29" s="314" t="str">
        <f ca="1">IF(ISERROR(OFFSET('HARGA SATUAN'!$D$6,MATCH(RAB!C29,'HARGA SATUAN'!$C$7:$C$1492,0),0)),"",OFFSET('HARGA SATUAN'!$D$6,MATCH(RAB!C29,'HARGA SATUAN'!$C$7:$C$1492,0),0))</f>
        <v>HDW</v>
      </c>
      <c r="E29" s="315" t="str">
        <f ca="1">IF(B29="+","Unit",IF(ISERROR(OFFSET('HARGA SATUAN'!$E$6,MATCH(RAB!C29,'HARGA SATUAN'!$C$7:$C$1492,0),0)),"",OFFSET('HARGA SATUAN'!$E$6,MATCH(RAB!C29,'HARGA SATUAN'!$C$7:$C$1492,0),0)))</f>
        <v>Bh</v>
      </c>
      <c r="F29" s="434">
        <f>F21*13</f>
        <v>13</v>
      </c>
      <c r="G29" s="316">
        <f ca="1">IF(ISERROR(OFFSET('HARGA SATUAN'!$I$6,MATCH(RAB!C29,'HARGA SATUAN'!$C$7:$C$1492,0),0)),0,OFFSET('HARGA SATUAN'!$I$6,MATCH(RAB!C29,'HARGA SATUAN'!$C$7:$C$1492,0),0))</f>
        <v>49000</v>
      </c>
      <c r="H29" s="317">
        <f t="shared" ca="1" si="12"/>
        <v>0</v>
      </c>
      <c r="I29" s="317">
        <f t="shared" ca="1" si="13"/>
        <v>637000</v>
      </c>
      <c r="J29" s="317">
        <f t="shared" ca="1" si="14"/>
        <v>0</v>
      </c>
      <c r="K29" s="318">
        <f t="shared" ca="1" si="15"/>
        <v>637000</v>
      </c>
      <c r="L29" s="323"/>
      <c r="M29" s="323"/>
      <c r="N29" s="323"/>
      <c r="O29" s="319"/>
      <c r="P29" s="319"/>
      <c r="Q29" s="302"/>
      <c r="R29" s="294"/>
      <c r="S29" s="320"/>
      <c r="T29" s="299"/>
      <c r="U29" s="299"/>
      <c r="V29" s="299"/>
    </row>
    <row r="30" spans="1:22" s="324" customFormat="1">
      <c r="A30" s="294"/>
      <c r="B30" s="489">
        <v>7</v>
      </c>
      <c r="C30" s="490" t="s">
        <v>163</v>
      </c>
      <c r="D30" s="314" t="str">
        <f ca="1">IF(ISERROR(OFFSET('HARGA SATUAN'!$D$6,MATCH(RAB!C30,'HARGA SATUAN'!$C$7:$C$1492,0),0)),"",OFFSET('HARGA SATUAN'!$D$6,MATCH(RAB!C30,'HARGA SATUAN'!$C$7:$C$1492,0),0))</f>
        <v>HDW</v>
      </c>
      <c r="E30" s="315" t="str">
        <f ca="1">IF(B30="+","Unit",IF(ISERROR(OFFSET('HARGA SATUAN'!$E$6,MATCH(RAB!C30,'HARGA SATUAN'!$C$7:$C$1492,0),0)),"",OFFSET('HARGA SATUAN'!$E$6,MATCH(RAB!C30,'HARGA SATUAN'!$C$7:$C$1492,0),0)))</f>
        <v>Bh</v>
      </c>
      <c r="F30" s="434">
        <f>F21*22</f>
        <v>22</v>
      </c>
      <c r="G30" s="316">
        <f ca="1">IF(ISERROR(OFFSET('HARGA SATUAN'!$I$6,MATCH(RAB!C30,'HARGA SATUAN'!$C$7:$C$1492,0),0)),0,OFFSET('HARGA SATUAN'!$I$6,MATCH(RAB!C30,'HARGA SATUAN'!$C$7:$C$1492,0),0))</f>
        <v>7938</v>
      </c>
      <c r="H30" s="317">
        <f t="shared" ca="1" si="12"/>
        <v>0</v>
      </c>
      <c r="I30" s="317">
        <f t="shared" ca="1" si="13"/>
        <v>174636</v>
      </c>
      <c r="J30" s="317">
        <f t="shared" ca="1" si="14"/>
        <v>0</v>
      </c>
      <c r="K30" s="318">
        <f t="shared" ca="1" si="15"/>
        <v>174636</v>
      </c>
      <c r="L30" s="323"/>
      <c r="M30" s="323"/>
      <c r="N30" s="323"/>
      <c r="O30" s="319"/>
      <c r="P30" s="319"/>
      <c r="Q30" s="302"/>
      <c r="R30" s="294"/>
      <c r="S30" s="320"/>
      <c r="T30" s="299"/>
      <c r="U30" s="299"/>
      <c r="V30" s="299"/>
    </row>
    <row r="31" spans="1:22" s="324" customFormat="1">
      <c r="A31" s="294"/>
      <c r="B31" s="489">
        <v>8</v>
      </c>
      <c r="C31" s="490" t="s">
        <v>176</v>
      </c>
      <c r="D31" s="314" t="str">
        <f ca="1">IF(ISERROR(OFFSET('HARGA SATUAN'!$D$6,MATCH(RAB!C31,'HARGA SATUAN'!$C$7:$C$1492,0),0)),"",OFFSET('HARGA SATUAN'!$D$6,MATCH(RAB!C31,'HARGA SATUAN'!$C$7:$C$1492,0),0))</f>
        <v>HDW</v>
      </c>
      <c r="E31" s="315" t="str">
        <f ca="1">IF(B31="+","Unit",IF(ISERROR(OFFSET('HARGA SATUAN'!$E$6,MATCH(RAB!C31,'HARGA SATUAN'!$C$7:$C$1492,0),0)),"",OFFSET('HARGA SATUAN'!$E$6,MATCH(RAB!C31,'HARGA SATUAN'!$C$7:$C$1492,0),0)))</f>
        <v>Bh</v>
      </c>
      <c r="F31" s="434">
        <f>F21*1</f>
        <v>1</v>
      </c>
      <c r="G31" s="316">
        <f ca="1">IF(ISERROR(OFFSET('HARGA SATUAN'!$I$6,MATCH(RAB!C31,'HARGA SATUAN'!$C$7:$C$1492,0),0)),0,OFFSET('HARGA SATUAN'!$I$6,MATCH(RAB!C31,'HARGA SATUAN'!$C$7:$C$1492,0),0))</f>
        <v>404600</v>
      </c>
      <c r="H31" s="317">
        <f t="shared" ca="1" si="12"/>
        <v>0</v>
      </c>
      <c r="I31" s="317">
        <f t="shared" ca="1" si="13"/>
        <v>404600</v>
      </c>
      <c r="J31" s="317">
        <f t="shared" ca="1" si="14"/>
        <v>0</v>
      </c>
      <c r="K31" s="318">
        <f t="shared" ca="1" si="15"/>
        <v>404600</v>
      </c>
      <c r="L31" s="323"/>
      <c r="M31" s="323"/>
      <c r="N31" s="323"/>
      <c r="O31" s="319"/>
      <c r="P31" s="319"/>
      <c r="Q31" s="302"/>
      <c r="R31" s="294"/>
      <c r="S31" s="320"/>
      <c r="T31" s="299"/>
      <c r="U31" s="299"/>
      <c r="V31" s="299"/>
    </row>
    <row r="32" spans="1:22" s="324" customFormat="1">
      <c r="A32" s="294"/>
      <c r="B32" s="489">
        <v>9</v>
      </c>
      <c r="C32" s="490" t="s">
        <v>184</v>
      </c>
      <c r="D32" s="314" t="str">
        <f ca="1">IF(ISERROR(OFFSET('HARGA SATUAN'!$D$6,MATCH(RAB!C32,'HARGA SATUAN'!$C$7:$C$1492,0),0)),"",OFFSET('HARGA SATUAN'!$D$6,MATCH(RAB!C32,'HARGA SATUAN'!$C$7:$C$1492,0),0))</f>
        <v>HDW</v>
      </c>
      <c r="E32" s="315" t="str">
        <f ca="1">IF(B32="+","Unit",IF(ISERROR(OFFSET('HARGA SATUAN'!$E$6,MATCH(RAB!C32,'HARGA SATUAN'!$C$7:$C$1492,0),0)),"",OFFSET('HARGA SATUAN'!$E$6,MATCH(RAB!C32,'HARGA SATUAN'!$C$7:$C$1492,0),0)))</f>
        <v>Bh</v>
      </c>
      <c r="F32" s="434">
        <f>F21*3</f>
        <v>3</v>
      </c>
      <c r="G32" s="316">
        <f ca="1">IF(ISERROR(OFFSET('HARGA SATUAN'!$I$6,MATCH(RAB!C32,'HARGA SATUAN'!$C$7:$C$1492,0),0)),0,OFFSET('HARGA SATUAN'!$I$6,MATCH(RAB!C32,'HARGA SATUAN'!$C$7:$C$1492,0),0))</f>
        <v>15900</v>
      </c>
      <c r="H32" s="317">
        <f t="shared" ca="1" si="12"/>
        <v>0</v>
      </c>
      <c r="I32" s="317">
        <f t="shared" ca="1" si="13"/>
        <v>47700</v>
      </c>
      <c r="J32" s="317">
        <f t="shared" ca="1" si="14"/>
        <v>0</v>
      </c>
      <c r="K32" s="318">
        <f t="shared" ca="1" si="15"/>
        <v>47700</v>
      </c>
      <c r="L32" s="323"/>
      <c r="M32" s="323"/>
      <c r="N32" s="323"/>
      <c r="O32" s="319"/>
      <c r="P32" s="319"/>
      <c r="Q32" s="302"/>
      <c r="R32" s="294"/>
      <c r="S32" s="320"/>
      <c r="T32" s="299"/>
      <c r="U32" s="299"/>
      <c r="V32" s="299"/>
    </row>
    <row r="33" spans="1:22" s="324" customFormat="1">
      <c r="A33" s="294"/>
      <c r="B33" s="489">
        <v>10</v>
      </c>
      <c r="C33" s="490" t="s">
        <v>591</v>
      </c>
      <c r="D33" s="314" t="str">
        <f ca="1">IF(ISERROR(OFFSET('HARGA SATUAN'!$D$6,MATCH(RAB!C33,'HARGA SATUAN'!$C$7:$C$1492,0),0)),"",OFFSET('HARGA SATUAN'!$D$6,MATCH(RAB!C33,'HARGA SATUAN'!$C$7:$C$1492,0),0))</f>
        <v>HDW</v>
      </c>
      <c r="E33" s="315" t="str">
        <f ca="1">IF(B33="+","Unit",IF(ISERROR(OFFSET('HARGA SATUAN'!$E$6,MATCH(RAB!C33,'HARGA SATUAN'!$C$7:$C$1492,0),0)),"",OFFSET('HARGA SATUAN'!$E$6,MATCH(RAB!C33,'HARGA SATUAN'!$C$7:$C$1492,0),0)))</f>
        <v>Bh</v>
      </c>
      <c r="F33" s="434">
        <f>F21*5</f>
        <v>5</v>
      </c>
      <c r="G33" s="316">
        <f ca="1">IF(ISERROR(OFFSET('HARGA SATUAN'!$I$6,MATCH(RAB!C33,'HARGA SATUAN'!$C$7:$C$1492,0),0)),0,OFFSET('HARGA SATUAN'!$I$6,MATCH(RAB!C33,'HARGA SATUAN'!$C$7:$C$1492,0),0))</f>
        <v>283100</v>
      </c>
      <c r="H33" s="317">
        <f t="shared" ca="1" si="12"/>
        <v>0</v>
      </c>
      <c r="I33" s="317">
        <f t="shared" ca="1" si="13"/>
        <v>1415500</v>
      </c>
      <c r="J33" s="317">
        <f t="shared" ca="1" si="14"/>
        <v>0</v>
      </c>
      <c r="K33" s="318">
        <f t="shared" ca="1" si="15"/>
        <v>1415500</v>
      </c>
      <c r="L33" s="323"/>
      <c r="M33" s="323"/>
      <c r="N33" s="323"/>
      <c r="O33" s="319"/>
      <c r="P33" s="319"/>
      <c r="Q33" s="302"/>
      <c r="R33" s="294"/>
      <c r="S33" s="320"/>
      <c r="T33" s="299"/>
      <c r="U33" s="299"/>
      <c r="V33" s="299"/>
    </row>
    <row r="34" spans="1:22" s="324" customFormat="1">
      <c r="A34" s="294"/>
      <c r="B34" s="489">
        <v>11</v>
      </c>
      <c r="C34" s="490" t="s">
        <v>592</v>
      </c>
      <c r="D34" s="314" t="str">
        <f ca="1">IF(ISERROR(OFFSET('HARGA SATUAN'!$D$6,MATCH(RAB!C34,'HARGA SATUAN'!$C$7:$C$1492,0),0)),"",OFFSET('HARGA SATUAN'!$D$6,MATCH(RAB!C34,'HARGA SATUAN'!$C$7:$C$1492,0),0))</f>
        <v>HDW</v>
      </c>
      <c r="E34" s="315" t="str">
        <f ca="1">IF(B34="+","Unit",IF(ISERROR(OFFSET('HARGA SATUAN'!$E$6,MATCH(RAB!C34,'HARGA SATUAN'!$C$7:$C$1492,0),0)),"",OFFSET('HARGA SATUAN'!$E$6,MATCH(RAB!C34,'HARGA SATUAN'!$C$7:$C$1492,0),0)))</f>
        <v>Bh</v>
      </c>
      <c r="F34" s="434">
        <f>F21*4</f>
        <v>4</v>
      </c>
      <c r="G34" s="316">
        <f ca="1">IF(ISERROR(OFFSET('HARGA SATUAN'!$I$6,MATCH(RAB!C34,'HARGA SATUAN'!$C$7:$C$1492,0),0)),0,OFFSET('HARGA SATUAN'!$I$6,MATCH(RAB!C34,'HARGA SATUAN'!$C$7:$C$1492,0),0))</f>
        <v>380500</v>
      </c>
      <c r="H34" s="317">
        <f t="shared" ca="1" si="12"/>
        <v>0</v>
      </c>
      <c r="I34" s="317">
        <f t="shared" ca="1" si="13"/>
        <v>1522000</v>
      </c>
      <c r="J34" s="317">
        <f t="shared" ca="1" si="14"/>
        <v>0</v>
      </c>
      <c r="K34" s="318">
        <f t="shared" ca="1" si="15"/>
        <v>1522000</v>
      </c>
      <c r="L34" s="323"/>
      <c r="M34" s="323"/>
      <c r="N34" s="323"/>
      <c r="O34" s="319"/>
      <c r="P34" s="319"/>
      <c r="Q34" s="302"/>
      <c r="R34" s="294"/>
      <c r="S34" s="320"/>
      <c r="T34" s="299"/>
      <c r="U34" s="299"/>
      <c r="V34" s="299"/>
    </row>
    <row r="35" spans="1:22" s="324" customFormat="1">
      <c r="A35" s="294"/>
      <c r="B35" s="489">
        <v>12</v>
      </c>
      <c r="C35" s="490" t="s">
        <v>208</v>
      </c>
      <c r="D35" s="314" t="str">
        <f ca="1">IF(ISERROR(OFFSET('HARGA SATUAN'!$D$6,MATCH(RAB!C35,'HARGA SATUAN'!$C$7:$C$1492,0),0)),"",OFFSET('HARGA SATUAN'!$D$6,MATCH(RAB!C35,'HARGA SATUAN'!$C$7:$C$1492,0),0))</f>
        <v>HDW</v>
      </c>
      <c r="E35" s="315" t="str">
        <f ca="1">IF(B35="+","Unit",IF(ISERROR(OFFSET('HARGA SATUAN'!$E$6,MATCH(RAB!C35,'HARGA SATUAN'!$C$7:$C$1492,0),0)),"",OFFSET('HARGA SATUAN'!$E$6,MATCH(RAB!C35,'HARGA SATUAN'!$C$7:$C$1492,0),0)))</f>
        <v>Bh</v>
      </c>
      <c r="F35" s="434">
        <f>F21*3</f>
        <v>3</v>
      </c>
      <c r="G35" s="316">
        <f ca="1">IF(ISERROR(OFFSET('HARGA SATUAN'!$I$6,MATCH(RAB!C35,'HARGA SATUAN'!$C$7:$C$1492,0),0)),0,OFFSET('HARGA SATUAN'!$I$6,MATCH(RAB!C35,'HARGA SATUAN'!$C$7:$C$1492,0),0))</f>
        <v>173400</v>
      </c>
      <c r="H35" s="317">
        <f t="shared" ca="1" si="12"/>
        <v>0</v>
      </c>
      <c r="I35" s="317">
        <f t="shared" ca="1" si="13"/>
        <v>520200</v>
      </c>
      <c r="J35" s="317">
        <f t="shared" ca="1" si="14"/>
        <v>0</v>
      </c>
      <c r="K35" s="318">
        <f t="shared" ca="1" si="15"/>
        <v>520200</v>
      </c>
      <c r="L35" s="323"/>
      <c r="M35" s="323"/>
      <c r="N35" s="323"/>
      <c r="O35" s="319"/>
      <c r="P35" s="319"/>
      <c r="Q35" s="302"/>
      <c r="R35" s="294"/>
      <c r="S35" s="320"/>
      <c r="T35" s="299"/>
      <c r="U35" s="299"/>
      <c r="V35" s="299"/>
    </row>
    <row r="36" spans="1:22" s="324" customFormat="1">
      <c r="A36" s="294"/>
      <c r="B36" s="489">
        <v>13</v>
      </c>
      <c r="C36" s="490" t="s">
        <v>247</v>
      </c>
      <c r="D36" s="314" t="str">
        <f ca="1">IF(ISERROR(OFFSET('HARGA SATUAN'!$D$6,MATCH(RAB!C36,'HARGA SATUAN'!$C$7:$C$1492,0),0)),"",OFFSET('HARGA SATUAN'!$D$6,MATCH(RAB!C36,'HARGA SATUAN'!$C$7:$C$1492,0),0))</f>
        <v>HDW</v>
      </c>
      <c r="E36" s="315" t="str">
        <f ca="1">IF(B36="+","Unit",IF(ISERROR(OFFSET('HARGA SATUAN'!$E$6,MATCH(RAB!C36,'HARGA SATUAN'!$C$7:$C$1492,0),0)),"",OFFSET('HARGA SATUAN'!$E$6,MATCH(RAB!C36,'HARGA SATUAN'!$C$7:$C$1492,0),0)))</f>
        <v>Bh</v>
      </c>
      <c r="F36" s="434">
        <f>F21*1</f>
        <v>1</v>
      </c>
      <c r="G36" s="316">
        <f ca="1">IF(ISERROR(OFFSET('HARGA SATUAN'!$I$6,MATCH(RAB!C36,'HARGA SATUAN'!$C$7:$C$1492,0),0)),0,OFFSET('HARGA SATUAN'!$I$6,MATCH(RAB!C36,'HARGA SATUAN'!$C$7:$C$1492,0),0))</f>
        <v>57690</v>
      </c>
      <c r="H36" s="317">
        <f t="shared" ca="1" si="12"/>
        <v>0</v>
      </c>
      <c r="I36" s="317">
        <f t="shared" ca="1" si="13"/>
        <v>57690</v>
      </c>
      <c r="J36" s="317">
        <f t="shared" ca="1" si="14"/>
        <v>0</v>
      </c>
      <c r="K36" s="318">
        <f t="shared" ca="1" si="15"/>
        <v>57690</v>
      </c>
      <c r="L36" s="323"/>
      <c r="M36" s="323"/>
      <c r="N36" s="323"/>
      <c r="O36" s="319"/>
      <c r="P36" s="319"/>
      <c r="Q36" s="302"/>
      <c r="R36" s="294"/>
      <c r="S36" s="320"/>
      <c r="T36" s="299"/>
      <c r="U36" s="299"/>
      <c r="V36" s="299"/>
    </row>
    <row r="37" spans="1:22" s="324" customFormat="1">
      <c r="A37" s="294"/>
      <c r="B37" s="489">
        <v>14</v>
      </c>
      <c r="C37" s="490" t="s">
        <v>234</v>
      </c>
      <c r="D37" s="314" t="str">
        <f ca="1">IF(ISERROR(OFFSET('HARGA SATUAN'!$D$6,MATCH(RAB!C37,'HARGA SATUAN'!$C$7:$C$1492,0),0)),"",OFFSET('HARGA SATUAN'!$D$6,MATCH(RAB!C37,'HARGA SATUAN'!$C$7:$C$1492,0),0))</f>
        <v>HDW</v>
      </c>
      <c r="E37" s="315" t="str">
        <f ca="1">IF(B37="+","Unit",IF(ISERROR(OFFSET('HARGA SATUAN'!$E$6,MATCH(RAB!C37,'HARGA SATUAN'!$C$7:$C$1492,0),0)),"",OFFSET('HARGA SATUAN'!$E$6,MATCH(RAB!C37,'HARGA SATUAN'!$C$7:$C$1492,0),0)))</f>
        <v>Bh</v>
      </c>
      <c r="F37" s="434">
        <f>F21*2</f>
        <v>2</v>
      </c>
      <c r="G37" s="316">
        <f ca="1">IF(ISERROR(OFFSET('HARGA SATUAN'!$I$6,MATCH(RAB!C37,'HARGA SATUAN'!$C$7:$C$1492,0),0)),0,OFFSET('HARGA SATUAN'!$I$6,MATCH(RAB!C37,'HARGA SATUAN'!$C$7:$C$1492,0),0))</f>
        <v>67500</v>
      </c>
      <c r="H37" s="317">
        <f t="shared" ca="1" si="12"/>
        <v>0</v>
      </c>
      <c r="I37" s="317">
        <f t="shared" ca="1" si="13"/>
        <v>135000</v>
      </c>
      <c r="J37" s="317">
        <f t="shared" ca="1" si="14"/>
        <v>0</v>
      </c>
      <c r="K37" s="318">
        <f t="shared" ca="1" si="15"/>
        <v>135000</v>
      </c>
      <c r="L37" s="323"/>
      <c r="M37" s="323"/>
      <c r="N37" s="323"/>
      <c r="O37" s="319"/>
      <c r="P37" s="319"/>
      <c r="Q37" s="302"/>
      <c r="R37" s="294"/>
      <c r="S37" s="320"/>
      <c r="T37" s="299"/>
      <c r="U37" s="299"/>
      <c r="V37" s="299"/>
    </row>
    <row r="38" spans="1:22" s="324" customFormat="1">
      <c r="A38" s="294"/>
      <c r="B38" s="489">
        <v>15</v>
      </c>
      <c r="C38" s="490" t="s">
        <v>267</v>
      </c>
      <c r="D38" s="314" t="str">
        <f ca="1">IF(ISERROR(OFFSET('HARGA SATUAN'!$D$6,MATCH(RAB!C38,'HARGA SATUAN'!$C$7:$C$1492,0),0)),"",OFFSET('HARGA SATUAN'!$D$6,MATCH(RAB!C38,'HARGA SATUAN'!$C$7:$C$1492,0),0))</f>
        <v>HDW</v>
      </c>
      <c r="E38" s="315" t="str">
        <f ca="1">IF(B38="+","Unit",IF(ISERROR(OFFSET('HARGA SATUAN'!$E$6,MATCH(RAB!C38,'HARGA SATUAN'!$C$7:$C$1492,0),0)),"",OFFSET('HARGA SATUAN'!$E$6,MATCH(RAB!C38,'HARGA SATUAN'!$C$7:$C$1492,0),0)))</f>
        <v>Bh</v>
      </c>
      <c r="F38" s="434">
        <f>F21*2</f>
        <v>2</v>
      </c>
      <c r="G38" s="316">
        <f ca="1">IF(ISERROR(OFFSET('HARGA SATUAN'!$I$6,MATCH(RAB!C38,'HARGA SATUAN'!$C$7:$C$1492,0),0)),0,OFFSET('HARGA SATUAN'!$I$6,MATCH(RAB!C38,'HARGA SATUAN'!$C$7:$C$1492,0),0))</f>
        <v>129000</v>
      </c>
      <c r="H38" s="317">
        <f t="shared" ca="1" si="12"/>
        <v>0</v>
      </c>
      <c r="I38" s="317">
        <f t="shared" ca="1" si="13"/>
        <v>258000</v>
      </c>
      <c r="J38" s="317">
        <f t="shared" ca="1" si="14"/>
        <v>0</v>
      </c>
      <c r="K38" s="318">
        <f t="shared" ca="1" si="15"/>
        <v>258000</v>
      </c>
      <c r="L38" s="323"/>
      <c r="M38" s="323"/>
      <c r="N38" s="323"/>
      <c r="O38" s="319"/>
      <c r="P38" s="319"/>
      <c r="Q38" s="302"/>
      <c r="R38" s="294"/>
      <c r="S38" s="320"/>
      <c r="T38" s="299"/>
      <c r="U38" s="299"/>
      <c r="V38" s="299"/>
    </row>
    <row r="39" spans="1:22" s="324" customFormat="1">
      <c r="A39" s="294"/>
      <c r="B39" s="489">
        <v>16</v>
      </c>
      <c r="C39" s="490" t="s">
        <v>606</v>
      </c>
      <c r="D39" s="314" t="str">
        <f ca="1">IF(ISERROR(OFFSET('HARGA SATUAN'!$D$6,MATCH(RAB!C39,'HARGA SATUAN'!$C$7:$C$1492,0),0)),"",OFFSET('HARGA SATUAN'!$D$6,MATCH(RAB!C39,'HARGA SATUAN'!$C$7:$C$1492,0),0))</f>
        <v>HDW</v>
      </c>
      <c r="E39" s="315" t="str">
        <f ca="1">IF(B39="+","Unit",IF(ISERROR(OFFSET('HARGA SATUAN'!$E$6,MATCH(RAB!C39,'HARGA SATUAN'!$C$7:$C$1492,0),0)),"",OFFSET('HARGA SATUAN'!$E$6,MATCH(RAB!C39,'HARGA SATUAN'!$C$7:$C$1492,0),0)))</f>
        <v>Bh</v>
      </c>
      <c r="F39" s="434">
        <f>F21*4</f>
        <v>4</v>
      </c>
      <c r="G39" s="316">
        <f ca="1">IF(ISERROR(OFFSET('HARGA SATUAN'!$I$6,MATCH(RAB!C39,'HARGA SATUAN'!$C$7:$C$1492,0),0)),0,OFFSET('HARGA SATUAN'!$I$6,MATCH(RAB!C39,'HARGA SATUAN'!$C$7:$C$1492,0),0))</f>
        <v>250000</v>
      </c>
      <c r="H39" s="317">
        <f t="shared" ca="1" si="12"/>
        <v>0</v>
      </c>
      <c r="I39" s="317">
        <f t="shared" ca="1" si="13"/>
        <v>1000000</v>
      </c>
      <c r="J39" s="317">
        <f t="shared" ca="1" si="14"/>
        <v>0</v>
      </c>
      <c r="K39" s="318">
        <f t="shared" ca="1" si="15"/>
        <v>1000000</v>
      </c>
      <c r="L39" s="323"/>
      <c r="M39" s="323"/>
      <c r="N39" s="323"/>
      <c r="O39" s="319"/>
      <c r="P39" s="319"/>
      <c r="Q39" s="302"/>
      <c r="R39" s="294"/>
      <c r="S39" s="320"/>
      <c r="T39" s="299"/>
      <c r="U39" s="299"/>
      <c r="V39" s="299"/>
    </row>
    <row r="40" spans="1:22" s="324" customFormat="1">
      <c r="A40" s="294"/>
      <c r="B40" s="489">
        <v>17</v>
      </c>
      <c r="C40" s="490" t="s">
        <v>782</v>
      </c>
      <c r="D40" s="314" t="str">
        <f ca="1">IF(ISERROR(OFFSET('HARGA SATUAN'!$D$6,MATCH(RAB!C40,'HARGA SATUAN'!$C$7:$C$1492,0),0)),"",OFFSET('HARGA SATUAN'!$D$6,MATCH(RAB!C40,'HARGA SATUAN'!$C$7:$C$1492,0),0))</f>
        <v>JASA</v>
      </c>
      <c r="E40" s="315" t="str">
        <f ca="1">IF(B40="+","Unit",IF(ISERROR(OFFSET('HARGA SATUAN'!$E$6,MATCH(RAB!C40,'HARGA SATUAN'!$C$7:$C$1492,0),0)),"",OFFSET('HARGA SATUAN'!$E$6,MATCH(RAB!C40,'HARGA SATUAN'!$C$7:$C$1492,0),0)))</f>
        <v>Unit</v>
      </c>
      <c r="F40" s="434">
        <f>F21*1</f>
        <v>1</v>
      </c>
      <c r="G40" s="316">
        <f ca="1">IF(ISERROR(OFFSET('HARGA SATUAN'!$I$6,MATCH(RAB!C40,'HARGA SATUAN'!$C$7:$C$1492,0),0)),0,OFFSET('HARGA SATUAN'!$I$6,MATCH(RAB!C40,'HARGA SATUAN'!$C$7:$C$1492,0),0))</f>
        <v>1182800</v>
      </c>
      <c r="H40" s="317">
        <f t="shared" ca="1" si="12"/>
        <v>0</v>
      </c>
      <c r="I40" s="317">
        <f t="shared" ca="1" si="13"/>
        <v>0</v>
      </c>
      <c r="J40" s="317">
        <f t="shared" ca="1" si="14"/>
        <v>1182800</v>
      </c>
      <c r="K40" s="318">
        <f t="shared" ca="1" si="15"/>
        <v>1182800</v>
      </c>
      <c r="L40" s="323"/>
      <c r="M40" s="323"/>
      <c r="N40" s="323"/>
      <c r="O40" s="319"/>
      <c r="P40" s="319"/>
      <c r="Q40" s="302"/>
      <c r="R40" s="294"/>
      <c r="S40" s="320"/>
      <c r="T40" s="299"/>
      <c r="U40" s="299"/>
      <c r="V40" s="299"/>
    </row>
    <row r="41" spans="1:22" s="324" customFormat="1">
      <c r="A41" s="294"/>
      <c r="B41" s="437">
        <v>18</v>
      </c>
      <c r="C41" s="490" t="s">
        <v>782</v>
      </c>
      <c r="D41" s="314" t="str">
        <f ca="1">IF(ISERROR(OFFSET('HARGA SATUAN'!$D$6,MATCH(RAB!C41,'HARGA SATUAN'!$C$7:$C$1492,0),0)),"",OFFSET('HARGA SATUAN'!$D$6,MATCH(RAB!C41,'HARGA SATUAN'!$C$7:$C$1492,0),0))</f>
        <v>JASA</v>
      </c>
      <c r="E41" s="315" t="str">
        <f ca="1">IF(B41="+","Unit",IF(ISERROR(OFFSET('HARGA SATUAN'!$E$6,MATCH(RAB!C41,'HARGA SATUAN'!$C$7:$C$1492,0),0)),"",OFFSET('HARGA SATUAN'!$E$6,MATCH(RAB!C41,'HARGA SATUAN'!$C$7:$C$1492,0),0)))</f>
        <v>Unit</v>
      </c>
      <c r="F41" s="322">
        <v>1</v>
      </c>
      <c r="G41" s="316">
        <f ca="1">IF(ISERROR(OFFSET('HARGA SATUAN'!$I$6,MATCH(RAB!C41,'HARGA SATUAN'!$C$7:$C$1492,0),0)),0,OFFSET('HARGA SATUAN'!$I$6,MATCH(RAB!C41,'HARGA SATUAN'!$C$7:$C$1492,0),0))</f>
        <v>1182800</v>
      </c>
      <c r="H41" s="317">
        <f t="shared" ca="1" si="12"/>
        <v>0</v>
      </c>
      <c r="I41" s="317">
        <f t="shared" ca="1" si="13"/>
        <v>0</v>
      </c>
      <c r="J41" s="317">
        <f t="shared" ca="1" si="14"/>
        <v>1182800</v>
      </c>
      <c r="K41" s="318">
        <f t="shared" ca="1" si="15"/>
        <v>1182800</v>
      </c>
      <c r="L41" s="323"/>
      <c r="M41" s="323"/>
      <c r="N41" s="323"/>
      <c r="O41" s="319"/>
      <c r="P41" s="319"/>
      <c r="Q41" s="302"/>
      <c r="R41" s="294"/>
      <c r="S41" s="320"/>
      <c r="T41" s="299"/>
      <c r="U41" s="299"/>
      <c r="V41" s="299"/>
    </row>
    <row r="42" spans="1:22" s="324" customFormat="1">
      <c r="A42" s="294"/>
      <c r="B42" s="437"/>
      <c r="C42" s="490"/>
      <c r="D42" s="314"/>
      <c r="E42" s="315"/>
      <c r="F42" s="322"/>
      <c r="G42" s="316"/>
      <c r="H42" s="317"/>
      <c r="I42" s="317"/>
      <c r="J42" s="317"/>
      <c r="K42" s="318"/>
      <c r="L42" s="323"/>
      <c r="M42" s="323"/>
      <c r="N42" s="323"/>
      <c r="O42" s="319"/>
      <c r="P42" s="319"/>
      <c r="Q42" s="302"/>
      <c r="R42" s="294"/>
      <c r="S42" s="320"/>
      <c r="T42" s="299"/>
      <c r="U42" s="299"/>
      <c r="V42" s="299"/>
    </row>
    <row r="43" spans="1:22" s="324" customFormat="1">
      <c r="A43" s="294"/>
      <c r="B43" s="491" t="s">
        <v>1034</v>
      </c>
      <c r="C43" s="494" t="s">
        <v>1623</v>
      </c>
      <c r="D43" s="314" t="str">
        <f ca="1">IF(ISERROR(OFFSET('HARGA SATUAN'!$D$6,MATCH(RAB!C43,'HARGA SATUAN'!$C$7:$C$1492,0),0)),"",OFFSET('HARGA SATUAN'!$D$6,MATCH(RAB!C43,'HARGA SATUAN'!$C$7:$C$1492,0),0))</f>
        <v/>
      </c>
      <c r="E43" s="315" t="str">
        <f ca="1">IF(B43="+","Unit",IF(ISERROR(OFFSET('HARGA SATUAN'!$E$6,MATCH(RAB!C43,'HARGA SATUAN'!$C$7:$C$1492,0),0)),"",OFFSET('HARGA SATUAN'!$E$6,MATCH(RAB!C43,'HARGA SATUAN'!$C$7:$C$1492,0),0)))</f>
        <v>Unit</v>
      </c>
      <c r="F43" s="434">
        <v>2</v>
      </c>
      <c r="G43" s="316">
        <f ca="1">IF(ISERROR(OFFSET('HARGA SATUAN'!$I$6,MATCH(RAB!C43,'HARGA SATUAN'!$C$7:$C$1492,0),0)),0,OFFSET('HARGA SATUAN'!$I$6,MATCH(RAB!C43,'HARGA SATUAN'!$C$7:$C$1492,0),0))</f>
        <v>0</v>
      </c>
      <c r="H43" s="317">
        <f t="shared" ca="1" si="12"/>
        <v>0</v>
      </c>
      <c r="I43" s="317">
        <f t="shared" ca="1" si="13"/>
        <v>0</v>
      </c>
      <c r="J43" s="317">
        <f t="shared" ca="1" si="14"/>
        <v>0</v>
      </c>
      <c r="K43" s="318">
        <f t="shared" ca="1" si="15"/>
        <v>0</v>
      </c>
      <c r="L43" s="323"/>
      <c r="M43" s="323"/>
      <c r="N43" s="323"/>
      <c r="O43" s="319"/>
      <c r="P43" s="319"/>
      <c r="Q43" s="302"/>
      <c r="R43" s="294"/>
      <c r="S43" s="320"/>
      <c r="T43" s="299"/>
      <c r="U43" s="299"/>
      <c r="V43" s="299"/>
    </row>
    <row r="44" spans="1:22" s="324" customFormat="1">
      <c r="A44" s="294"/>
      <c r="B44" s="491">
        <v>1</v>
      </c>
      <c r="C44" s="495" t="s">
        <v>29</v>
      </c>
      <c r="D44" s="314" t="str">
        <f ca="1">IF(ISERROR(OFFSET('HARGA SATUAN'!$D$6,MATCH(RAB!C44,'HARGA SATUAN'!$C$7:$C$1492,0),0)),"",OFFSET('HARGA SATUAN'!$D$6,MATCH(RAB!C44,'HARGA SATUAN'!$C$7:$C$1492,0),0))</f>
        <v>HDW</v>
      </c>
      <c r="E44" s="315" t="str">
        <f ca="1">IF(B44="+","Unit",IF(ISERROR(OFFSET('HARGA SATUAN'!$E$6,MATCH(RAB!C44,'HARGA SATUAN'!$C$7:$C$1492,0),0)),"",OFFSET('HARGA SATUAN'!$E$6,MATCH(RAB!C44,'HARGA SATUAN'!$C$7:$C$1492,0),0)))</f>
        <v>Bh</v>
      </c>
      <c r="F44" s="434">
        <f>F43*1</f>
        <v>2</v>
      </c>
      <c r="G44" s="316">
        <f ca="1">IF(ISERROR(OFFSET('HARGA SATUAN'!$I$6,MATCH(RAB!C44,'HARGA SATUAN'!$C$7:$C$1492,0),0)),0,OFFSET('HARGA SATUAN'!$I$6,MATCH(RAB!C44,'HARGA SATUAN'!$C$7:$C$1492,0),0))</f>
        <v>185200</v>
      </c>
      <c r="H44" s="317">
        <f t="shared" ca="1" si="12"/>
        <v>0</v>
      </c>
      <c r="I44" s="317">
        <f t="shared" ca="1" si="13"/>
        <v>370400</v>
      </c>
      <c r="J44" s="317">
        <f t="shared" ca="1" si="14"/>
        <v>0</v>
      </c>
      <c r="K44" s="318">
        <f t="shared" ca="1" si="15"/>
        <v>370400</v>
      </c>
      <c r="L44" s="323"/>
      <c r="M44" s="323"/>
      <c r="N44" s="323"/>
      <c r="O44" s="319"/>
      <c r="P44" s="319"/>
      <c r="Q44" s="302"/>
      <c r="R44" s="294"/>
      <c r="S44" s="320"/>
      <c r="T44" s="299"/>
      <c r="U44" s="299"/>
      <c r="V44" s="299"/>
    </row>
    <row r="45" spans="1:22" s="324" customFormat="1">
      <c r="A45" s="294"/>
      <c r="B45" s="489">
        <v>2</v>
      </c>
      <c r="C45" s="490" t="s">
        <v>30</v>
      </c>
      <c r="D45" s="314" t="str">
        <f ca="1">IF(ISERROR(OFFSET('HARGA SATUAN'!$D$6,MATCH(RAB!C45,'HARGA SATUAN'!$C$7:$C$1492,0),0)),"",OFFSET('HARGA SATUAN'!$D$6,MATCH(RAB!C45,'HARGA SATUAN'!$C$7:$C$1492,0),0))</f>
        <v>HDW</v>
      </c>
      <c r="E45" s="315" t="str">
        <f ca="1">IF(B45="+","Unit",IF(ISERROR(OFFSET('HARGA SATUAN'!$E$6,MATCH(RAB!C45,'HARGA SATUAN'!$C$7:$C$1492,0),0)),"",OFFSET('HARGA SATUAN'!$E$6,MATCH(RAB!C45,'HARGA SATUAN'!$C$7:$C$1492,0),0)))</f>
        <v>Bh</v>
      </c>
      <c r="F45" s="434">
        <f>F43*1</f>
        <v>2</v>
      </c>
      <c r="G45" s="316">
        <f ca="1">IF(ISERROR(OFFSET('HARGA SATUAN'!$I$6,MATCH(RAB!C45,'HARGA SATUAN'!$C$7:$C$1492,0),0)),0,OFFSET('HARGA SATUAN'!$I$6,MATCH(RAB!C45,'HARGA SATUAN'!$C$7:$C$1492,0),0))</f>
        <v>47459</v>
      </c>
      <c r="H45" s="317">
        <f t="shared" ca="1" si="12"/>
        <v>0</v>
      </c>
      <c r="I45" s="317">
        <f t="shared" ca="1" si="13"/>
        <v>94918</v>
      </c>
      <c r="J45" s="317">
        <f t="shared" ca="1" si="14"/>
        <v>0</v>
      </c>
      <c r="K45" s="318">
        <f t="shared" ca="1" si="15"/>
        <v>94918</v>
      </c>
      <c r="L45" s="323"/>
      <c r="M45" s="323"/>
      <c r="N45" s="323"/>
      <c r="O45" s="319"/>
      <c r="P45" s="319"/>
      <c r="Q45" s="302"/>
      <c r="R45" s="294"/>
      <c r="S45" s="320"/>
      <c r="T45" s="299"/>
      <c r="U45" s="299"/>
      <c r="V45" s="299"/>
    </row>
    <row r="46" spans="1:22" s="324" customFormat="1">
      <c r="A46" s="294"/>
      <c r="B46" s="489">
        <v>3</v>
      </c>
      <c r="C46" s="490" t="s">
        <v>31</v>
      </c>
      <c r="D46" s="314" t="str">
        <f ca="1">IF(ISERROR(OFFSET('HARGA SATUAN'!$D$6,MATCH(RAB!C46,'HARGA SATUAN'!$C$7:$C$1492,0),0)),"",OFFSET('HARGA SATUAN'!$D$6,MATCH(RAB!C46,'HARGA SATUAN'!$C$7:$C$1492,0),0))</f>
        <v>HDW</v>
      </c>
      <c r="E46" s="315" t="str">
        <f ca="1">IF(B46="+","Unit",IF(ISERROR(OFFSET('HARGA SATUAN'!$E$6,MATCH(RAB!C46,'HARGA SATUAN'!$C$7:$C$1492,0),0)),"",OFFSET('HARGA SATUAN'!$E$6,MATCH(RAB!C46,'HARGA SATUAN'!$C$7:$C$1492,0),0)))</f>
        <v>Bh</v>
      </c>
      <c r="F46" s="434">
        <f>F43*1</f>
        <v>2</v>
      </c>
      <c r="G46" s="316">
        <f ca="1">IF(ISERROR(OFFSET('HARGA SATUAN'!$I$6,MATCH(RAB!C46,'HARGA SATUAN'!$C$7:$C$1492,0),0)),0,OFFSET('HARGA SATUAN'!$I$6,MATCH(RAB!C46,'HARGA SATUAN'!$C$7:$C$1492,0),0))</f>
        <v>4880</v>
      </c>
      <c r="H46" s="317">
        <f t="shared" ca="1" si="12"/>
        <v>0</v>
      </c>
      <c r="I46" s="317">
        <f t="shared" ca="1" si="13"/>
        <v>9760</v>
      </c>
      <c r="J46" s="317">
        <f t="shared" ca="1" si="14"/>
        <v>0</v>
      </c>
      <c r="K46" s="318">
        <f t="shared" ca="1" si="15"/>
        <v>9760</v>
      </c>
      <c r="L46" s="323"/>
      <c r="M46" s="323"/>
      <c r="N46" s="323"/>
      <c r="O46" s="319"/>
      <c r="P46" s="319"/>
      <c r="Q46" s="302"/>
      <c r="R46" s="294"/>
      <c r="S46" s="320"/>
      <c r="T46" s="299"/>
      <c r="U46" s="299"/>
      <c r="V46" s="299"/>
    </row>
    <row r="47" spans="1:22" s="324" customFormat="1">
      <c r="A47" s="294"/>
      <c r="B47" s="489">
        <v>4</v>
      </c>
      <c r="C47" s="490" t="s">
        <v>32</v>
      </c>
      <c r="D47" s="314" t="str">
        <f ca="1">IF(ISERROR(OFFSET('HARGA SATUAN'!$D$6,MATCH(RAB!C47,'HARGA SATUAN'!$C$7:$C$1492,0),0)),"",OFFSET('HARGA SATUAN'!$D$6,MATCH(RAB!C47,'HARGA SATUAN'!$C$7:$C$1492,0),0))</f>
        <v>HDW</v>
      </c>
      <c r="E47" s="315" t="str">
        <f ca="1">IF(B47="+","Unit",IF(ISERROR(OFFSET('HARGA SATUAN'!$E$6,MATCH(RAB!C47,'HARGA SATUAN'!$C$7:$C$1492,0),0)),"",OFFSET('HARGA SATUAN'!$E$6,MATCH(RAB!C47,'HARGA SATUAN'!$C$7:$C$1492,0),0)))</f>
        <v>Mtr</v>
      </c>
      <c r="F47" s="434">
        <f>F43*10</f>
        <v>20</v>
      </c>
      <c r="G47" s="316">
        <f ca="1">IF(ISERROR(OFFSET('HARGA SATUAN'!$I$6,MATCH(RAB!C47,'HARGA SATUAN'!$C$7:$C$1492,0),0)),0,OFFSET('HARGA SATUAN'!$I$6,MATCH(RAB!C47,'HARGA SATUAN'!$C$7:$C$1492,0),0))</f>
        <v>30000</v>
      </c>
      <c r="H47" s="317">
        <f t="shared" ca="1" si="12"/>
        <v>0</v>
      </c>
      <c r="I47" s="317">
        <f t="shared" ca="1" si="13"/>
        <v>600000</v>
      </c>
      <c r="J47" s="317">
        <f t="shared" ca="1" si="14"/>
        <v>0</v>
      </c>
      <c r="K47" s="318">
        <f t="shared" ca="1" si="15"/>
        <v>600000</v>
      </c>
      <c r="L47" s="323"/>
      <c r="M47" s="323"/>
      <c r="N47" s="323"/>
      <c r="O47" s="319"/>
      <c r="P47" s="319"/>
      <c r="Q47" s="302"/>
      <c r="R47" s="294"/>
      <c r="S47" s="320"/>
      <c r="T47" s="299"/>
      <c r="U47" s="299"/>
      <c r="V47" s="299"/>
    </row>
    <row r="48" spans="1:22" s="324" customFormat="1">
      <c r="A48" s="294"/>
      <c r="B48" s="489">
        <v>5</v>
      </c>
      <c r="C48" s="490" t="s">
        <v>33</v>
      </c>
      <c r="D48" s="314" t="str">
        <f ca="1">IF(ISERROR(OFFSET('HARGA SATUAN'!$D$6,MATCH(RAB!C48,'HARGA SATUAN'!$C$7:$C$1492,0),0)),"",OFFSET('HARGA SATUAN'!$D$6,MATCH(RAB!C48,'HARGA SATUAN'!$C$7:$C$1492,0),0))</f>
        <v>HDW</v>
      </c>
      <c r="E48" s="315" t="str">
        <f ca="1">IF(B48="+","Unit",IF(ISERROR(OFFSET('HARGA SATUAN'!$E$6,MATCH(RAB!C48,'HARGA SATUAN'!$C$7:$C$1492,0),0)),"",OFFSET('HARGA SATUAN'!$E$6,MATCH(RAB!C48,'HARGA SATUAN'!$C$7:$C$1492,0),0)))</f>
        <v>Bh</v>
      </c>
      <c r="F48" s="434">
        <f>F43*2</f>
        <v>4</v>
      </c>
      <c r="G48" s="316">
        <f ca="1">IF(ISERROR(OFFSET('HARGA SATUAN'!$I$6,MATCH(RAB!C48,'HARGA SATUAN'!$C$7:$C$1492,0),0)),0,OFFSET('HARGA SATUAN'!$I$6,MATCH(RAB!C48,'HARGA SATUAN'!$C$7:$C$1492,0),0))</f>
        <v>9500</v>
      </c>
      <c r="H48" s="317">
        <f t="shared" ca="1" si="12"/>
        <v>0</v>
      </c>
      <c r="I48" s="317">
        <f t="shared" ca="1" si="13"/>
        <v>38000</v>
      </c>
      <c r="J48" s="317">
        <f t="shared" ca="1" si="14"/>
        <v>0</v>
      </c>
      <c r="K48" s="318">
        <f t="shared" ca="1" si="15"/>
        <v>38000</v>
      </c>
      <c r="L48" s="323"/>
      <c r="M48" s="323"/>
      <c r="N48" s="323"/>
      <c r="O48" s="319"/>
      <c r="P48" s="319"/>
      <c r="Q48" s="302"/>
      <c r="R48" s="294"/>
      <c r="S48" s="320"/>
      <c r="T48" s="299"/>
      <c r="U48" s="299"/>
      <c r="V48" s="299"/>
    </row>
    <row r="49" spans="1:22" s="324" customFormat="1">
      <c r="A49" s="294"/>
      <c r="B49" s="489">
        <v>6</v>
      </c>
      <c r="C49" s="490" t="s">
        <v>34</v>
      </c>
      <c r="D49" s="314" t="str">
        <f ca="1">IF(ISERROR(OFFSET('HARGA SATUAN'!$D$6,MATCH(RAB!C49,'HARGA SATUAN'!$C$7:$C$1492,0),0)),"",OFFSET('HARGA SATUAN'!$D$6,MATCH(RAB!C49,'HARGA SATUAN'!$C$7:$C$1492,0),0))</f>
        <v>HDW</v>
      </c>
      <c r="E49" s="315" t="str">
        <f ca="1">IF(B49="+","Unit",IF(ISERROR(OFFSET('HARGA SATUAN'!$E$6,MATCH(RAB!C49,'HARGA SATUAN'!$C$7:$C$1492,0),0)),"",OFFSET('HARGA SATUAN'!$E$6,MATCH(RAB!C49,'HARGA SATUAN'!$C$7:$C$1492,0),0)))</f>
        <v>Bh</v>
      </c>
      <c r="F49" s="434">
        <f>F43*5.5</f>
        <v>11</v>
      </c>
      <c r="G49" s="316">
        <f ca="1">IF(ISERROR(OFFSET('HARGA SATUAN'!$I$6,MATCH(RAB!C49,'HARGA SATUAN'!$C$7:$C$1492,0),0)),0,OFFSET('HARGA SATUAN'!$I$6,MATCH(RAB!C49,'HARGA SATUAN'!$C$7:$C$1492,0),0))</f>
        <v>6100</v>
      </c>
      <c r="H49" s="317">
        <f t="shared" ca="1" si="12"/>
        <v>0</v>
      </c>
      <c r="I49" s="317">
        <f t="shared" ca="1" si="13"/>
        <v>67100</v>
      </c>
      <c r="J49" s="317">
        <f t="shared" ca="1" si="14"/>
        <v>0</v>
      </c>
      <c r="K49" s="318">
        <f t="shared" ca="1" si="15"/>
        <v>67100</v>
      </c>
      <c r="L49" s="323"/>
      <c r="M49" s="323"/>
      <c r="N49" s="323"/>
      <c r="O49" s="319"/>
      <c r="P49" s="319"/>
      <c r="Q49" s="302"/>
      <c r="R49" s="294"/>
      <c r="S49" s="320"/>
      <c r="T49" s="299"/>
      <c r="U49" s="299"/>
      <c r="V49" s="299"/>
    </row>
    <row r="50" spans="1:22" s="324" customFormat="1">
      <c r="A50" s="294"/>
      <c r="B50" s="489">
        <v>7</v>
      </c>
      <c r="C50" s="490" t="s">
        <v>35</v>
      </c>
      <c r="D50" s="314" t="str">
        <f ca="1">IF(ISERROR(OFFSET('HARGA SATUAN'!$D$6,MATCH(RAB!C50,'HARGA SATUAN'!$C$7:$C$1492,0),0)),"",OFFSET('HARGA SATUAN'!$D$6,MATCH(RAB!C50,'HARGA SATUAN'!$C$7:$C$1492,0),0))</f>
        <v>HDW</v>
      </c>
      <c r="E50" s="315" t="str">
        <f ca="1">IF(B50="+","Unit",IF(ISERROR(OFFSET('HARGA SATUAN'!$E$6,MATCH(RAB!C50,'HARGA SATUAN'!$C$7:$C$1492,0),0)),"",OFFSET('HARGA SATUAN'!$E$6,MATCH(RAB!C50,'HARGA SATUAN'!$C$7:$C$1492,0),0)))</f>
        <v>Bh</v>
      </c>
      <c r="F50" s="434">
        <f>F43*6</f>
        <v>12</v>
      </c>
      <c r="G50" s="316">
        <f ca="1">IF(ISERROR(OFFSET('HARGA SATUAN'!$I$6,MATCH(RAB!C50,'HARGA SATUAN'!$C$7:$C$1492,0),0)),0,OFFSET('HARGA SATUAN'!$I$6,MATCH(RAB!C50,'HARGA SATUAN'!$C$7:$C$1492,0),0))</f>
        <v>2300</v>
      </c>
      <c r="H50" s="317">
        <f t="shared" ca="1" si="12"/>
        <v>0</v>
      </c>
      <c r="I50" s="317">
        <f t="shared" ca="1" si="13"/>
        <v>27600</v>
      </c>
      <c r="J50" s="317">
        <f t="shared" ca="1" si="14"/>
        <v>0</v>
      </c>
      <c r="K50" s="318">
        <f t="shared" ca="1" si="15"/>
        <v>27600</v>
      </c>
      <c r="L50" s="323"/>
      <c r="M50" s="323"/>
      <c r="N50" s="323"/>
      <c r="O50" s="319"/>
      <c r="P50" s="319"/>
      <c r="Q50" s="302"/>
      <c r="R50" s="294"/>
      <c r="S50" s="320"/>
      <c r="T50" s="299"/>
      <c r="U50" s="299"/>
      <c r="V50" s="299"/>
    </row>
    <row r="51" spans="1:22" s="324" customFormat="1">
      <c r="A51" s="294"/>
      <c r="B51" s="489">
        <v>8</v>
      </c>
      <c r="C51" s="490" t="s">
        <v>1624</v>
      </c>
      <c r="D51" s="314" t="str">
        <f ca="1">IF(ISERROR(OFFSET('HARGA SATUAN'!$D$6,MATCH(RAB!C51,'HARGA SATUAN'!$C$7:$C$1492,0),0)),"",OFFSET('HARGA SATUAN'!$D$6,MATCH(RAB!C51,'HARGA SATUAN'!$C$7:$C$1492,0),0))</f>
        <v>HDW</v>
      </c>
      <c r="E51" s="315" t="str">
        <f ca="1">IF(B51="+","Unit",IF(ISERROR(OFFSET('HARGA SATUAN'!$E$6,MATCH(RAB!C51,'HARGA SATUAN'!$C$7:$C$1492,0),0)),"",OFFSET('HARGA SATUAN'!$E$6,MATCH(RAB!C51,'HARGA SATUAN'!$C$7:$C$1492,0),0)))</f>
        <v>Mtr</v>
      </c>
      <c r="F51" s="434">
        <f>F43*4.8</f>
        <v>9.6</v>
      </c>
      <c r="G51" s="316">
        <f ca="1">IF(ISERROR(OFFSET('HARGA SATUAN'!$I$6,MATCH(RAB!C51,'HARGA SATUAN'!$C$7:$C$1492,0),0)),0,OFFSET('HARGA SATUAN'!$I$6,MATCH(RAB!C51,'HARGA SATUAN'!$C$7:$C$1492,0),0))</f>
        <v>23310</v>
      </c>
      <c r="H51" s="317">
        <f t="shared" ca="1" si="12"/>
        <v>0</v>
      </c>
      <c r="I51" s="317">
        <f t="shared" ca="1" si="13"/>
        <v>223776</v>
      </c>
      <c r="J51" s="317">
        <f t="shared" ca="1" si="14"/>
        <v>0</v>
      </c>
      <c r="K51" s="318">
        <f t="shared" ca="1" si="15"/>
        <v>223776</v>
      </c>
      <c r="L51" s="323"/>
      <c r="M51" s="323"/>
      <c r="N51" s="323"/>
      <c r="O51" s="319"/>
      <c r="P51" s="319"/>
      <c r="Q51" s="302"/>
      <c r="R51" s="294"/>
      <c r="S51" s="320"/>
      <c r="T51" s="299"/>
      <c r="U51" s="299"/>
      <c r="V51" s="299"/>
    </row>
    <row r="52" spans="1:22" s="324" customFormat="1">
      <c r="A52" s="294"/>
      <c r="B52" s="489">
        <v>9</v>
      </c>
      <c r="C52" s="490" t="s">
        <v>735</v>
      </c>
      <c r="D52" s="314" t="str">
        <f ca="1">IF(ISERROR(OFFSET('HARGA SATUAN'!$D$6,MATCH(RAB!C52,'HARGA SATUAN'!$C$7:$C$1492,0),0)),"",OFFSET('HARGA SATUAN'!$D$6,MATCH(RAB!C52,'HARGA SATUAN'!$C$7:$C$1492,0),0))</f>
        <v>JASA</v>
      </c>
      <c r="E52" s="315" t="str">
        <f ca="1">IF(B52="+","Unit",IF(ISERROR(OFFSET('HARGA SATUAN'!$E$6,MATCH(RAB!C52,'HARGA SATUAN'!$C$7:$C$1492,0),0)),"",OFFSET('HARGA SATUAN'!$E$6,MATCH(RAB!C52,'HARGA SATUAN'!$C$7:$C$1492,0),0)))</f>
        <v>Unit</v>
      </c>
      <c r="F52" s="434">
        <f>F43*1</f>
        <v>2</v>
      </c>
      <c r="G52" s="316">
        <f ca="1">IF(ISERROR(OFFSET('HARGA SATUAN'!$I$6,MATCH(RAB!C52,'HARGA SATUAN'!$C$7:$C$1492,0),0)),0,OFFSET('HARGA SATUAN'!$I$6,MATCH(RAB!C52,'HARGA SATUAN'!$C$7:$C$1492,0),0))</f>
        <v>65400</v>
      </c>
      <c r="H52" s="317">
        <f t="shared" ca="1" si="12"/>
        <v>0</v>
      </c>
      <c r="I52" s="317">
        <f t="shared" ca="1" si="13"/>
        <v>0</v>
      </c>
      <c r="J52" s="317">
        <f t="shared" ca="1" si="14"/>
        <v>130800</v>
      </c>
      <c r="K52" s="318">
        <f t="shared" ca="1" si="15"/>
        <v>130800</v>
      </c>
      <c r="L52" s="323"/>
      <c r="M52" s="323"/>
      <c r="N52" s="323"/>
      <c r="O52" s="319"/>
      <c r="P52" s="319"/>
      <c r="Q52" s="302"/>
      <c r="R52" s="294"/>
      <c r="S52" s="320"/>
      <c r="T52" s="299"/>
      <c r="U52" s="299"/>
      <c r="V52" s="299"/>
    </row>
    <row r="53" spans="1:22" s="324" customFormat="1">
      <c r="A53" s="294"/>
      <c r="B53" s="437">
        <v>10</v>
      </c>
      <c r="C53" s="490" t="s">
        <v>735</v>
      </c>
      <c r="D53" s="314" t="str">
        <f ca="1">IF(ISERROR(OFFSET('HARGA SATUAN'!$D$6,MATCH(RAB!C53,'HARGA SATUAN'!$C$7:$C$1492,0),0)),"",OFFSET('HARGA SATUAN'!$D$6,MATCH(RAB!C53,'HARGA SATUAN'!$C$7:$C$1492,0),0))</f>
        <v>JASA</v>
      </c>
      <c r="E53" s="315" t="str">
        <f ca="1">IF(B53="+","Unit",IF(ISERROR(OFFSET('HARGA SATUAN'!$E$6,MATCH(RAB!C53,'HARGA SATUAN'!$C$7:$C$1492,0),0)),"",OFFSET('HARGA SATUAN'!$E$6,MATCH(RAB!C53,'HARGA SATUAN'!$C$7:$C$1492,0),0)))</f>
        <v>Unit</v>
      </c>
      <c r="F53" s="322">
        <f>F43</f>
        <v>2</v>
      </c>
      <c r="G53" s="316">
        <f ca="1">IF(ISERROR(OFFSET('HARGA SATUAN'!$I$6,MATCH(RAB!C53,'HARGA SATUAN'!$C$7:$C$1492,0),0)),0,OFFSET('HARGA SATUAN'!$I$6,MATCH(RAB!C53,'HARGA SATUAN'!$C$7:$C$1492,0),0))</f>
        <v>65400</v>
      </c>
      <c r="H53" s="317">
        <f t="shared" ca="1" si="12"/>
        <v>0</v>
      </c>
      <c r="I53" s="317">
        <f t="shared" ca="1" si="13"/>
        <v>0</v>
      </c>
      <c r="J53" s="317">
        <f t="shared" ca="1" si="14"/>
        <v>130800</v>
      </c>
      <c r="K53" s="318">
        <f t="shared" ca="1" si="15"/>
        <v>130800</v>
      </c>
      <c r="L53" s="323"/>
      <c r="M53" s="323"/>
      <c r="N53" s="323"/>
      <c r="O53" s="319"/>
      <c r="P53" s="319"/>
      <c r="Q53" s="302"/>
      <c r="R53" s="294"/>
      <c r="S53" s="320"/>
      <c r="T53" s="299"/>
      <c r="U53" s="299"/>
      <c r="V53" s="299"/>
    </row>
    <row r="54" spans="1:22" s="324" customFormat="1">
      <c r="A54" s="294"/>
      <c r="B54" s="437"/>
      <c r="C54" s="490"/>
      <c r="D54" s="314"/>
      <c r="E54" s="315"/>
      <c r="F54" s="322"/>
      <c r="G54" s="316"/>
      <c r="H54" s="317"/>
      <c r="I54" s="317"/>
      <c r="J54" s="317"/>
      <c r="K54" s="318"/>
      <c r="L54" s="323"/>
      <c r="M54" s="323"/>
      <c r="N54" s="323"/>
      <c r="O54" s="319"/>
      <c r="P54" s="319"/>
      <c r="Q54" s="302"/>
      <c r="R54" s="294"/>
      <c r="S54" s="320"/>
      <c r="T54" s="299"/>
      <c r="U54" s="299"/>
      <c r="V54" s="299"/>
    </row>
    <row r="55" spans="1:22" s="324" customFormat="1">
      <c r="A55" s="294"/>
      <c r="B55" s="437" t="s">
        <v>1619</v>
      </c>
      <c r="C55" s="438" t="s">
        <v>1614</v>
      </c>
      <c r="D55" s="314" t="str">
        <f ca="1">IF(ISERROR(OFFSET('HARGA SATUAN'!$D$6,MATCH(RAB!C55,'HARGA SATUAN'!$C$7:$C$1492,0),0)),"",OFFSET('HARGA SATUAN'!$D$6,MATCH(RAB!C55,'HARGA SATUAN'!$C$7:$C$1492,0),0))</f>
        <v/>
      </c>
      <c r="E55" s="315" t="str">
        <f ca="1">IF(B55="+","Unit",IF(ISERROR(OFFSET('HARGA SATUAN'!$E$6,MATCH(RAB!C55,'HARGA SATUAN'!$C$7:$C$1492,0),0)),"",OFFSET('HARGA SATUAN'!$E$6,MATCH(RAB!C55,'HARGA SATUAN'!$C$7:$C$1492,0),0)))</f>
        <v/>
      </c>
      <c r="F55" s="434"/>
      <c r="G55" s="316">
        <f ca="1">IF(ISERROR(OFFSET('HARGA SATUAN'!$I$6,MATCH(RAB!C55,'HARGA SATUAN'!$C$7:$C$1492,0),0)),0,OFFSET('HARGA SATUAN'!$I$6,MATCH(RAB!C55,'HARGA SATUAN'!$C$7:$C$1492,0),0))</f>
        <v>0</v>
      </c>
      <c r="H55" s="317">
        <f t="shared" ca="1" si="12"/>
        <v>0</v>
      </c>
      <c r="I55" s="317">
        <f t="shared" ca="1" si="13"/>
        <v>0</v>
      </c>
      <c r="J55" s="317">
        <f t="shared" ca="1" si="14"/>
        <v>0</v>
      </c>
      <c r="K55" s="318">
        <f t="shared" ca="1" si="15"/>
        <v>0</v>
      </c>
      <c r="L55" s="323"/>
      <c r="M55" s="323"/>
      <c r="N55" s="323"/>
      <c r="O55" s="319"/>
      <c r="P55" s="319"/>
      <c r="Q55" s="302"/>
      <c r="R55" s="294"/>
      <c r="S55" s="320"/>
      <c r="T55" s="299"/>
      <c r="U55" s="299"/>
      <c r="V55" s="299"/>
    </row>
    <row r="56" spans="1:22" s="324" customFormat="1">
      <c r="A56" s="294"/>
      <c r="B56" s="439" t="s">
        <v>1034</v>
      </c>
      <c r="C56" s="440" t="s">
        <v>1613</v>
      </c>
      <c r="D56" s="314" t="str">
        <f ca="1">IF(ISERROR(OFFSET('HARGA SATUAN'!$D$6,MATCH(RAB!C56,'HARGA SATUAN'!$C$7:$C$1492,0),0)),"",OFFSET('HARGA SATUAN'!$D$6,MATCH(RAB!C56,'HARGA SATUAN'!$C$7:$C$1492,0),0))</f>
        <v/>
      </c>
      <c r="E56" s="315" t="str">
        <f ca="1">IF(B56="+","Unit",IF(ISERROR(OFFSET('HARGA SATUAN'!$E$6,MATCH(RAB!C56,'HARGA SATUAN'!$C$7:$C$1492,0),0)),"",OFFSET('HARGA SATUAN'!$E$6,MATCH(RAB!C56,'HARGA SATUAN'!$C$7:$C$1492,0),0)))</f>
        <v>Unit</v>
      </c>
      <c r="F56" s="434">
        <v>2</v>
      </c>
      <c r="G56" s="316">
        <f ca="1">IF(ISERROR(OFFSET('HARGA SATUAN'!$I$6,MATCH(RAB!C56,'HARGA SATUAN'!$C$7:$C$1492,0),0)),0,OFFSET('HARGA SATUAN'!$I$6,MATCH(RAB!C56,'HARGA SATUAN'!$C$7:$C$1492,0),0))</f>
        <v>0</v>
      </c>
      <c r="H56" s="317">
        <f t="shared" ca="1" si="12"/>
        <v>0</v>
      </c>
      <c r="I56" s="317">
        <f t="shared" ca="1" si="13"/>
        <v>0</v>
      </c>
      <c r="J56" s="317">
        <f t="shared" ca="1" si="14"/>
        <v>0</v>
      </c>
      <c r="K56" s="318">
        <f t="shared" ca="1" si="15"/>
        <v>0</v>
      </c>
      <c r="L56" s="323"/>
      <c r="M56" s="323"/>
      <c r="N56" s="323"/>
      <c r="O56" s="319"/>
      <c r="P56" s="319"/>
      <c r="Q56" s="302"/>
      <c r="R56" s="294"/>
      <c r="S56" s="320"/>
      <c r="T56" s="299"/>
      <c r="U56" s="299"/>
      <c r="V56" s="299"/>
    </row>
    <row r="57" spans="1:22" s="324" customFormat="1">
      <c r="A57" s="294"/>
      <c r="B57" s="439">
        <v>1</v>
      </c>
      <c r="C57" s="440" t="s">
        <v>594</v>
      </c>
      <c r="D57" s="314" t="str">
        <f ca="1">IF(ISERROR(OFFSET('HARGA SATUAN'!$D$6,MATCH(RAB!C57,'HARGA SATUAN'!$C$7:$C$1492,0),0)),"",OFFSET('HARGA SATUAN'!$D$6,MATCH(RAB!C57,'HARGA SATUAN'!$C$7:$C$1492,0),0))</f>
        <v>HDW</v>
      </c>
      <c r="E57" s="315" t="str">
        <f ca="1">IF(B57="+","Unit",IF(ISERROR(OFFSET('HARGA SATUAN'!$E$6,MATCH(RAB!C57,'HARGA SATUAN'!$C$7:$C$1492,0),0)),"",OFFSET('HARGA SATUAN'!$E$6,MATCH(RAB!C57,'HARGA SATUAN'!$C$7:$C$1492,0),0)))</f>
        <v>Bh</v>
      </c>
      <c r="F57" s="434">
        <f>F56*1</f>
        <v>2</v>
      </c>
      <c r="G57" s="316">
        <f ca="1">IF(ISERROR(OFFSET('HARGA SATUAN'!$I$6,MATCH(RAB!C57,'HARGA SATUAN'!$C$7:$C$1492,0),0)),0,OFFSET('HARGA SATUAN'!$I$6,MATCH(RAB!C57,'HARGA SATUAN'!$C$7:$C$1492,0),0))</f>
        <v>78500</v>
      </c>
      <c r="H57" s="317">
        <f t="shared" ca="1" si="12"/>
        <v>0</v>
      </c>
      <c r="I57" s="317">
        <f t="shared" ca="1" si="13"/>
        <v>157000</v>
      </c>
      <c r="J57" s="317">
        <f t="shared" ca="1" si="14"/>
        <v>0</v>
      </c>
      <c r="K57" s="318">
        <f t="shared" ca="1" si="15"/>
        <v>157000</v>
      </c>
      <c r="L57" s="323"/>
      <c r="M57" s="323"/>
      <c r="N57" s="323"/>
      <c r="O57" s="319"/>
      <c r="P57" s="319"/>
      <c r="Q57" s="302"/>
      <c r="R57" s="294"/>
      <c r="S57" s="320"/>
      <c r="T57" s="299"/>
      <c r="U57" s="299"/>
      <c r="V57" s="299"/>
    </row>
    <row r="58" spans="1:22" s="324" customFormat="1">
      <c r="A58" s="294"/>
      <c r="B58" s="439">
        <v>2</v>
      </c>
      <c r="C58" s="440" t="s">
        <v>229</v>
      </c>
      <c r="D58" s="314" t="str">
        <f ca="1">IF(ISERROR(OFFSET('HARGA SATUAN'!$D$6,MATCH(RAB!C58,'HARGA SATUAN'!$C$7:$C$1492,0),0)),"",OFFSET('HARGA SATUAN'!$D$6,MATCH(RAB!C58,'HARGA SATUAN'!$C$7:$C$1492,0),0))</f>
        <v>HDW</v>
      </c>
      <c r="E58" s="315" t="str">
        <f ca="1">IF(B58="+","Unit",IF(ISERROR(OFFSET('HARGA SATUAN'!$E$6,MATCH(RAB!C58,'HARGA SATUAN'!$C$7:$C$1492,0),0)),"",OFFSET('HARGA SATUAN'!$E$6,MATCH(RAB!C58,'HARGA SATUAN'!$C$7:$C$1492,0),0)))</f>
        <v>Bh</v>
      </c>
      <c r="F58" s="434">
        <f>F56*1</f>
        <v>2</v>
      </c>
      <c r="G58" s="316">
        <f ca="1">IF(ISERROR(OFFSET('HARGA SATUAN'!$I$6,MATCH(RAB!C58,'HARGA SATUAN'!$C$7:$C$1492,0),0)),0,OFFSET('HARGA SATUAN'!$I$6,MATCH(RAB!C58,'HARGA SATUAN'!$C$7:$C$1492,0),0))</f>
        <v>4212</v>
      </c>
      <c r="H58" s="317">
        <f t="shared" ca="1" si="12"/>
        <v>0</v>
      </c>
      <c r="I58" s="317">
        <f t="shared" ca="1" si="13"/>
        <v>8424</v>
      </c>
      <c r="J58" s="317">
        <f t="shared" ca="1" si="14"/>
        <v>0</v>
      </c>
      <c r="K58" s="318">
        <f t="shared" ca="1" si="15"/>
        <v>8424</v>
      </c>
      <c r="L58" s="323"/>
      <c r="M58" s="323"/>
      <c r="N58" s="323"/>
      <c r="O58" s="319"/>
      <c r="P58" s="319"/>
      <c r="Q58" s="302"/>
      <c r="R58" s="294"/>
      <c r="S58" s="320"/>
      <c r="T58" s="299"/>
      <c r="U58" s="299"/>
      <c r="V58" s="299"/>
    </row>
    <row r="59" spans="1:22" s="324" customFormat="1">
      <c r="A59" s="294"/>
      <c r="B59" s="439">
        <v>3</v>
      </c>
      <c r="C59" s="440" t="s">
        <v>266</v>
      </c>
      <c r="D59" s="314" t="str">
        <f ca="1">IF(ISERROR(OFFSET('HARGA SATUAN'!$D$6,MATCH(RAB!C59,'HARGA SATUAN'!$C$7:$C$1492,0),0)),"",OFFSET('HARGA SATUAN'!$D$6,MATCH(RAB!C59,'HARGA SATUAN'!$C$7:$C$1492,0),0))</f>
        <v>HDW</v>
      </c>
      <c r="E59" s="315" t="str">
        <f ca="1">IF(B59="+","Unit",IF(ISERROR(OFFSET('HARGA SATUAN'!$E$6,MATCH(RAB!C59,'HARGA SATUAN'!$C$7:$C$1492,0),0)),"",OFFSET('HARGA SATUAN'!$E$6,MATCH(RAB!C59,'HARGA SATUAN'!$C$7:$C$1492,0),0)))</f>
        <v>Mtr</v>
      </c>
      <c r="F59" s="434">
        <f>F56*1</f>
        <v>2</v>
      </c>
      <c r="G59" s="316">
        <f ca="1">IF(ISERROR(OFFSET('HARGA SATUAN'!$I$6,MATCH(RAB!C59,'HARGA SATUAN'!$C$7:$C$1492,0),0)),0,OFFSET('HARGA SATUAN'!$I$6,MATCH(RAB!C59,'HARGA SATUAN'!$C$7:$C$1492,0),0))</f>
        <v>23310</v>
      </c>
      <c r="H59" s="317">
        <f t="shared" ca="1" si="12"/>
        <v>0</v>
      </c>
      <c r="I59" s="317">
        <f t="shared" ca="1" si="13"/>
        <v>46620</v>
      </c>
      <c r="J59" s="317">
        <f t="shared" ca="1" si="14"/>
        <v>0</v>
      </c>
      <c r="K59" s="318">
        <f t="shared" ca="1" si="15"/>
        <v>46620</v>
      </c>
      <c r="L59" s="323"/>
      <c r="M59" s="323"/>
      <c r="N59" s="323"/>
      <c r="O59" s="319"/>
      <c r="P59" s="319"/>
      <c r="Q59" s="302"/>
      <c r="R59" s="294"/>
      <c r="S59" s="320"/>
      <c r="T59" s="299"/>
      <c r="U59" s="299"/>
      <c r="V59" s="299"/>
    </row>
    <row r="60" spans="1:22" s="324" customFormat="1">
      <c r="A60" s="294"/>
      <c r="B60" s="439">
        <v>4</v>
      </c>
      <c r="C60" s="440" t="s">
        <v>35</v>
      </c>
      <c r="D60" s="314" t="str">
        <f ca="1">IF(ISERROR(OFFSET('HARGA SATUAN'!$D$6,MATCH(RAB!C60,'HARGA SATUAN'!$C$7:$C$1492,0),0)),"",OFFSET('HARGA SATUAN'!$D$6,MATCH(RAB!C60,'HARGA SATUAN'!$C$7:$C$1492,0),0))</f>
        <v>HDW</v>
      </c>
      <c r="E60" s="315" t="str">
        <f ca="1">IF(B60="+","Unit",IF(ISERROR(OFFSET('HARGA SATUAN'!$E$6,MATCH(RAB!C60,'HARGA SATUAN'!$C$7:$C$1492,0),0)),"",OFFSET('HARGA SATUAN'!$E$6,MATCH(RAB!C60,'HARGA SATUAN'!$C$7:$C$1492,0),0)))</f>
        <v>Bh</v>
      </c>
      <c r="F60" s="434">
        <f>F56*1</f>
        <v>2</v>
      </c>
      <c r="G60" s="316">
        <f ca="1">IF(ISERROR(OFFSET('HARGA SATUAN'!$I$6,MATCH(RAB!C60,'HARGA SATUAN'!$C$7:$C$1492,0),0)),0,OFFSET('HARGA SATUAN'!$I$6,MATCH(RAB!C60,'HARGA SATUAN'!$C$7:$C$1492,0),0))</f>
        <v>2300</v>
      </c>
      <c r="H60" s="317">
        <f t="shared" ref="H60:H80" ca="1" si="16">IF(OR(D60="MDU",D60="MDU-KD"),(IF($O$3="RAB NON MDU","PLN KD",G60*F60)),0)</f>
        <v>0</v>
      </c>
      <c r="I60" s="317">
        <f t="shared" ref="I60:I80" ca="1" si="17">IF(D60="HDW",G60*F60,0)</f>
        <v>4600</v>
      </c>
      <c r="J60" s="317">
        <f t="shared" ref="J60:J80" ca="1" si="18">IF(D60="JASA",G60*F60,0)</f>
        <v>0</v>
      </c>
      <c r="K60" s="318">
        <f t="shared" ref="K60:K80" ca="1" si="19">SUM(H60:J60)</f>
        <v>4600</v>
      </c>
      <c r="L60" s="323"/>
      <c r="M60" s="323"/>
      <c r="N60" s="323"/>
      <c r="O60" s="319"/>
      <c r="P60" s="319"/>
      <c r="Q60" s="302"/>
      <c r="R60" s="294"/>
      <c r="S60" s="320"/>
      <c r="T60" s="299"/>
      <c r="U60" s="299"/>
      <c r="V60" s="299"/>
    </row>
    <row r="61" spans="1:22" s="324" customFormat="1">
      <c r="A61" s="294"/>
      <c r="B61" s="439">
        <v>5</v>
      </c>
      <c r="C61" s="440" t="s">
        <v>629</v>
      </c>
      <c r="D61" s="314" t="str">
        <f ca="1">IF(ISERROR(OFFSET('HARGA SATUAN'!$D$6,MATCH(RAB!C61,'HARGA SATUAN'!$C$7:$C$1492,0),0)),"",OFFSET('HARGA SATUAN'!$D$6,MATCH(RAB!C61,'HARGA SATUAN'!$C$7:$C$1492,0),0))</f>
        <v>JASA</v>
      </c>
      <c r="E61" s="315" t="str">
        <f ca="1">IF(B61="+","Unit",IF(ISERROR(OFFSET('HARGA SATUAN'!$E$6,MATCH(RAB!C61,'HARGA SATUAN'!$C$7:$C$1492,0),0)),"",OFFSET('HARGA SATUAN'!$E$6,MATCH(RAB!C61,'HARGA SATUAN'!$C$7:$C$1492,0),0)))</f>
        <v>Unit</v>
      </c>
      <c r="F61" s="434">
        <f>F56*1</f>
        <v>2</v>
      </c>
      <c r="G61" s="316">
        <f ca="1">IF(ISERROR(OFFSET('HARGA SATUAN'!$I$6,MATCH(RAB!C61,'HARGA SATUAN'!$C$7:$C$1492,0),0)),0,OFFSET('HARGA SATUAN'!$I$6,MATCH(RAB!C61,'HARGA SATUAN'!$C$7:$C$1492,0),0))</f>
        <v>35700</v>
      </c>
      <c r="H61" s="317">
        <f t="shared" ca="1" si="16"/>
        <v>0</v>
      </c>
      <c r="I61" s="317">
        <f t="shared" ca="1" si="17"/>
        <v>0</v>
      </c>
      <c r="J61" s="317">
        <f t="shared" ca="1" si="18"/>
        <v>71400</v>
      </c>
      <c r="K61" s="318">
        <f t="shared" ca="1" si="19"/>
        <v>71400</v>
      </c>
      <c r="L61" s="323"/>
      <c r="M61" s="323"/>
      <c r="N61" s="323"/>
      <c r="O61" s="319"/>
      <c r="P61" s="319"/>
      <c r="Q61" s="302"/>
      <c r="R61" s="294"/>
      <c r="S61" s="320"/>
      <c r="T61" s="299"/>
      <c r="U61" s="299"/>
      <c r="V61" s="299"/>
    </row>
    <row r="62" spans="1:22" s="324" customFormat="1">
      <c r="A62" s="294"/>
      <c r="B62" s="439">
        <v>6</v>
      </c>
      <c r="C62" s="109" t="s">
        <v>813</v>
      </c>
      <c r="D62" s="314" t="str">
        <f ca="1">IF(ISERROR(OFFSET('HARGA SATUAN'!$D$6,MATCH(RAB!C62,'HARGA SATUAN'!$C$7:$C$1492,0),0)),"",OFFSET('HARGA SATUAN'!$D$6,MATCH(RAB!C62,'HARGA SATUAN'!$C$7:$C$1492,0),0))</f>
        <v>JASA</v>
      </c>
      <c r="E62" s="315" t="str">
        <f ca="1">IF(B62="+","Unit",IF(ISERROR(OFFSET('HARGA SATUAN'!$E$6,MATCH(RAB!C62,'HARGA SATUAN'!$C$7:$C$1492,0),0)),"",OFFSET('HARGA SATUAN'!$E$6,MATCH(RAB!C62,'HARGA SATUAN'!$C$7:$C$1492,0),0)))</f>
        <v>Unit</v>
      </c>
      <c r="F62" s="434">
        <v>2</v>
      </c>
      <c r="G62" s="316">
        <f ca="1">IF(ISERROR(OFFSET('HARGA SATUAN'!$I$6,MATCH(RAB!C62,'HARGA SATUAN'!$C$7:$C$1492,0),0)),0,OFFSET('HARGA SATUAN'!$I$6,MATCH(RAB!C62,'HARGA SATUAN'!$C$7:$C$1492,0),0))</f>
        <v>18180</v>
      </c>
      <c r="H62" s="317">
        <f t="shared" ca="1" si="16"/>
        <v>0</v>
      </c>
      <c r="I62" s="317">
        <f t="shared" ca="1" si="17"/>
        <v>0</v>
      </c>
      <c r="J62" s="317">
        <f t="shared" ca="1" si="18"/>
        <v>36360</v>
      </c>
      <c r="K62" s="318">
        <f t="shared" ca="1" si="19"/>
        <v>36360</v>
      </c>
      <c r="L62" s="323"/>
      <c r="M62" s="323"/>
      <c r="N62" s="323"/>
      <c r="O62" s="319"/>
      <c r="P62" s="319"/>
      <c r="Q62" s="302"/>
      <c r="R62" s="294"/>
      <c r="S62" s="320"/>
      <c r="T62" s="299"/>
      <c r="U62" s="299"/>
      <c r="V62" s="299"/>
    </row>
    <row r="63" spans="1:22" s="324" customFormat="1">
      <c r="A63" s="294"/>
      <c r="B63" s="437">
        <v>7</v>
      </c>
      <c r="C63" s="109" t="s">
        <v>813</v>
      </c>
      <c r="D63" s="314" t="str">
        <f ca="1">IF(ISERROR(OFFSET('HARGA SATUAN'!$D$6,MATCH(RAB!C63,'HARGA SATUAN'!$C$7:$C$1492,0),0)),"",OFFSET('HARGA SATUAN'!$D$6,MATCH(RAB!C63,'HARGA SATUAN'!$C$7:$C$1492,0),0))</f>
        <v>JASA</v>
      </c>
      <c r="E63" s="315" t="str">
        <f ca="1">IF(B63="+","Unit",IF(ISERROR(OFFSET('HARGA SATUAN'!$E$6,MATCH(RAB!C63,'HARGA SATUAN'!$C$7:$C$1492,0),0)),"",OFFSET('HARGA SATUAN'!$E$6,MATCH(RAB!C63,'HARGA SATUAN'!$C$7:$C$1492,0),0)))</f>
        <v>Unit</v>
      </c>
      <c r="F63" s="434">
        <v>2</v>
      </c>
      <c r="G63" s="316">
        <f ca="1">IF(ISERROR(OFFSET('HARGA SATUAN'!$I$6,MATCH(RAB!C63,'HARGA SATUAN'!$C$7:$C$1492,0),0)),0,OFFSET('HARGA SATUAN'!$I$6,MATCH(RAB!C63,'HARGA SATUAN'!$C$7:$C$1492,0),0))</f>
        <v>18180</v>
      </c>
      <c r="H63" s="317">
        <f t="shared" ca="1" si="16"/>
        <v>0</v>
      </c>
      <c r="I63" s="317">
        <f t="shared" ca="1" si="17"/>
        <v>0</v>
      </c>
      <c r="J63" s="317">
        <f t="shared" ca="1" si="18"/>
        <v>36360</v>
      </c>
      <c r="K63" s="318">
        <f t="shared" ca="1" si="19"/>
        <v>36360</v>
      </c>
      <c r="L63" s="323"/>
      <c r="M63" s="323"/>
      <c r="N63" s="323"/>
      <c r="O63" s="319"/>
      <c r="P63" s="319"/>
      <c r="Q63" s="302"/>
      <c r="R63" s="294"/>
      <c r="S63" s="320"/>
      <c r="T63" s="299"/>
      <c r="U63" s="299"/>
      <c r="V63" s="299"/>
    </row>
    <row r="64" spans="1:22" s="324" customFormat="1">
      <c r="A64" s="294"/>
      <c r="B64" s="444"/>
      <c r="C64" s="708"/>
      <c r="D64" s="314" t="str">
        <f ca="1">IF(ISERROR(OFFSET('HARGA SATUAN'!$D$6,MATCH(RAB!C64,'HARGA SATUAN'!$C$7:$C$1492,0),0)),"",OFFSET('HARGA SATUAN'!$D$6,MATCH(RAB!C64,'HARGA SATUAN'!$C$7:$C$1492,0),0))</f>
        <v/>
      </c>
      <c r="E64" s="315" t="str">
        <f ca="1">IF(B64="+","Unit",IF(ISERROR(OFFSET('HARGA SATUAN'!$E$6,MATCH(RAB!C64,'HARGA SATUAN'!$C$7:$C$1492,0),0)),"",OFFSET('HARGA SATUAN'!$E$6,MATCH(RAB!C64,'HARGA SATUAN'!$C$7:$C$1492,0),0)))</f>
        <v/>
      </c>
      <c r="F64" s="434"/>
      <c r="G64" s="316">
        <f ca="1">IF(ISERROR(OFFSET('HARGA SATUAN'!$I$6,MATCH(RAB!C64,'HARGA SATUAN'!$C$7:$C$1492,0),0)),0,OFFSET('HARGA SATUAN'!$I$6,MATCH(RAB!C64,'HARGA SATUAN'!$C$7:$C$1492,0),0))</f>
        <v>0</v>
      </c>
      <c r="H64" s="317">
        <f t="shared" ref="H64" ca="1" si="20">IF(OR(D64="MDU",D64="MDU-KD"),(IF($O$3="RAB NON MDU","PLN KD",G64*F64)),0)</f>
        <v>0</v>
      </c>
      <c r="I64" s="317">
        <f t="shared" ref="I64" ca="1" si="21">IF(D64="HDW",G64*F64,0)</f>
        <v>0</v>
      </c>
      <c r="J64" s="317">
        <f t="shared" ref="J64" ca="1" si="22">IF(D64="JASA",G64*F64,0)</f>
        <v>0</v>
      </c>
      <c r="K64" s="318">
        <f t="shared" ref="K64" ca="1" si="23">SUM(H64:J64)</f>
        <v>0</v>
      </c>
      <c r="L64" s="323"/>
      <c r="M64" s="323"/>
      <c r="N64" s="323"/>
      <c r="O64" s="319"/>
      <c r="P64" s="319"/>
      <c r="Q64" s="302"/>
      <c r="R64" s="294"/>
      <c r="S64" s="320"/>
      <c r="T64" s="299"/>
      <c r="U64" s="299"/>
      <c r="V64" s="299"/>
    </row>
    <row r="65" spans="1:22" s="324" customFormat="1">
      <c r="A65" s="294"/>
      <c r="B65" s="444" t="s">
        <v>1034</v>
      </c>
      <c r="C65" s="708" t="s">
        <v>1627</v>
      </c>
      <c r="D65" s="314" t="str">
        <f ca="1">IF(ISERROR(OFFSET('HARGA SATUAN'!$D$6,MATCH(RAB!C65,'HARGA SATUAN'!$C$7:$C$1492,0),0)),"",OFFSET('HARGA SATUAN'!$D$6,MATCH(RAB!C65,'HARGA SATUAN'!$C$7:$C$1492,0),0))</f>
        <v/>
      </c>
      <c r="E65" s="315" t="str">
        <f ca="1">IF(B65="+","Unit",IF(ISERROR(OFFSET('HARGA SATUAN'!$E$6,MATCH(RAB!C65,'HARGA SATUAN'!$C$7:$C$1492,0),0)),"",OFFSET('HARGA SATUAN'!$E$6,MATCH(RAB!C65,'HARGA SATUAN'!$C$7:$C$1492,0),0)))</f>
        <v>Unit</v>
      </c>
      <c r="F65" s="434">
        <v>3</v>
      </c>
      <c r="G65" s="316">
        <f ca="1">IF(ISERROR(OFFSET('HARGA SATUAN'!$I$6,MATCH(RAB!C65,'HARGA SATUAN'!$C$7:$C$1492,0),0)),0,OFFSET('HARGA SATUAN'!$I$6,MATCH(RAB!C65,'HARGA SATUAN'!$C$7:$C$1492,0),0))</f>
        <v>0</v>
      </c>
      <c r="H65" s="317">
        <f t="shared" ca="1" si="16"/>
        <v>0</v>
      </c>
      <c r="I65" s="317">
        <f t="shared" ca="1" si="17"/>
        <v>0</v>
      </c>
      <c r="J65" s="317">
        <f t="shared" ca="1" si="18"/>
        <v>0</v>
      </c>
      <c r="K65" s="318">
        <f t="shared" ca="1" si="19"/>
        <v>0</v>
      </c>
      <c r="L65" s="323"/>
      <c r="M65" s="323"/>
      <c r="N65" s="323"/>
      <c r="O65" s="319"/>
      <c r="P65" s="319"/>
      <c r="Q65" s="302"/>
      <c r="R65" s="294"/>
      <c r="S65" s="320"/>
      <c r="T65" s="299"/>
      <c r="U65" s="299"/>
      <c r="V65" s="299"/>
    </row>
    <row r="66" spans="1:22" s="324" customFormat="1">
      <c r="A66" s="294"/>
      <c r="B66" s="444">
        <v>1</v>
      </c>
      <c r="C66" s="708" t="s">
        <v>229</v>
      </c>
      <c r="D66" s="314" t="str">
        <f ca="1">IF(ISERROR(OFFSET('HARGA SATUAN'!$D$6,MATCH(RAB!C66,'HARGA SATUAN'!$C$7:$C$1492,0),0)),"",OFFSET('HARGA SATUAN'!$D$6,MATCH(RAB!C66,'HARGA SATUAN'!$C$7:$C$1492,0),0))</f>
        <v>HDW</v>
      </c>
      <c r="E66" s="315" t="str">
        <f ca="1">IF(B66="+","Unit",IF(ISERROR(OFFSET('HARGA SATUAN'!$E$6,MATCH(RAB!C66,'HARGA SATUAN'!$C$7:$C$1492,0),0)),"",OFFSET('HARGA SATUAN'!$E$6,MATCH(RAB!C66,'HARGA SATUAN'!$C$7:$C$1492,0),0)))</f>
        <v>Bh</v>
      </c>
      <c r="F66" s="434">
        <f>F65*1</f>
        <v>3</v>
      </c>
      <c r="G66" s="316">
        <f ca="1">IF(ISERROR(OFFSET('HARGA SATUAN'!$I$6,MATCH(RAB!C66,'HARGA SATUAN'!$C$7:$C$1492,0),0)),0,OFFSET('HARGA SATUAN'!$I$6,MATCH(RAB!C66,'HARGA SATUAN'!$C$7:$C$1492,0),0))</f>
        <v>4212</v>
      </c>
      <c r="H66" s="317">
        <f t="shared" ca="1" si="16"/>
        <v>0</v>
      </c>
      <c r="I66" s="317">
        <f t="shared" ca="1" si="17"/>
        <v>12636</v>
      </c>
      <c r="J66" s="317">
        <f t="shared" ca="1" si="18"/>
        <v>0</v>
      </c>
      <c r="K66" s="318">
        <f t="shared" ca="1" si="19"/>
        <v>12636</v>
      </c>
      <c r="L66" s="323"/>
      <c r="M66" s="323"/>
      <c r="N66" s="323"/>
      <c r="O66" s="319"/>
      <c r="P66" s="319"/>
      <c r="Q66" s="302"/>
      <c r="R66" s="294"/>
      <c r="S66" s="320"/>
      <c r="T66" s="299"/>
      <c r="U66" s="299"/>
      <c r="V66" s="299"/>
    </row>
    <row r="67" spans="1:22" s="324" customFormat="1">
      <c r="A67" s="294"/>
      <c r="B67" s="444">
        <v>2</v>
      </c>
      <c r="C67" s="708" t="s">
        <v>266</v>
      </c>
      <c r="D67" s="314" t="str">
        <f ca="1">IF(ISERROR(OFFSET('HARGA SATUAN'!$D$6,MATCH(RAB!C67,'HARGA SATUAN'!$C$7:$C$1492,0),0)),"",OFFSET('HARGA SATUAN'!$D$6,MATCH(RAB!C67,'HARGA SATUAN'!$C$7:$C$1492,0),0))</f>
        <v>HDW</v>
      </c>
      <c r="E67" s="315" t="str">
        <f ca="1">IF(B67="+","Unit",IF(ISERROR(OFFSET('HARGA SATUAN'!$E$6,MATCH(RAB!C67,'HARGA SATUAN'!$C$7:$C$1492,0),0)),"",OFFSET('HARGA SATUAN'!$E$6,MATCH(RAB!C67,'HARGA SATUAN'!$C$7:$C$1492,0),0)))</f>
        <v>Mtr</v>
      </c>
      <c r="F67" s="434">
        <f>F65*1</f>
        <v>3</v>
      </c>
      <c r="G67" s="316">
        <f ca="1">IF(ISERROR(OFFSET('HARGA SATUAN'!$I$6,MATCH(RAB!C67,'HARGA SATUAN'!$C$7:$C$1492,0),0)),0,OFFSET('HARGA SATUAN'!$I$6,MATCH(RAB!C67,'HARGA SATUAN'!$C$7:$C$1492,0),0))</f>
        <v>23310</v>
      </c>
      <c r="H67" s="317">
        <f t="shared" ca="1" si="16"/>
        <v>0</v>
      </c>
      <c r="I67" s="317">
        <f t="shared" ca="1" si="17"/>
        <v>69930</v>
      </c>
      <c r="J67" s="317">
        <f t="shared" ca="1" si="18"/>
        <v>0</v>
      </c>
      <c r="K67" s="318">
        <f t="shared" ca="1" si="19"/>
        <v>69930</v>
      </c>
      <c r="L67" s="323"/>
      <c r="M67" s="323"/>
      <c r="N67" s="323"/>
      <c r="O67" s="319"/>
      <c r="P67" s="319"/>
      <c r="Q67" s="302"/>
      <c r="R67" s="294"/>
      <c r="S67" s="320"/>
      <c r="T67" s="299"/>
      <c r="U67" s="299"/>
      <c r="V67" s="299"/>
    </row>
    <row r="68" spans="1:22" s="324" customFormat="1">
      <c r="A68" s="294"/>
      <c r="B68" s="444">
        <v>3</v>
      </c>
      <c r="C68" s="708" t="s">
        <v>35</v>
      </c>
      <c r="D68" s="314" t="str">
        <f ca="1">IF(ISERROR(OFFSET('HARGA SATUAN'!$D$6,MATCH(RAB!C68,'HARGA SATUAN'!$C$7:$C$1492,0),0)),"",OFFSET('HARGA SATUAN'!$D$6,MATCH(RAB!C68,'HARGA SATUAN'!$C$7:$C$1492,0),0))</f>
        <v>HDW</v>
      </c>
      <c r="E68" s="315" t="str">
        <f ca="1">IF(B68="+","Unit",IF(ISERROR(OFFSET('HARGA SATUAN'!$E$6,MATCH(RAB!C68,'HARGA SATUAN'!$C$7:$C$1492,0),0)),"",OFFSET('HARGA SATUAN'!$E$6,MATCH(RAB!C68,'HARGA SATUAN'!$C$7:$C$1492,0),0)))</f>
        <v>Bh</v>
      </c>
      <c r="F68" s="434">
        <f>F65*1</f>
        <v>3</v>
      </c>
      <c r="G68" s="316">
        <f ca="1">IF(ISERROR(OFFSET('HARGA SATUAN'!$I$6,MATCH(RAB!C68,'HARGA SATUAN'!$C$7:$C$1492,0),0)),0,OFFSET('HARGA SATUAN'!$I$6,MATCH(RAB!C68,'HARGA SATUAN'!$C$7:$C$1492,0),0))</f>
        <v>2300</v>
      </c>
      <c r="H68" s="317">
        <f t="shared" ref="H68:H72" ca="1" si="24">IF(OR(D68="MDU",D68="MDU-KD"),(IF($O$3="RAB NON MDU","PLN KD",G68*F68)),0)</f>
        <v>0</v>
      </c>
      <c r="I68" s="317">
        <f t="shared" ref="I68:I72" ca="1" si="25">IF(D68="HDW",G68*F68,0)</f>
        <v>6900</v>
      </c>
      <c r="J68" s="317">
        <f t="shared" ref="J68:J72" ca="1" si="26">IF(D68="JASA",G68*F68,0)</f>
        <v>0</v>
      </c>
      <c r="K68" s="318">
        <f t="shared" ref="K68:K72" ca="1" si="27">SUM(H68:J68)</f>
        <v>6900</v>
      </c>
      <c r="L68" s="323"/>
      <c r="M68" s="323"/>
      <c r="N68" s="323"/>
      <c r="O68" s="319"/>
      <c r="P68" s="319"/>
      <c r="Q68" s="302"/>
      <c r="R68" s="294"/>
      <c r="S68" s="320"/>
      <c r="T68" s="299"/>
      <c r="U68" s="299"/>
      <c r="V68" s="299"/>
    </row>
    <row r="69" spans="1:22" s="324" customFormat="1">
      <c r="A69" s="294"/>
      <c r="B69" s="444">
        <v>4</v>
      </c>
      <c r="C69" s="708" t="s">
        <v>608</v>
      </c>
      <c r="D69" s="314" t="str">
        <f ca="1">IF(ISERROR(OFFSET('HARGA SATUAN'!$D$6,MATCH(RAB!C69,'HARGA SATUAN'!$C$7:$C$1492,0),0)),"",OFFSET('HARGA SATUAN'!$D$6,MATCH(RAB!C69,'HARGA SATUAN'!$C$7:$C$1492,0),0))</f>
        <v>HDW</v>
      </c>
      <c r="E69" s="315" t="str">
        <f ca="1">IF(B69="+","Unit",IF(ISERROR(OFFSET('HARGA SATUAN'!$E$6,MATCH(RAB!C69,'HARGA SATUAN'!$C$7:$C$1492,0),0)),"",OFFSET('HARGA SATUAN'!$E$6,MATCH(RAB!C69,'HARGA SATUAN'!$C$7:$C$1492,0),0)))</f>
        <v>Bh</v>
      </c>
      <c r="F69" s="434">
        <f>F65*1</f>
        <v>3</v>
      </c>
      <c r="G69" s="316">
        <f ca="1">IF(ISERROR(OFFSET('HARGA SATUAN'!$I$6,MATCH(RAB!C69,'HARGA SATUAN'!$C$7:$C$1492,0),0)),0,OFFSET('HARGA SATUAN'!$I$6,MATCH(RAB!C69,'HARGA SATUAN'!$C$7:$C$1492,0),0))</f>
        <v>71000</v>
      </c>
      <c r="H69" s="317">
        <f t="shared" ca="1" si="24"/>
        <v>0</v>
      </c>
      <c r="I69" s="317">
        <f t="shared" ca="1" si="25"/>
        <v>213000</v>
      </c>
      <c r="J69" s="317">
        <f t="shared" ca="1" si="26"/>
        <v>0</v>
      </c>
      <c r="K69" s="318">
        <f t="shared" ca="1" si="27"/>
        <v>213000</v>
      </c>
      <c r="L69" s="323"/>
      <c r="M69" s="323"/>
      <c r="N69" s="323"/>
      <c r="O69" s="319"/>
      <c r="P69" s="319"/>
      <c r="Q69" s="302"/>
      <c r="R69" s="294"/>
      <c r="S69" s="320"/>
      <c r="T69" s="299"/>
      <c r="U69" s="299"/>
      <c r="V69" s="299"/>
    </row>
    <row r="70" spans="1:22" s="324" customFormat="1">
      <c r="A70" s="294"/>
      <c r="B70" s="437">
        <v>5</v>
      </c>
      <c r="C70" s="707" t="s">
        <v>628</v>
      </c>
      <c r="D70" s="314" t="str">
        <f ca="1">IF(ISERROR(OFFSET('HARGA SATUAN'!$D$6,MATCH(RAB!C70,'HARGA SATUAN'!$C$7:$C$1492,0),0)),"",OFFSET('HARGA SATUAN'!$D$6,MATCH(RAB!C70,'HARGA SATUAN'!$C$7:$C$1492,0),0))</f>
        <v>JASA</v>
      </c>
      <c r="E70" s="315" t="str">
        <f ca="1">IF(B70="+","Unit",IF(ISERROR(OFFSET('HARGA SATUAN'!$E$6,MATCH(RAB!C70,'HARGA SATUAN'!$C$7:$C$1492,0),0)),"",OFFSET('HARGA SATUAN'!$E$6,MATCH(RAB!C70,'HARGA SATUAN'!$C$7:$C$1492,0),0)))</f>
        <v>Unit</v>
      </c>
      <c r="F70" s="434">
        <v>3</v>
      </c>
      <c r="G70" s="316">
        <f ca="1">IF(ISERROR(OFFSET('HARGA SATUAN'!$I$6,MATCH(RAB!C70,'HARGA SATUAN'!$C$7:$C$1492,0),0)),0,OFFSET('HARGA SATUAN'!$I$6,MATCH(RAB!C70,'HARGA SATUAN'!$C$7:$C$1492,0),0))</f>
        <v>29400</v>
      </c>
      <c r="H70" s="317">
        <f t="shared" ca="1" si="24"/>
        <v>0</v>
      </c>
      <c r="I70" s="317">
        <f t="shared" ca="1" si="25"/>
        <v>0</v>
      </c>
      <c r="J70" s="317">
        <f t="shared" ca="1" si="26"/>
        <v>88200</v>
      </c>
      <c r="K70" s="318">
        <f t="shared" ca="1" si="27"/>
        <v>88200</v>
      </c>
      <c r="L70" s="323"/>
      <c r="M70" s="323"/>
      <c r="N70" s="323"/>
      <c r="O70" s="319"/>
      <c r="P70" s="319"/>
      <c r="Q70" s="302"/>
      <c r="R70" s="294"/>
      <c r="S70" s="320"/>
      <c r="T70" s="299"/>
      <c r="U70" s="299"/>
      <c r="V70" s="299"/>
    </row>
    <row r="71" spans="1:22" s="324" customFormat="1">
      <c r="A71" s="294"/>
      <c r="B71" s="437">
        <v>6</v>
      </c>
      <c r="C71" s="109" t="s">
        <v>812</v>
      </c>
      <c r="D71" s="314" t="str">
        <f ca="1">IF(ISERROR(OFFSET('HARGA SATUAN'!$D$6,MATCH(RAB!C71,'HARGA SATUAN'!$C$7:$C$1492,0),0)),"",OFFSET('HARGA SATUAN'!$D$6,MATCH(RAB!C71,'HARGA SATUAN'!$C$7:$C$1492,0),0))</f>
        <v>JASA</v>
      </c>
      <c r="E71" s="315" t="str">
        <f ca="1">IF(B71="+","Unit",IF(ISERROR(OFFSET('HARGA SATUAN'!$E$6,MATCH(RAB!C71,'HARGA SATUAN'!$C$7:$C$1492,0),0)),"",OFFSET('HARGA SATUAN'!$E$6,MATCH(RAB!C71,'HARGA SATUAN'!$C$7:$C$1492,0),0)))</f>
        <v>Unit</v>
      </c>
      <c r="F71" s="434">
        <v>3</v>
      </c>
      <c r="G71" s="316">
        <f ca="1">IF(ISERROR(OFFSET('HARGA SATUAN'!$I$6,MATCH(RAB!C71,'HARGA SATUAN'!$C$7:$C$1492,0),0)),0,OFFSET('HARGA SATUAN'!$I$6,MATCH(RAB!C71,'HARGA SATUAN'!$C$7:$C$1492,0),0))</f>
        <v>13320</v>
      </c>
      <c r="H71" s="317">
        <f t="shared" ca="1" si="24"/>
        <v>0</v>
      </c>
      <c r="I71" s="317">
        <f t="shared" ca="1" si="25"/>
        <v>0</v>
      </c>
      <c r="J71" s="317">
        <f t="shared" ca="1" si="26"/>
        <v>39960</v>
      </c>
      <c r="K71" s="318">
        <f t="shared" ca="1" si="27"/>
        <v>39960</v>
      </c>
      <c r="L71" s="323"/>
      <c r="M71" s="323"/>
      <c r="N71" s="323"/>
      <c r="O71" s="319"/>
      <c r="P71" s="319"/>
      <c r="Q71" s="302"/>
      <c r="R71" s="294"/>
      <c r="S71" s="320"/>
      <c r="T71" s="299"/>
      <c r="U71" s="299"/>
      <c r="V71" s="299"/>
    </row>
    <row r="72" spans="1:22" s="324" customFormat="1">
      <c r="A72" s="294"/>
      <c r="B72" s="437"/>
      <c r="C72" s="109"/>
      <c r="D72" s="314" t="str">
        <f ca="1">IF(ISERROR(OFFSET('HARGA SATUAN'!$D$6,MATCH(RAB!C72,'HARGA SATUAN'!$C$7:$C$1492,0),0)),"",OFFSET('HARGA SATUAN'!$D$6,MATCH(RAB!C72,'HARGA SATUAN'!$C$7:$C$1492,0),0))</f>
        <v/>
      </c>
      <c r="E72" s="315" t="str">
        <f ca="1">IF(B72="+","Unit",IF(ISERROR(OFFSET('HARGA SATUAN'!$E$6,MATCH(RAB!C72,'HARGA SATUAN'!$C$7:$C$1492,0),0)),"",OFFSET('HARGA SATUAN'!$E$6,MATCH(RAB!C72,'HARGA SATUAN'!$C$7:$C$1492,0),0)))</f>
        <v/>
      </c>
      <c r="F72" s="434"/>
      <c r="G72" s="316">
        <f ca="1">IF(ISERROR(OFFSET('HARGA SATUAN'!$I$6,MATCH(RAB!C72,'HARGA SATUAN'!$C$7:$C$1492,0),0)),0,OFFSET('HARGA SATUAN'!$I$6,MATCH(RAB!C72,'HARGA SATUAN'!$C$7:$C$1492,0),0))</f>
        <v>0</v>
      </c>
      <c r="H72" s="317">
        <f t="shared" ca="1" si="24"/>
        <v>0</v>
      </c>
      <c r="I72" s="317">
        <f t="shared" ca="1" si="25"/>
        <v>0</v>
      </c>
      <c r="J72" s="317">
        <f t="shared" ca="1" si="26"/>
        <v>0</v>
      </c>
      <c r="K72" s="318">
        <f t="shared" ca="1" si="27"/>
        <v>0</v>
      </c>
      <c r="L72" s="323"/>
      <c r="M72" s="323"/>
      <c r="N72" s="323"/>
      <c r="O72" s="319"/>
      <c r="P72" s="319"/>
      <c r="Q72" s="302"/>
      <c r="R72" s="294"/>
      <c r="S72" s="320"/>
      <c r="T72" s="299"/>
      <c r="U72" s="299"/>
      <c r="V72" s="299"/>
    </row>
    <row r="73" spans="1:22" s="324" customFormat="1">
      <c r="A73" s="294"/>
      <c r="B73" s="437">
        <v>1</v>
      </c>
      <c r="C73" s="109" t="s">
        <v>1457</v>
      </c>
      <c r="D73" s="314" t="str">
        <f ca="1">IF(ISERROR(OFFSET('HARGA SATUAN'!$D$6,MATCH(RAB!C73,'HARGA SATUAN'!$C$7:$C$1492,0),0)),"",OFFSET('HARGA SATUAN'!$D$6,MATCH(RAB!C73,'HARGA SATUAN'!$C$7:$C$1492,0),0))</f>
        <v>MDU-KD</v>
      </c>
      <c r="E73" s="315" t="str">
        <f ca="1">IF(B73="+","Unit",IF(ISERROR(OFFSET('HARGA SATUAN'!$E$6,MATCH(RAB!C73,'HARGA SATUAN'!$C$7:$C$1492,0),0)),"",OFFSET('HARGA SATUAN'!$E$6,MATCH(RAB!C73,'HARGA SATUAN'!$C$7:$C$1492,0),0)))</f>
        <v>Mtr</v>
      </c>
      <c r="F73" s="434">
        <v>210</v>
      </c>
      <c r="G73" s="316">
        <f ca="1">IF(ISERROR(OFFSET('HARGA SATUAN'!$I$6,MATCH(RAB!C73,'HARGA SATUAN'!$C$7:$C$1492,0),0)),0,OFFSET('HARGA SATUAN'!$I$6,MATCH(RAB!C73,'HARGA SATUAN'!$C$7:$C$1492,0),0))</f>
        <v>54500</v>
      </c>
      <c r="H73" s="317">
        <f t="shared" ref="H73:H76" ca="1" si="28">IF(OR(D73="MDU",D73="MDU-KD"),(IF($O$3="RAB NON MDU","PLN KD",G73*F73)),0)</f>
        <v>11445000</v>
      </c>
      <c r="I73" s="317">
        <f t="shared" ref="I73:I76" ca="1" si="29">IF(D73="HDW",G73*F73,0)</f>
        <v>0</v>
      </c>
      <c r="J73" s="317">
        <f t="shared" ref="J73:J76" ca="1" si="30">IF(D73="JASA",G73*F73,0)</f>
        <v>0</v>
      </c>
      <c r="K73" s="318">
        <f t="shared" ref="K73:K76" ca="1" si="31">SUM(H73:J73)</f>
        <v>11445000</v>
      </c>
      <c r="L73" s="323"/>
      <c r="M73" s="323"/>
      <c r="N73" s="323"/>
      <c r="O73" s="319"/>
      <c r="P73" s="319"/>
      <c r="Q73" s="302"/>
      <c r="R73" s="294"/>
      <c r="S73" s="320"/>
      <c r="T73" s="299"/>
      <c r="U73" s="299"/>
      <c r="V73" s="299"/>
    </row>
    <row r="74" spans="1:22" s="324" customFormat="1">
      <c r="A74" s="294"/>
      <c r="B74" s="437">
        <v>2</v>
      </c>
      <c r="C74" s="109" t="s">
        <v>346</v>
      </c>
      <c r="D74" s="314" t="str">
        <f ca="1">IF(ISERROR(OFFSET('HARGA SATUAN'!$D$6,MATCH(RAB!C74,'HARGA SATUAN'!$C$7:$C$1492,0),0)),"",OFFSET('HARGA SATUAN'!$D$6,MATCH(RAB!C74,'HARGA SATUAN'!$C$7:$C$1492,0),0))</f>
        <v>JASA</v>
      </c>
      <c r="E74" s="315" t="str">
        <f ca="1">IF(B74="+","Unit",IF(ISERROR(OFFSET('HARGA SATUAN'!$E$6,MATCH(RAB!C74,'HARGA SATUAN'!$C$7:$C$1492,0),0)),"",OFFSET('HARGA SATUAN'!$E$6,MATCH(RAB!C74,'HARGA SATUAN'!$C$7:$C$1492,0),0)))</f>
        <v>Per 50 m</v>
      </c>
      <c r="F74" s="434">
        <f>F73/50</f>
        <v>4.2</v>
      </c>
      <c r="G74" s="316">
        <f ca="1">IF(ISERROR(OFFSET('HARGA SATUAN'!$I$6,MATCH(RAB!C74,'HARGA SATUAN'!$C$7:$C$1492,0),0)),0,OFFSET('HARGA SATUAN'!$I$6,MATCH(RAB!C74,'HARGA SATUAN'!$C$7:$C$1492,0),0))</f>
        <v>223500</v>
      </c>
      <c r="H74" s="317">
        <f t="shared" ca="1" si="28"/>
        <v>0</v>
      </c>
      <c r="I74" s="317">
        <f t="shared" ca="1" si="29"/>
        <v>0</v>
      </c>
      <c r="J74" s="317">
        <f t="shared" ca="1" si="30"/>
        <v>938700</v>
      </c>
      <c r="K74" s="318">
        <f t="shared" ca="1" si="31"/>
        <v>938700</v>
      </c>
      <c r="L74" s="323"/>
      <c r="M74" s="323"/>
      <c r="N74" s="323"/>
      <c r="O74" s="319"/>
      <c r="P74" s="319"/>
      <c r="Q74" s="302"/>
      <c r="R74" s="294"/>
      <c r="S74" s="320"/>
      <c r="T74" s="299"/>
      <c r="U74" s="299"/>
      <c r="V74" s="299"/>
    </row>
    <row r="75" spans="1:22" s="324" customFormat="1">
      <c r="A75" s="294"/>
      <c r="B75" s="437">
        <v>3</v>
      </c>
      <c r="C75" s="109" t="s">
        <v>426</v>
      </c>
      <c r="D75" s="314" t="str">
        <f ca="1">IF(ISERROR(OFFSET('HARGA SATUAN'!$D$6,MATCH(RAB!C75,'HARGA SATUAN'!$C$7:$C$1492,0),0)),"",OFFSET('HARGA SATUAN'!$D$6,MATCH(RAB!C75,'HARGA SATUAN'!$C$7:$C$1492,0),0))</f>
        <v>JASA</v>
      </c>
      <c r="E75" s="315" t="str">
        <f ca="1">IF(B75="+","Unit",IF(ISERROR(OFFSET('HARGA SATUAN'!$E$6,MATCH(RAB!C75,'HARGA SATUAN'!$C$7:$C$1492,0),0)),"",OFFSET('HARGA SATUAN'!$E$6,MATCH(RAB!C75,'HARGA SATUAN'!$C$7:$C$1492,0),0)))</f>
        <v>Per 50 m</v>
      </c>
      <c r="F75" s="434">
        <v>4.2</v>
      </c>
      <c r="G75" s="316">
        <f ca="1">IF(ISERROR(OFFSET('HARGA SATUAN'!$I$6,MATCH(RAB!C75,'HARGA SATUAN'!$C$7:$C$1492,0),0)),0,OFFSET('HARGA SATUAN'!$I$6,MATCH(RAB!C75,'HARGA SATUAN'!$C$7:$C$1492,0),0))</f>
        <v>134100</v>
      </c>
      <c r="H75" s="317">
        <f t="shared" ca="1" si="28"/>
        <v>0</v>
      </c>
      <c r="I75" s="317">
        <f t="shared" ca="1" si="29"/>
        <v>0</v>
      </c>
      <c r="J75" s="317">
        <f t="shared" ca="1" si="30"/>
        <v>563220</v>
      </c>
      <c r="K75" s="318">
        <f t="shared" ca="1" si="31"/>
        <v>563220</v>
      </c>
      <c r="L75" s="323"/>
      <c r="M75" s="323"/>
      <c r="N75" s="323"/>
      <c r="O75" s="319"/>
      <c r="P75" s="319"/>
      <c r="Q75" s="302"/>
      <c r="R75" s="294"/>
      <c r="S75" s="320"/>
      <c r="T75" s="299"/>
      <c r="U75" s="299"/>
      <c r="V75" s="299"/>
    </row>
    <row r="76" spans="1:22" s="324" customFormat="1">
      <c r="A76" s="294"/>
      <c r="B76" s="437"/>
      <c r="C76" s="438"/>
      <c r="D76" s="314" t="str">
        <f ca="1">IF(ISERROR(OFFSET('HARGA SATUAN'!$D$6,MATCH(RAB!C76,'HARGA SATUAN'!$C$7:$C$1492,0),0)),"",OFFSET('HARGA SATUAN'!$D$6,MATCH(RAB!C76,'HARGA SATUAN'!$C$7:$C$1492,0),0))</f>
        <v/>
      </c>
      <c r="E76" s="315" t="str">
        <f ca="1">IF(B76="+","Unit",IF(ISERROR(OFFSET('HARGA SATUAN'!$E$6,MATCH(RAB!C76,'HARGA SATUAN'!$C$7:$C$1492,0),0)),"",OFFSET('HARGA SATUAN'!$E$6,MATCH(RAB!C76,'HARGA SATUAN'!$C$7:$C$1492,0),0)))</f>
        <v/>
      </c>
      <c r="F76" s="434"/>
      <c r="G76" s="316">
        <f ca="1">IF(ISERROR(OFFSET('HARGA SATUAN'!$I$6,MATCH(RAB!C76,'HARGA SATUAN'!$C$7:$C$1492,0),0)),0,OFFSET('HARGA SATUAN'!$I$6,MATCH(RAB!C76,'HARGA SATUAN'!$C$7:$C$1492,0),0))</f>
        <v>0</v>
      </c>
      <c r="H76" s="317">
        <f t="shared" ca="1" si="28"/>
        <v>0</v>
      </c>
      <c r="I76" s="317">
        <f t="shared" ca="1" si="29"/>
        <v>0</v>
      </c>
      <c r="J76" s="317">
        <f t="shared" ca="1" si="30"/>
        <v>0</v>
      </c>
      <c r="K76" s="318">
        <f t="shared" ca="1" si="31"/>
        <v>0</v>
      </c>
      <c r="L76" s="323"/>
      <c r="M76" s="323"/>
      <c r="N76" s="323"/>
      <c r="O76" s="319"/>
      <c r="P76" s="319"/>
      <c r="Q76" s="302"/>
      <c r="R76" s="294"/>
      <c r="S76" s="320"/>
      <c r="T76" s="299"/>
      <c r="U76" s="299"/>
      <c r="V76" s="299"/>
    </row>
    <row r="77" spans="1:22" s="324" customFormat="1">
      <c r="A77" s="294"/>
      <c r="B77" s="437"/>
      <c r="C77" s="438"/>
      <c r="D77" s="314" t="str">
        <f ca="1">IF(ISERROR(OFFSET('HARGA SATUAN'!$D$6,MATCH(RAB!C77,'HARGA SATUAN'!$C$7:$C$1492,0),0)),"",OFFSET('HARGA SATUAN'!$D$6,MATCH(RAB!C77,'HARGA SATUAN'!$C$7:$C$1492,0),0))</f>
        <v/>
      </c>
      <c r="E77" s="315" t="str">
        <f ca="1">IF(B77="+","Unit",IF(ISERROR(OFFSET('HARGA SATUAN'!$E$6,MATCH(RAB!C77,'HARGA SATUAN'!$C$7:$C$1492,0),0)),"",OFFSET('HARGA SATUAN'!$E$6,MATCH(RAB!C77,'HARGA SATUAN'!$C$7:$C$1492,0),0)))</f>
        <v/>
      </c>
      <c r="F77" s="434"/>
      <c r="G77" s="316">
        <f ca="1">IF(ISERROR(OFFSET('HARGA SATUAN'!$I$6,MATCH(RAB!C77,'HARGA SATUAN'!$C$7:$C$1492,0),0)),0,OFFSET('HARGA SATUAN'!$I$6,MATCH(RAB!C77,'HARGA SATUAN'!$C$7:$C$1492,0),0))</f>
        <v>0</v>
      </c>
      <c r="H77" s="317">
        <f t="shared" ca="1" si="16"/>
        <v>0</v>
      </c>
      <c r="I77" s="317">
        <f t="shared" ca="1" si="17"/>
        <v>0</v>
      </c>
      <c r="J77" s="317">
        <f t="shared" ca="1" si="18"/>
        <v>0</v>
      </c>
      <c r="K77" s="318">
        <f t="shared" ca="1" si="19"/>
        <v>0</v>
      </c>
      <c r="L77" s="323"/>
      <c r="M77" s="323"/>
      <c r="N77" s="323"/>
      <c r="O77" s="319"/>
      <c r="P77" s="319"/>
      <c r="Q77" s="302"/>
      <c r="R77" s="294"/>
      <c r="S77" s="320"/>
      <c r="T77" s="299"/>
      <c r="U77" s="299"/>
      <c r="V77" s="299"/>
    </row>
    <row r="78" spans="1:22" s="324" customFormat="1">
      <c r="A78" s="294"/>
      <c r="B78" s="437"/>
      <c r="C78" s="438"/>
      <c r="D78" s="314" t="str">
        <f ca="1">IF(ISERROR(OFFSET('HARGA SATUAN'!$D$6,MATCH(RAB!C78,'HARGA SATUAN'!$C$7:$C$1492,0),0)),"",OFFSET('HARGA SATUAN'!$D$6,MATCH(RAB!C78,'HARGA SATUAN'!$C$7:$C$1492,0),0))</f>
        <v/>
      </c>
      <c r="E78" s="315" t="str">
        <f ca="1">IF(B78="+","Unit",IF(ISERROR(OFFSET('HARGA SATUAN'!$E$6,MATCH(RAB!C78,'HARGA SATUAN'!$C$7:$C$1492,0),0)),"",OFFSET('HARGA SATUAN'!$E$6,MATCH(RAB!C78,'HARGA SATUAN'!$C$7:$C$1492,0),0)))</f>
        <v/>
      </c>
      <c r="F78" s="434"/>
      <c r="G78" s="316">
        <f ca="1">IF(ISERROR(OFFSET('HARGA SATUAN'!$I$6,MATCH(RAB!C78,'HARGA SATUAN'!$C$7:$C$1492,0),0)),0,OFFSET('HARGA SATUAN'!$I$6,MATCH(RAB!C78,'HARGA SATUAN'!$C$7:$C$1492,0),0))</f>
        <v>0</v>
      </c>
      <c r="H78" s="317">
        <f t="shared" ref="H78" ca="1" si="32">IF(OR(D78="MDU",D78="MDU-KD"),(IF($O$3="RAB NON MDU","PLN KD",G78*F78)),0)</f>
        <v>0</v>
      </c>
      <c r="I78" s="317">
        <f t="shared" ref="I78" ca="1" si="33">IF(D78="HDW",G78*F78,0)</f>
        <v>0</v>
      </c>
      <c r="J78" s="317">
        <f t="shared" ref="J78" ca="1" si="34">IF(D78="JASA",G78*F78,0)</f>
        <v>0</v>
      </c>
      <c r="K78" s="318">
        <f t="shared" ref="K78" ca="1" si="35">SUM(H78:J78)</f>
        <v>0</v>
      </c>
      <c r="L78" s="323"/>
      <c r="M78" s="323"/>
      <c r="N78" s="323"/>
      <c r="O78" s="319"/>
      <c r="P78" s="319"/>
      <c r="Q78" s="302"/>
      <c r="R78" s="294"/>
      <c r="S78" s="320"/>
      <c r="T78" s="299"/>
      <c r="U78" s="299"/>
      <c r="V78" s="299"/>
    </row>
    <row r="79" spans="1:22" s="324" customFormat="1">
      <c r="A79" s="294"/>
      <c r="B79" s="437"/>
      <c r="C79" s="438"/>
      <c r="D79" s="314" t="str">
        <f ca="1">IF(ISERROR(OFFSET('HARGA SATUAN'!$D$6,MATCH(RAB!C79,'HARGA SATUAN'!$C$7:$C$1492,0),0)),"",OFFSET('HARGA SATUAN'!$D$6,MATCH(RAB!C79,'HARGA SATUAN'!$C$7:$C$1492,0),0))</f>
        <v/>
      </c>
      <c r="E79" s="315" t="str">
        <f ca="1">IF(B79="+","Unit",IF(ISERROR(OFFSET('HARGA SATUAN'!$E$6,MATCH(RAB!C79,'HARGA SATUAN'!$C$7:$C$1492,0),0)),"",OFFSET('HARGA SATUAN'!$E$6,MATCH(RAB!C79,'HARGA SATUAN'!$C$7:$C$1492,0),0)))</f>
        <v/>
      </c>
      <c r="F79" s="434"/>
      <c r="G79" s="316">
        <f ca="1">IF(ISERROR(OFFSET('HARGA SATUAN'!$I$6,MATCH(RAB!C79,'HARGA SATUAN'!$C$7:$C$1492,0),0)),0,OFFSET('HARGA SATUAN'!$I$6,MATCH(RAB!C79,'HARGA SATUAN'!$C$7:$C$1492,0),0))</f>
        <v>0</v>
      </c>
      <c r="H79" s="317">
        <f t="shared" ref="H79" ca="1" si="36">IF(OR(D79="MDU",D79="MDU-KD"),(IF($O$3="RAB NON MDU","PLN KD",G79*F79)),0)</f>
        <v>0</v>
      </c>
      <c r="I79" s="317">
        <f t="shared" ref="I79" ca="1" si="37">IF(D79="HDW",G79*F79,0)</f>
        <v>0</v>
      </c>
      <c r="J79" s="317">
        <f t="shared" ref="J79" ca="1" si="38">IF(D79="JASA",G79*F79,0)</f>
        <v>0</v>
      </c>
      <c r="K79" s="318">
        <f t="shared" ref="K79" ca="1" si="39">SUM(H79:J79)</f>
        <v>0</v>
      </c>
      <c r="L79" s="323"/>
      <c r="M79" s="323"/>
      <c r="N79" s="323"/>
      <c r="O79" s="319"/>
      <c r="P79" s="319"/>
      <c r="Q79" s="302"/>
      <c r="R79" s="294"/>
      <c r="S79" s="320"/>
      <c r="T79" s="299"/>
      <c r="U79" s="299"/>
      <c r="V79" s="299"/>
    </row>
    <row r="80" spans="1:22" s="324" customFormat="1">
      <c r="A80" s="294"/>
      <c r="B80" s="437"/>
      <c r="C80" s="438"/>
      <c r="D80" s="314" t="str">
        <f ca="1">IF(ISERROR(OFFSET('HARGA SATUAN'!$D$6,MATCH(RAB!C80,'HARGA SATUAN'!$C$7:$C$1492,0),0)),"",OFFSET('HARGA SATUAN'!$D$6,MATCH(RAB!C80,'HARGA SATUAN'!$C$7:$C$1492,0),0))</f>
        <v/>
      </c>
      <c r="E80" s="315" t="str">
        <f ca="1">IF(B80="+","Unit",IF(ISERROR(OFFSET('HARGA SATUAN'!$E$6,MATCH(RAB!C80,'HARGA SATUAN'!$C$7:$C$1492,0),0)),"",OFFSET('HARGA SATUAN'!$E$6,MATCH(RAB!C80,'HARGA SATUAN'!$C$7:$C$1492,0),0)))</f>
        <v/>
      </c>
      <c r="F80" s="434"/>
      <c r="G80" s="316">
        <f ca="1">IF(ISERROR(OFFSET('HARGA SATUAN'!$I$6,MATCH(RAB!C80,'HARGA SATUAN'!$C$7:$C$1492,0),0)),0,OFFSET('HARGA SATUAN'!$I$6,MATCH(RAB!C80,'HARGA SATUAN'!$C$7:$C$1492,0),0))</f>
        <v>0</v>
      </c>
      <c r="H80" s="317">
        <f t="shared" ca="1" si="16"/>
        <v>0</v>
      </c>
      <c r="I80" s="317">
        <f t="shared" ca="1" si="17"/>
        <v>0</v>
      </c>
      <c r="J80" s="317">
        <f t="shared" ca="1" si="18"/>
        <v>0</v>
      </c>
      <c r="K80" s="318">
        <f t="shared" ca="1" si="19"/>
        <v>0</v>
      </c>
      <c r="L80" s="323"/>
      <c r="M80" s="323"/>
      <c r="N80" s="323"/>
      <c r="O80" s="319"/>
      <c r="P80" s="319"/>
      <c r="Q80" s="302"/>
      <c r="R80" s="294"/>
      <c r="S80" s="320"/>
      <c r="T80" s="299"/>
      <c r="U80" s="299"/>
      <c r="V80" s="299"/>
    </row>
    <row r="81" spans="1:22" s="324" customFormat="1">
      <c r="A81" s="294"/>
      <c r="B81" s="437" t="s">
        <v>1620</v>
      </c>
      <c r="C81" s="438" t="s">
        <v>1609</v>
      </c>
      <c r="D81" s="314" t="str">
        <f ca="1">IF(ISERROR(OFFSET('HARGA SATUAN'!$D$6,MATCH(RAB!C81,'HARGA SATUAN'!$C$7:$C$1492,0),0)),"",OFFSET('HARGA SATUAN'!$D$6,MATCH(RAB!C81,'HARGA SATUAN'!$C$7:$C$1492,0),0))</f>
        <v/>
      </c>
      <c r="E81" s="315" t="str">
        <f ca="1">IF(B81="+","Unit",IF(ISERROR(OFFSET('HARGA SATUAN'!$E$6,MATCH(RAB!C81,'HARGA SATUAN'!$C$7:$C$1492,0),0)),"",OFFSET('HARGA SATUAN'!$E$6,MATCH(RAB!C81,'HARGA SATUAN'!$C$7:$C$1492,0),0)))</f>
        <v/>
      </c>
      <c r="F81" s="434"/>
      <c r="G81" s="316">
        <f ca="1">IF(ISERROR(OFFSET('HARGA SATUAN'!$I$6,MATCH(RAB!C81,'HARGA SATUAN'!$C$7:$C$1492,0),0)),0,OFFSET('HARGA SATUAN'!$I$6,MATCH(RAB!C81,'HARGA SATUAN'!$C$7:$C$1492,0),0))</f>
        <v>0</v>
      </c>
      <c r="H81" s="317">
        <f t="shared" ref="H81" ca="1" si="40">IF(OR(D81="MDU",D81="MDU-KD"),(IF($O$3="RAB NON MDU","PLN KD",G81*F81)),0)</f>
        <v>0</v>
      </c>
      <c r="I81" s="317">
        <f t="shared" ref="I81" ca="1" si="41">IF(D81="HDW",G81*F81,0)</f>
        <v>0</v>
      </c>
      <c r="J81" s="317">
        <f t="shared" ref="J81" ca="1" si="42">IF(D81="JASA",G81*F81,0)</f>
        <v>0</v>
      </c>
      <c r="K81" s="318">
        <f t="shared" ref="K81" ca="1" si="43">SUM(H81:J81)</f>
        <v>0</v>
      </c>
      <c r="L81" s="323"/>
      <c r="M81" s="323"/>
      <c r="N81" s="323"/>
      <c r="O81" s="319"/>
      <c r="P81" s="319"/>
      <c r="Q81" s="302"/>
      <c r="R81" s="294"/>
      <c r="S81" s="320"/>
      <c r="T81" s="299"/>
      <c r="U81" s="299"/>
      <c r="V81" s="299"/>
    </row>
    <row r="82" spans="1:22" s="324" customFormat="1">
      <c r="A82" s="294"/>
      <c r="B82" s="439"/>
      <c r="C82" s="440"/>
      <c r="D82" s="314" t="str">
        <f ca="1">IF(ISERROR(OFFSET('HARGA SATUAN'!$D$6,MATCH(RAB!C82,'HARGA SATUAN'!$C$7:$C$1492,0),0)),"",OFFSET('HARGA SATUAN'!$D$6,MATCH(RAB!C82,'HARGA SATUAN'!$C$7:$C$1492,0),0))</f>
        <v/>
      </c>
      <c r="E82" s="315" t="str">
        <f ca="1">IF(B82="+","Unit",IF(ISERROR(OFFSET('HARGA SATUAN'!$E$6,MATCH(RAB!C82,'HARGA SATUAN'!$C$7:$C$1492,0),0)),"",OFFSET('HARGA SATUAN'!$E$6,MATCH(RAB!C82,'HARGA SATUAN'!$C$7:$C$1492,0),0)))</f>
        <v/>
      </c>
      <c r="F82" s="434"/>
      <c r="G82" s="316">
        <f ca="1">IF(ISERROR(OFFSET('HARGA SATUAN'!$I$6,MATCH(RAB!C82,'HARGA SATUAN'!$C$7:$C$1492,0),0)),0,OFFSET('HARGA SATUAN'!$I$6,MATCH(RAB!C82,'HARGA SATUAN'!$C$7:$C$1492,0),0))</f>
        <v>0</v>
      </c>
      <c r="H82" s="317">
        <f t="shared" ref="H82:H106" ca="1" si="44">IF(OR(D82="MDU",D82="MDU-KD"),(IF($O$3="RAB NON MDU","PLN KD",G82*F82)),0)</f>
        <v>0</v>
      </c>
      <c r="I82" s="317">
        <f t="shared" ref="I82:I106" ca="1" si="45">IF(D82="HDW",G82*F82,0)</f>
        <v>0</v>
      </c>
      <c r="J82" s="317">
        <f t="shared" ref="J82:J106" ca="1" si="46">IF(D82="JASA",G82*F82,0)</f>
        <v>0</v>
      </c>
      <c r="K82" s="318">
        <f t="shared" ref="K82:K106" ca="1" si="47">SUM(H82:J82)</f>
        <v>0</v>
      </c>
      <c r="L82" s="323"/>
      <c r="M82" s="323"/>
      <c r="N82" s="323"/>
      <c r="O82" s="319"/>
      <c r="P82" s="319"/>
      <c r="Q82" s="302"/>
      <c r="R82" s="294"/>
      <c r="S82" s="320"/>
      <c r="T82" s="299"/>
      <c r="U82" s="299"/>
      <c r="V82" s="299"/>
    </row>
    <row r="83" spans="1:22" s="324" customFormat="1">
      <c r="A83" s="294"/>
      <c r="B83" s="435" t="s">
        <v>1034</v>
      </c>
      <c r="C83" s="436" t="s">
        <v>1632</v>
      </c>
      <c r="D83" s="314" t="str">
        <f ca="1">IF(ISERROR(OFFSET('HARGA SATUAN'!$D$6,MATCH(RAB!C83,'HARGA SATUAN'!$C$7:$C$1492,0),0)),"",OFFSET('HARGA SATUAN'!$D$6,MATCH(RAB!C83,'HARGA SATUAN'!$C$7:$C$1492,0),0))</f>
        <v/>
      </c>
      <c r="E83" s="315" t="str">
        <f ca="1">IF(B83="+","Unit",IF(ISERROR(OFFSET('HARGA SATUAN'!$E$6,MATCH(RAB!C83,'HARGA SATUAN'!$C$7:$C$1492,0),0)),"",OFFSET('HARGA SATUAN'!$E$6,MATCH(RAB!C83,'HARGA SATUAN'!$C$7:$C$1492,0),0)))</f>
        <v>Unit</v>
      </c>
      <c r="F83" s="497">
        <v>1</v>
      </c>
      <c r="G83" s="316">
        <f ca="1">IF(ISERROR(OFFSET('HARGA SATUAN'!$I$6,MATCH(RAB!C83,'HARGA SATUAN'!$C$7:$C$1492,0),0)),0,OFFSET('HARGA SATUAN'!$I$6,MATCH(RAB!C83,'HARGA SATUAN'!$C$7:$C$1492,0),0))</f>
        <v>0</v>
      </c>
      <c r="H83" s="317">
        <f t="shared" ref="H83:H89" ca="1" si="48">IF(OR(D83="MDU",D83="MDU-KD"),(IF($O$3="RAB NON MDU","PLN KD",G83*F83)),0)</f>
        <v>0</v>
      </c>
      <c r="I83" s="317">
        <f t="shared" ref="I83:I89" ca="1" si="49">IF(D83="HDW",G83*F83,0)</f>
        <v>0</v>
      </c>
      <c r="J83" s="317">
        <f t="shared" ref="J83:J89" ca="1" si="50">IF(D83="JASA",G83*F83,0)</f>
        <v>0</v>
      </c>
      <c r="K83" s="318">
        <f t="shared" ref="K83:K89" ca="1" si="51">SUM(H83:J83)</f>
        <v>0</v>
      </c>
      <c r="L83" s="323"/>
      <c r="M83" s="323"/>
      <c r="N83" s="323"/>
      <c r="O83" s="319"/>
      <c r="P83" s="319"/>
      <c r="Q83" s="302"/>
      <c r="R83" s="294"/>
      <c r="S83" s="320"/>
      <c r="T83" s="299"/>
      <c r="U83" s="299"/>
      <c r="V83" s="299"/>
    </row>
    <row r="84" spans="1:22" s="324" customFormat="1" ht="30">
      <c r="A84" s="294"/>
      <c r="B84" s="489">
        <v>1</v>
      </c>
      <c r="C84" s="109" t="s">
        <v>1195</v>
      </c>
      <c r="D84" s="314" t="str">
        <f ca="1">IF(ISERROR(OFFSET('HARGA SATUAN'!$D$6,MATCH(RAB!C84,'HARGA SATUAN'!$C$7:$C$1492,0),0)),"",OFFSET('HARGA SATUAN'!$D$6,MATCH(RAB!C84,'HARGA SATUAN'!$C$7:$C$1492,0),0))</f>
        <v>MDU-KD</v>
      </c>
      <c r="E84" s="315" t="str">
        <f ca="1">IF(B84="+","Unit",IF(ISERROR(OFFSET('HARGA SATUAN'!$E$6,MATCH(RAB!C84,'HARGA SATUAN'!$C$7:$C$1492,0),0)),"",OFFSET('HARGA SATUAN'!$E$6,MATCH(RAB!C84,'HARGA SATUAN'!$C$7:$C$1492,0),0)))</f>
        <v>Bh</v>
      </c>
      <c r="F84" s="497">
        <f>F83*1</f>
        <v>1</v>
      </c>
      <c r="G84" s="316">
        <f ca="1">IF(ISERROR(OFFSET('HARGA SATUAN'!$I$6,MATCH(RAB!C84,'HARGA SATUAN'!$C$7:$C$1492,0),0)),0,OFFSET('HARGA SATUAN'!$I$6,MATCH(RAB!C84,'HARGA SATUAN'!$C$7:$C$1492,0),0))</f>
        <v>1504200</v>
      </c>
      <c r="H84" s="317">
        <f t="shared" ca="1" si="48"/>
        <v>1504200</v>
      </c>
      <c r="I84" s="317">
        <f t="shared" ca="1" si="49"/>
        <v>0</v>
      </c>
      <c r="J84" s="317">
        <f t="shared" ca="1" si="50"/>
        <v>0</v>
      </c>
      <c r="K84" s="318">
        <f t="shared" ca="1" si="51"/>
        <v>1504200</v>
      </c>
      <c r="L84" s="323"/>
      <c r="M84" s="323"/>
      <c r="N84" s="323"/>
      <c r="O84" s="319"/>
      <c r="P84" s="319"/>
      <c r="Q84" s="302"/>
      <c r="R84" s="294"/>
      <c r="S84" s="320"/>
      <c r="T84" s="299"/>
      <c r="U84" s="299"/>
      <c r="V84" s="299"/>
    </row>
    <row r="85" spans="1:22" s="324" customFormat="1">
      <c r="A85" s="294"/>
      <c r="B85" s="489">
        <v>2</v>
      </c>
      <c r="C85" s="496" t="s">
        <v>517</v>
      </c>
      <c r="D85" s="314" t="str">
        <f ca="1">IF(ISERROR(OFFSET('HARGA SATUAN'!$D$6,MATCH(RAB!C85,'HARGA SATUAN'!$C$7:$C$1492,0),0)),"",OFFSET('HARGA SATUAN'!$D$6,MATCH(RAB!C85,'HARGA SATUAN'!$C$7:$C$1492,0),0))</f>
        <v>MDU-KD</v>
      </c>
      <c r="E85" s="315" t="str">
        <f ca="1">IF(B85="+","Unit",IF(ISERROR(OFFSET('HARGA SATUAN'!$E$6,MATCH(RAB!C85,'HARGA SATUAN'!$C$7:$C$1492,0),0)),"",OFFSET('HARGA SATUAN'!$E$6,MATCH(RAB!C85,'HARGA SATUAN'!$C$7:$C$1492,0),0)))</f>
        <v>Unit</v>
      </c>
      <c r="F85" s="497">
        <f>F83*1</f>
        <v>1</v>
      </c>
      <c r="G85" s="316">
        <f ca="1">IF(ISERROR(OFFSET('HARGA SATUAN'!$I$6,MATCH(RAB!C85,'HARGA SATUAN'!$C$7:$C$1492,0),0)),0,OFFSET('HARGA SATUAN'!$I$6,MATCH(RAB!C85,'HARGA SATUAN'!$C$7:$C$1492,0),0))</f>
        <v>14217900</v>
      </c>
      <c r="H85" s="317">
        <f t="shared" ca="1" si="48"/>
        <v>14217900</v>
      </c>
      <c r="I85" s="317">
        <f t="shared" ca="1" si="49"/>
        <v>0</v>
      </c>
      <c r="J85" s="317">
        <f t="shared" ca="1" si="50"/>
        <v>0</v>
      </c>
      <c r="K85" s="318">
        <f t="shared" ca="1" si="51"/>
        <v>14217900</v>
      </c>
      <c r="L85" s="323"/>
      <c r="M85" s="323"/>
      <c r="N85" s="323"/>
      <c r="O85" s="319"/>
      <c r="P85" s="319"/>
      <c r="Q85" s="302"/>
      <c r="R85" s="294"/>
      <c r="S85" s="320"/>
      <c r="T85" s="299"/>
      <c r="U85" s="299"/>
      <c r="V85" s="299"/>
    </row>
    <row r="86" spans="1:22" s="324" customFormat="1">
      <c r="A86" s="294"/>
      <c r="B86" s="489">
        <v>3</v>
      </c>
      <c r="C86" s="496" t="s">
        <v>1141</v>
      </c>
      <c r="D86" s="314" t="str">
        <f ca="1">IF(ISERROR(OFFSET('HARGA SATUAN'!$D$6,MATCH(RAB!C86,'HARGA SATUAN'!$C$7:$C$1492,0),0)),"",OFFSET('HARGA SATUAN'!$D$6,MATCH(RAB!C86,'HARGA SATUAN'!$C$7:$C$1492,0),0))</f>
        <v>HDW</v>
      </c>
      <c r="E86" s="315" t="str">
        <f ca="1">IF(B86="+","Unit",IF(ISERROR(OFFSET('HARGA SATUAN'!$E$6,MATCH(RAB!C86,'HARGA SATUAN'!$C$7:$C$1492,0),0)),"",OFFSET('HARGA SATUAN'!$E$6,MATCH(RAB!C86,'HARGA SATUAN'!$C$7:$C$1492,0),0)))</f>
        <v>Unit</v>
      </c>
      <c r="F86" s="497">
        <f>F83*1</f>
        <v>1</v>
      </c>
      <c r="G86" s="316">
        <f ca="1">IF(ISERROR(OFFSET('HARGA SATUAN'!$I$6,MATCH(RAB!C86,'HARGA SATUAN'!$C$7:$C$1492,0),0)),0,OFFSET('HARGA SATUAN'!$I$6,MATCH(RAB!C86,'HARGA SATUAN'!$C$7:$C$1492,0),0))</f>
        <v>1113900</v>
      </c>
      <c r="H86" s="317">
        <f t="shared" ca="1" si="48"/>
        <v>0</v>
      </c>
      <c r="I86" s="317">
        <f t="shared" ca="1" si="49"/>
        <v>1113900</v>
      </c>
      <c r="J86" s="317">
        <f t="shared" ca="1" si="50"/>
        <v>0</v>
      </c>
      <c r="K86" s="318">
        <f t="shared" ca="1" si="51"/>
        <v>1113900</v>
      </c>
      <c r="L86" s="323"/>
      <c r="M86" s="323"/>
      <c r="N86" s="323"/>
      <c r="O86" s="319"/>
      <c r="P86" s="319"/>
      <c r="Q86" s="302"/>
      <c r="R86" s="294"/>
      <c r="S86" s="320"/>
      <c r="T86" s="299"/>
      <c r="U86" s="299"/>
      <c r="V86" s="299"/>
    </row>
    <row r="87" spans="1:22" s="324" customFormat="1">
      <c r="A87" s="294"/>
      <c r="B87" s="489">
        <v>4</v>
      </c>
      <c r="C87" s="109" t="s">
        <v>573</v>
      </c>
      <c r="D87" s="314" t="str">
        <f ca="1">IF(ISERROR(OFFSET('HARGA SATUAN'!$D$6,MATCH(RAB!C87,'HARGA SATUAN'!$C$7:$C$1492,0),0)),"",OFFSET('HARGA SATUAN'!$D$6,MATCH(RAB!C87,'HARGA SATUAN'!$C$7:$C$1492,0),0))</f>
        <v>MDU-KD</v>
      </c>
      <c r="E87" s="315" t="str">
        <f ca="1">IF(B87="+","Unit",IF(ISERROR(OFFSET('HARGA SATUAN'!$E$6,MATCH(RAB!C87,'HARGA SATUAN'!$C$7:$C$1492,0),0)),"",OFFSET('HARGA SATUAN'!$E$6,MATCH(RAB!C87,'HARGA SATUAN'!$C$7:$C$1492,0),0)))</f>
        <v>Mtr</v>
      </c>
      <c r="F87" s="497">
        <v>50</v>
      </c>
      <c r="G87" s="316">
        <f ca="1">IF(ISERROR(OFFSET('HARGA SATUAN'!$I$6,MATCH(RAB!C87,'HARGA SATUAN'!$C$7:$C$1492,0),0)),0,OFFSET('HARGA SATUAN'!$I$6,MATCH(RAB!C87,'HARGA SATUAN'!$C$7:$C$1492,0),0))</f>
        <v>421400</v>
      </c>
      <c r="H87" s="317">
        <f t="shared" ca="1" si="48"/>
        <v>21070000</v>
      </c>
      <c r="I87" s="317">
        <f t="shared" ca="1" si="49"/>
        <v>0</v>
      </c>
      <c r="J87" s="317">
        <f t="shared" ca="1" si="50"/>
        <v>0</v>
      </c>
      <c r="K87" s="318">
        <f t="shared" ca="1" si="51"/>
        <v>21070000</v>
      </c>
      <c r="L87" s="323"/>
      <c r="M87" s="323"/>
      <c r="N87" s="323"/>
      <c r="O87" s="319"/>
      <c r="P87" s="319"/>
      <c r="Q87" s="302"/>
      <c r="R87" s="294"/>
      <c r="S87" s="320"/>
      <c r="T87" s="299"/>
      <c r="U87" s="299"/>
      <c r="V87" s="299"/>
    </row>
    <row r="88" spans="1:22" s="324" customFormat="1">
      <c r="A88" s="294"/>
      <c r="B88" s="489">
        <v>5</v>
      </c>
      <c r="C88" s="496" t="s">
        <v>798</v>
      </c>
      <c r="D88" s="314" t="str">
        <f ca="1">IF(ISERROR(OFFSET('HARGA SATUAN'!$D$6,MATCH(RAB!C88,'HARGA SATUAN'!$C$7:$C$1492,0),0)),"",OFFSET('HARGA SATUAN'!$D$6,MATCH(RAB!C88,'HARGA SATUAN'!$C$7:$C$1492,0),0))</f>
        <v>JASA</v>
      </c>
      <c r="E88" s="315" t="str">
        <f ca="1">IF(B88="+","Unit",IF(ISERROR(OFFSET('HARGA SATUAN'!$E$6,MATCH(RAB!C88,'HARGA SATUAN'!$C$7:$C$1492,0),0)),"",OFFSET('HARGA SATUAN'!$E$6,MATCH(RAB!C88,'HARGA SATUAN'!$C$7:$C$1492,0),0)))</f>
        <v>Unit</v>
      </c>
      <c r="F88" s="497">
        <f>F83*1</f>
        <v>1</v>
      </c>
      <c r="G88" s="316">
        <f ca="1">IF(ISERROR(OFFSET('HARGA SATUAN'!$I$6,MATCH(RAB!C88,'HARGA SATUAN'!$C$7:$C$1492,0),0)),0,OFFSET('HARGA SATUAN'!$I$6,MATCH(RAB!C88,'HARGA SATUAN'!$C$7:$C$1492,0),0))</f>
        <v>106400</v>
      </c>
      <c r="H88" s="317">
        <f t="shared" ca="1" si="48"/>
        <v>0</v>
      </c>
      <c r="I88" s="317">
        <f t="shared" ca="1" si="49"/>
        <v>0</v>
      </c>
      <c r="J88" s="317">
        <f t="shared" ca="1" si="50"/>
        <v>106400</v>
      </c>
      <c r="K88" s="318">
        <f t="shared" ca="1" si="51"/>
        <v>106400</v>
      </c>
      <c r="L88" s="323"/>
      <c r="M88" s="323"/>
      <c r="N88" s="323"/>
      <c r="O88" s="319"/>
      <c r="P88" s="319"/>
      <c r="Q88" s="302"/>
      <c r="R88" s="294"/>
      <c r="S88" s="320"/>
      <c r="T88" s="299"/>
      <c r="U88" s="299"/>
      <c r="V88" s="299"/>
    </row>
    <row r="89" spans="1:22" s="324" customFormat="1">
      <c r="A89" s="294"/>
      <c r="B89" s="439">
        <v>6</v>
      </c>
      <c r="C89" s="443" t="s">
        <v>981</v>
      </c>
      <c r="D89" s="314" t="str">
        <f ca="1">IF(ISERROR(OFFSET('HARGA SATUAN'!$D$6,MATCH(RAB!C89,'HARGA SATUAN'!$C$7:$C$1492,0),0)),"",OFFSET('HARGA SATUAN'!$D$6,MATCH(RAB!C89,'HARGA SATUAN'!$C$7:$C$1492,0),0))</f>
        <v>JASA</v>
      </c>
      <c r="E89" s="315" t="str">
        <f ca="1">IF(B89="+","Unit",IF(ISERROR(OFFSET('HARGA SATUAN'!$E$6,MATCH(RAB!C89,'HARGA SATUAN'!$C$7:$C$1492,0),0)),"",OFFSET('HARGA SATUAN'!$E$6,MATCH(RAB!C89,'HARGA SATUAN'!$C$7:$C$1492,0),0)))</f>
        <v>Unit</v>
      </c>
      <c r="F89" s="434">
        <v>1</v>
      </c>
      <c r="G89" s="316">
        <f ca="1">IF(ISERROR(OFFSET('HARGA SATUAN'!$I$6,MATCH(RAB!C89,'HARGA SATUAN'!$C$7:$C$1492,0),0)),0,OFFSET('HARGA SATUAN'!$I$6,MATCH(RAB!C89,'HARGA SATUAN'!$C$7:$C$1492,0),0))</f>
        <v>63840</v>
      </c>
      <c r="H89" s="317">
        <f t="shared" ca="1" si="48"/>
        <v>0</v>
      </c>
      <c r="I89" s="317">
        <f t="shared" ca="1" si="49"/>
        <v>0</v>
      </c>
      <c r="J89" s="317">
        <f t="shared" ca="1" si="50"/>
        <v>63840</v>
      </c>
      <c r="K89" s="318">
        <f t="shared" ca="1" si="51"/>
        <v>63840</v>
      </c>
      <c r="L89" s="323"/>
      <c r="M89" s="323"/>
      <c r="N89" s="323"/>
      <c r="O89" s="319"/>
      <c r="P89" s="319"/>
      <c r="Q89" s="302"/>
      <c r="R89" s="294"/>
      <c r="S89" s="320"/>
      <c r="T89" s="299"/>
      <c r="U89" s="299"/>
      <c r="V89" s="299"/>
    </row>
    <row r="90" spans="1:22" s="324" customFormat="1">
      <c r="A90" s="294"/>
      <c r="B90" s="435"/>
      <c r="C90" s="436"/>
      <c r="D90" s="314" t="str">
        <f ca="1">IF(ISERROR(OFFSET('HARGA SATUAN'!$D$6,MATCH(RAB!C90,'HARGA SATUAN'!$C$7:$C$1492,0),0)),"",OFFSET('HARGA SATUAN'!$D$6,MATCH(RAB!C90,'HARGA SATUAN'!$C$7:$C$1492,0),0))</f>
        <v/>
      </c>
      <c r="E90" s="315" t="str">
        <f ca="1">IF(B90="+","Unit",IF(ISERROR(OFFSET('HARGA SATUAN'!$E$6,MATCH(RAB!C90,'HARGA SATUAN'!$C$7:$C$1492,0),0)),"",OFFSET('HARGA SATUAN'!$E$6,MATCH(RAB!C90,'HARGA SATUAN'!$C$7:$C$1492,0),0)))</f>
        <v/>
      </c>
      <c r="F90" s="442"/>
      <c r="G90" s="316">
        <f ca="1">IF(ISERROR(OFFSET('HARGA SATUAN'!$I$6,MATCH(RAB!C90,'HARGA SATUAN'!$C$7:$C$1492,0),0)),0,OFFSET('HARGA SATUAN'!$I$6,MATCH(RAB!C90,'HARGA SATUAN'!$C$7:$C$1492,0),0))</f>
        <v>0</v>
      </c>
      <c r="H90" s="317">
        <f t="shared" ca="1" si="44"/>
        <v>0</v>
      </c>
      <c r="I90" s="317">
        <f t="shared" ca="1" si="45"/>
        <v>0</v>
      </c>
      <c r="J90" s="317">
        <f t="shared" ca="1" si="46"/>
        <v>0</v>
      </c>
      <c r="K90" s="318">
        <f t="shared" ca="1" si="47"/>
        <v>0</v>
      </c>
      <c r="L90" s="323"/>
      <c r="M90" s="323"/>
      <c r="N90" s="323"/>
      <c r="O90" s="319"/>
      <c r="P90" s="319"/>
      <c r="Q90" s="302"/>
      <c r="R90" s="294"/>
      <c r="S90" s="320"/>
      <c r="T90" s="299"/>
      <c r="U90" s="299"/>
      <c r="V90" s="299"/>
    </row>
    <row r="91" spans="1:22" s="324" customFormat="1">
      <c r="A91" s="294"/>
      <c r="B91" s="439" t="s">
        <v>1034</v>
      </c>
      <c r="C91" s="441" t="s">
        <v>1610</v>
      </c>
      <c r="D91" s="314" t="str">
        <f ca="1">IF(ISERROR(OFFSET('HARGA SATUAN'!$D$6,MATCH(RAB!C91,'HARGA SATUAN'!$C$7:$C$1492,0),0)),"",OFFSET('HARGA SATUAN'!$D$6,MATCH(RAB!C91,'HARGA SATUAN'!$C$7:$C$1492,0),0))</f>
        <v/>
      </c>
      <c r="E91" s="315" t="str">
        <f ca="1">IF(B91="+","Unit",IF(ISERROR(OFFSET('HARGA SATUAN'!$E$6,MATCH(RAB!C91,'HARGA SATUAN'!$C$7:$C$1492,0),0)),"",OFFSET('HARGA SATUAN'!$E$6,MATCH(RAB!C91,'HARGA SATUAN'!$C$7:$C$1492,0),0)))</f>
        <v>Unit</v>
      </c>
      <c r="F91" s="442">
        <v>1</v>
      </c>
      <c r="G91" s="316">
        <f ca="1">IF(ISERROR(OFFSET('HARGA SATUAN'!$I$6,MATCH(RAB!C91,'HARGA SATUAN'!$C$7:$C$1492,0),0)),0,OFFSET('HARGA SATUAN'!$I$6,MATCH(RAB!C91,'HARGA SATUAN'!$C$7:$C$1492,0),0))</f>
        <v>0</v>
      </c>
      <c r="H91" s="317">
        <f t="shared" ca="1" si="44"/>
        <v>0</v>
      </c>
      <c r="I91" s="317">
        <f t="shared" ca="1" si="45"/>
        <v>0</v>
      </c>
      <c r="J91" s="317">
        <f t="shared" ca="1" si="46"/>
        <v>0</v>
      </c>
      <c r="K91" s="318">
        <f t="shared" ca="1" si="47"/>
        <v>0</v>
      </c>
      <c r="L91" s="323"/>
      <c r="M91" s="323"/>
      <c r="N91" s="323"/>
      <c r="O91" s="319"/>
      <c r="P91" s="319"/>
      <c r="Q91" s="302"/>
      <c r="R91" s="294"/>
      <c r="S91" s="320"/>
      <c r="T91" s="299"/>
      <c r="U91" s="299"/>
      <c r="V91" s="299"/>
    </row>
    <row r="92" spans="1:22" s="324" customFormat="1">
      <c r="A92" s="294"/>
      <c r="B92" s="439">
        <v>1</v>
      </c>
      <c r="C92" s="441" t="s">
        <v>115</v>
      </c>
      <c r="D92" s="314" t="str">
        <f ca="1">IF(ISERROR(OFFSET('HARGA SATUAN'!$D$6,MATCH(RAB!C92,'HARGA SATUAN'!$C$7:$C$1492,0),0)),"",OFFSET('HARGA SATUAN'!$D$6,MATCH(RAB!C92,'HARGA SATUAN'!$C$7:$C$1492,0),0))</f>
        <v>HDW</v>
      </c>
      <c r="E92" s="315" t="str">
        <f ca="1">IF(B92="+","Unit",IF(ISERROR(OFFSET('HARGA SATUAN'!$E$6,MATCH(RAB!C92,'HARGA SATUAN'!$C$7:$C$1492,0),0)),"",OFFSET('HARGA SATUAN'!$E$6,MATCH(RAB!C92,'HARGA SATUAN'!$C$7:$C$1492,0),0)))</f>
        <v>Set</v>
      </c>
      <c r="F92" s="442">
        <f>F91*1</f>
        <v>1</v>
      </c>
      <c r="G92" s="316">
        <f ca="1">IF(ISERROR(OFFSET('HARGA SATUAN'!$I$6,MATCH(RAB!C92,'HARGA SATUAN'!$C$7:$C$1492,0),0)),0,OFFSET('HARGA SATUAN'!$I$6,MATCH(RAB!C92,'HARGA SATUAN'!$C$7:$C$1492,0),0))</f>
        <v>11500</v>
      </c>
      <c r="H92" s="317">
        <f t="shared" ca="1" si="44"/>
        <v>0</v>
      </c>
      <c r="I92" s="317">
        <f t="shared" ca="1" si="45"/>
        <v>11500</v>
      </c>
      <c r="J92" s="317">
        <f t="shared" ca="1" si="46"/>
        <v>0</v>
      </c>
      <c r="K92" s="318">
        <f t="shared" ca="1" si="47"/>
        <v>11500</v>
      </c>
      <c r="L92" s="323"/>
      <c r="M92" s="323"/>
      <c r="N92" s="323"/>
      <c r="O92" s="319"/>
      <c r="P92" s="319"/>
      <c r="Q92" s="302"/>
      <c r="R92" s="294"/>
      <c r="S92" s="320"/>
      <c r="T92" s="299"/>
      <c r="U92" s="299"/>
      <c r="V92" s="299"/>
    </row>
    <row r="93" spans="1:22" s="324" customFormat="1">
      <c r="A93" s="294"/>
      <c r="B93" s="439">
        <v>2</v>
      </c>
      <c r="C93" s="441" t="s">
        <v>145</v>
      </c>
      <c r="D93" s="314" t="str">
        <f ca="1">IF(ISERROR(OFFSET('HARGA SATUAN'!$D$6,MATCH(RAB!C93,'HARGA SATUAN'!$C$7:$C$1492,0),0)),"",OFFSET('HARGA SATUAN'!$D$6,MATCH(RAB!C93,'HARGA SATUAN'!$C$7:$C$1492,0),0))</f>
        <v>HDW</v>
      </c>
      <c r="E93" s="315" t="str">
        <f ca="1">IF(B93="+","Unit",IF(ISERROR(OFFSET('HARGA SATUAN'!$E$6,MATCH(RAB!C93,'HARGA SATUAN'!$C$7:$C$1492,0),0)),"",OFFSET('HARGA SATUAN'!$E$6,MATCH(RAB!C93,'HARGA SATUAN'!$C$7:$C$1492,0),0)))</f>
        <v>Set</v>
      </c>
      <c r="F93" s="442">
        <f>F91*1</f>
        <v>1</v>
      </c>
      <c r="G93" s="316">
        <f ca="1">IF(ISERROR(OFFSET('HARGA SATUAN'!$I$6,MATCH(RAB!C93,'HARGA SATUAN'!$C$7:$C$1492,0),0)),0,OFFSET('HARGA SATUAN'!$I$6,MATCH(RAB!C93,'HARGA SATUAN'!$C$7:$C$1492,0),0))</f>
        <v>6200</v>
      </c>
      <c r="H93" s="317">
        <f t="shared" ca="1" si="44"/>
        <v>0</v>
      </c>
      <c r="I93" s="317">
        <f t="shared" ca="1" si="45"/>
        <v>6200</v>
      </c>
      <c r="J93" s="317">
        <f t="shared" ca="1" si="46"/>
        <v>0</v>
      </c>
      <c r="K93" s="318">
        <f t="shared" ca="1" si="47"/>
        <v>6200</v>
      </c>
      <c r="L93" s="323"/>
      <c r="M93" s="323"/>
      <c r="N93" s="323"/>
      <c r="O93" s="319"/>
      <c r="P93" s="319"/>
      <c r="Q93" s="302"/>
      <c r="R93" s="294"/>
      <c r="S93" s="320"/>
      <c r="T93" s="299"/>
      <c r="U93" s="299"/>
      <c r="V93" s="299"/>
    </row>
    <row r="94" spans="1:22" s="324" customFormat="1">
      <c r="A94" s="294"/>
      <c r="B94" s="439">
        <v>3</v>
      </c>
      <c r="C94" s="441" t="s">
        <v>586</v>
      </c>
      <c r="D94" s="314" t="str">
        <f ca="1">IF(ISERROR(OFFSET('HARGA SATUAN'!$D$6,MATCH(RAB!C94,'HARGA SATUAN'!$C$7:$C$1492,0),0)),"",OFFSET('HARGA SATUAN'!$D$6,MATCH(RAB!C94,'HARGA SATUAN'!$C$7:$C$1492,0),0))</f>
        <v>HDW</v>
      </c>
      <c r="E94" s="315" t="str">
        <f ca="1">IF(B94="+","Unit",IF(ISERROR(OFFSET('HARGA SATUAN'!$E$6,MATCH(RAB!C94,'HARGA SATUAN'!$C$7:$C$1492,0),0)),"",OFFSET('HARGA SATUAN'!$E$6,MATCH(RAB!C94,'HARGA SATUAN'!$C$7:$C$1492,0),0)))</f>
        <v>Btg</v>
      </c>
      <c r="F94" s="442">
        <f>F91*1</f>
        <v>1</v>
      </c>
      <c r="G94" s="316">
        <f ca="1">IF(ISERROR(OFFSET('HARGA SATUAN'!$I$6,MATCH(RAB!C94,'HARGA SATUAN'!$C$7:$C$1492,0),0)),0,OFFSET('HARGA SATUAN'!$I$6,MATCH(RAB!C94,'HARGA SATUAN'!$C$7:$C$1492,0),0))</f>
        <v>45796</v>
      </c>
      <c r="H94" s="317">
        <f t="shared" ca="1" si="44"/>
        <v>0</v>
      </c>
      <c r="I94" s="317">
        <f t="shared" ca="1" si="45"/>
        <v>45796</v>
      </c>
      <c r="J94" s="317">
        <f t="shared" ca="1" si="46"/>
        <v>0</v>
      </c>
      <c r="K94" s="318">
        <f t="shared" ca="1" si="47"/>
        <v>45796</v>
      </c>
      <c r="L94" s="323"/>
      <c r="M94" s="323"/>
      <c r="N94" s="323"/>
      <c r="O94" s="319"/>
      <c r="P94" s="319"/>
      <c r="Q94" s="302"/>
      <c r="R94" s="294"/>
      <c r="S94" s="320"/>
      <c r="T94" s="299"/>
      <c r="U94" s="299"/>
      <c r="V94" s="299"/>
    </row>
    <row r="95" spans="1:22" s="324" customFormat="1">
      <c r="A95" s="294"/>
      <c r="B95" s="439">
        <v>4</v>
      </c>
      <c r="C95" s="441" t="s">
        <v>118</v>
      </c>
      <c r="D95" s="314" t="str">
        <f ca="1">IF(ISERROR(OFFSET('HARGA SATUAN'!$D$6,MATCH(RAB!C95,'HARGA SATUAN'!$C$7:$C$1492,0),0)),"",OFFSET('HARGA SATUAN'!$D$6,MATCH(RAB!C95,'HARGA SATUAN'!$C$7:$C$1492,0),0))</f>
        <v>HDW</v>
      </c>
      <c r="E95" s="315" t="str">
        <f ca="1">IF(B95="+","Unit",IF(ISERROR(OFFSET('HARGA SATUAN'!$E$6,MATCH(RAB!C95,'HARGA SATUAN'!$C$7:$C$1492,0),0)),"",OFFSET('HARGA SATUAN'!$E$6,MATCH(RAB!C95,'HARGA SATUAN'!$C$7:$C$1492,0),0)))</f>
        <v>Set</v>
      </c>
      <c r="F95" s="442">
        <f>F91*1</f>
        <v>1</v>
      </c>
      <c r="G95" s="316">
        <f ca="1">IF(ISERROR(OFFSET('HARGA SATUAN'!$I$6,MATCH(RAB!C95,'HARGA SATUAN'!$C$7:$C$1492,0),0)),0,OFFSET('HARGA SATUAN'!$I$6,MATCH(RAB!C95,'HARGA SATUAN'!$C$7:$C$1492,0),0))</f>
        <v>5300</v>
      </c>
      <c r="H95" s="317">
        <f t="shared" ca="1" si="44"/>
        <v>0</v>
      </c>
      <c r="I95" s="317">
        <f t="shared" ca="1" si="45"/>
        <v>5300</v>
      </c>
      <c r="J95" s="317">
        <f t="shared" ca="1" si="46"/>
        <v>0</v>
      </c>
      <c r="K95" s="318">
        <f t="shared" ca="1" si="47"/>
        <v>5300</v>
      </c>
      <c r="L95" s="323"/>
      <c r="M95" s="323"/>
      <c r="N95" s="323"/>
      <c r="O95" s="319"/>
      <c r="P95" s="319"/>
      <c r="Q95" s="302"/>
      <c r="R95" s="294"/>
      <c r="S95" s="320"/>
      <c r="T95" s="299"/>
      <c r="U95" s="299"/>
      <c r="V95" s="299"/>
    </row>
    <row r="96" spans="1:22" s="324" customFormat="1">
      <c r="A96" s="294"/>
      <c r="B96" s="439">
        <v>5</v>
      </c>
      <c r="C96" s="441" t="s">
        <v>117</v>
      </c>
      <c r="D96" s="314" t="str">
        <f ca="1">IF(ISERROR(OFFSET('HARGA SATUAN'!$D$6,MATCH(RAB!C96,'HARGA SATUAN'!$C$7:$C$1492,0),0)),"",OFFSET('HARGA SATUAN'!$D$6,MATCH(RAB!C96,'HARGA SATUAN'!$C$7:$C$1492,0),0))</f>
        <v>HDW</v>
      </c>
      <c r="E96" s="315" t="str">
        <f ca="1">IF(B96="+","Unit",IF(ISERROR(OFFSET('HARGA SATUAN'!$E$6,MATCH(RAB!C96,'HARGA SATUAN'!$C$7:$C$1492,0),0)),"",OFFSET('HARGA SATUAN'!$E$6,MATCH(RAB!C96,'HARGA SATUAN'!$C$7:$C$1492,0),0)))</f>
        <v>Bh</v>
      </c>
      <c r="F96" s="442">
        <f>F91*1</f>
        <v>1</v>
      </c>
      <c r="G96" s="316">
        <f ca="1">IF(ISERROR(OFFSET('HARGA SATUAN'!$I$6,MATCH(RAB!C96,'HARGA SATUAN'!$C$7:$C$1492,0),0)),0,OFFSET('HARGA SATUAN'!$I$6,MATCH(RAB!C96,'HARGA SATUAN'!$C$7:$C$1492,0),0))</f>
        <v>58600</v>
      </c>
      <c r="H96" s="317">
        <f t="shared" ca="1" si="44"/>
        <v>0</v>
      </c>
      <c r="I96" s="317">
        <f t="shared" ca="1" si="45"/>
        <v>58600</v>
      </c>
      <c r="J96" s="317">
        <f t="shared" ca="1" si="46"/>
        <v>0</v>
      </c>
      <c r="K96" s="318">
        <f t="shared" ca="1" si="47"/>
        <v>58600</v>
      </c>
      <c r="L96" s="323"/>
      <c r="M96" s="323"/>
      <c r="N96" s="323"/>
      <c r="O96" s="319"/>
      <c r="P96" s="319"/>
      <c r="Q96" s="302"/>
      <c r="R96" s="294"/>
      <c r="S96" s="320"/>
      <c r="T96" s="299"/>
      <c r="U96" s="299"/>
      <c r="V96" s="299"/>
    </row>
    <row r="97" spans="1:22" s="324" customFormat="1">
      <c r="A97" s="294"/>
      <c r="B97" s="439">
        <v>6</v>
      </c>
      <c r="C97" s="109" t="s">
        <v>1154</v>
      </c>
      <c r="D97" s="314" t="str">
        <f ca="1">IF(ISERROR(OFFSET('HARGA SATUAN'!$D$6,MATCH(RAB!C97,'HARGA SATUAN'!$C$7:$C$1492,0),0)),"",OFFSET('HARGA SATUAN'!$D$6,MATCH(RAB!C97,'HARGA SATUAN'!$C$7:$C$1492,0),0))</f>
        <v>HDW</v>
      </c>
      <c r="E97" s="315" t="str">
        <f ca="1">IF(B97="+","Unit",IF(ISERROR(OFFSET('HARGA SATUAN'!$E$6,MATCH(RAB!C97,'HARGA SATUAN'!$C$7:$C$1492,0),0)),"",OFFSET('HARGA SATUAN'!$E$6,MATCH(RAB!C97,'HARGA SATUAN'!$C$7:$C$1492,0),0)))</f>
        <v>Set</v>
      </c>
      <c r="F97" s="442">
        <f>F91*2</f>
        <v>2</v>
      </c>
      <c r="G97" s="316">
        <f ca="1">IF(ISERROR(OFFSET('HARGA SATUAN'!$I$6,MATCH(RAB!C97,'HARGA SATUAN'!$C$7:$C$1492,0),0)),0,OFFSET('HARGA SATUAN'!$I$6,MATCH(RAB!C97,'HARGA SATUAN'!$C$7:$C$1492,0),0))</f>
        <v>2900</v>
      </c>
      <c r="H97" s="317">
        <f t="shared" ca="1" si="44"/>
        <v>0</v>
      </c>
      <c r="I97" s="317">
        <f t="shared" ca="1" si="45"/>
        <v>5800</v>
      </c>
      <c r="J97" s="317">
        <f t="shared" ca="1" si="46"/>
        <v>0</v>
      </c>
      <c r="K97" s="318">
        <f t="shared" ca="1" si="47"/>
        <v>5800</v>
      </c>
      <c r="L97" s="323"/>
      <c r="M97" s="323"/>
      <c r="N97" s="323"/>
      <c r="O97" s="319"/>
      <c r="P97" s="319"/>
      <c r="Q97" s="302"/>
      <c r="R97" s="294"/>
      <c r="S97" s="320"/>
      <c r="T97" s="299"/>
      <c r="U97" s="299"/>
      <c r="V97" s="299"/>
    </row>
    <row r="98" spans="1:22" s="324" customFormat="1">
      <c r="A98" s="294"/>
      <c r="B98" s="439">
        <v>7</v>
      </c>
      <c r="C98" s="441" t="s">
        <v>119</v>
      </c>
      <c r="D98" s="314" t="str">
        <f ca="1">IF(ISERROR(OFFSET('HARGA SATUAN'!$D$6,MATCH(RAB!C98,'HARGA SATUAN'!$C$7:$C$1492,0),0)),"",OFFSET('HARGA SATUAN'!$D$6,MATCH(RAB!C98,'HARGA SATUAN'!$C$7:$C$1492,0),0))</f>
        <v>HDW</v>
      </c>
      <c r="E98" s="315" t="str">
        <f ca="1">IF(B98="+","Unit",IF(ISERROR(OFFSET('HARGA SATUAN'!$E$6,MATCH(RAB!C98,'HARGA SATUAN'!$C$7:$C$1492,0),0)),"",OFFSET('HARGA SATUAN'!$E$6,MATCH(RAB!C98,'HARGA SATUAN'!$C$7:$C$1492,0),0)))</f>
        <v>Set</v>
      </c>
      <c r="F98" s="442">
        <f>F91*4</f>
        <v>4</v>
      </c>
      <c r="G98" s="316">
        <f ca="1">IF(ISERROR(OFFSET('HARGA SATUAN'!$I$6,MATCH(RAB!C98,'HARGA SATUAN'!$C$7:$C$1492,0),0)),0,OFFSET('HARGA SATUAN'!$I$6,MATCH(RAB!C98,'HARGA SATUAN'!$C$7:$C$1492,0),0))</f>
        <v>8900</v>
      </c>
      <c r="H98" s="317">
        <f t="shared" ca="1" si="44"/>
        <v>0</v>
      </c>
      <c r="I98" s="317">
        <f t="shared" ca="1" si="45"/>
        <v>35600</v>
      </c>
      <c r="J98" s="317">
        <f t="shared" ca="1" si="46"/>
        <v>0</v>
      </c>
      <c r="K98" s="318">
        <f t="shared" ca="1" si="47"/>
        <v>35600</v>
      </c>
      <c r="L98" s="323"/>
      <c r="M98" s="323"/>
      <c r="N98" s="323"/>
      <c r="O98" s="319"/>
      <c r="P98" s="319"/>
      <c r="Q98" s="302"/>
      <c r="R98" s="294"/>
      <c r="S98" s="320"/>
      <c r="T98" s="299"/>
      <c r="U98" s="299"/>
      <c r="V98" s="299"/>
    </row>
    <row r="99" spans="1:22" s="324" customFormat="1">
      <c r="A99" s="294"/>
      <c r="B99" s="439"/>
      <c r="C99" s="440"/>
      <c r="D99" s="314" t="str">
        <f ca="1">IF(ISERROR(OFFSET('HARGA SATUAN'!$D$6,MATCH(RAB!C99,'HARGA SATUAN'!$C$7:$C$1492,0),0)),"",OFFSET('HARGA SATUAN'!$D$6,MATCH(RAB!C99,'HARGA SATUAN'!$C$7:$C$1492,0),0))</f>
        <v/>
      </c>
      <c r="E99" s="315" t="str">
        <f ca="1">IF(B99="+","Unit",IF(ISERROR(OFFSET('HARGA SATUAN'!$E$6,MATCH(RAB!C99,'HARGA SATUAN'!$C$7:$C$1492,0),0)),"",OFFSET('HARGA SATUAN'!$E$6,MATCH(RAB!C99,'HARGA SATUAN'!$C$7:$C$1492,0),0)))</f>
        <v/>
      </c>
      <c r="F99" s="434"/>
      <c r="G99" s="316">
        <f ca="1">IF(ISERROR(OFFSET('HARGA SATUAN'!$I$6,MATCH(RAB!C99,'HARGA SATUAN'!$C$7:$C$1492,0),0)),0,OFFSET('HARGA SATUAN'!$I$6,MATCH(RAB!C99,'HARGA SATUAN'!$C$7:$C$1492,0),0))</f>
        <v>0</v>
      </c>
      <c r="H99" s="317">
        <f t="shared" ca="1" si="44"/>
        <v>0</v>
      </c>
      <c r="I99" s="317">
        <f t="shared" ca="1" si="45"/>
        <v>0</v>
      </c>
      <c r="J99" s="317">
        <f t="shared" ca="1" si="46"/>
        <v>0</v>
      </c>
      <c r="K99" s="318">
        <f t="shared" ca="1" si="47"/>
        <v>0</v>
      </c>
      <c r="L99" s="323"/>
      <c r="M99" s="323"/>
      <c r="N99" s="323"/>
      <c r="O99" s="319"/>
      <c r="P99" s="319"/>
      <c r="Q99" s="302"/>
      <c r="R99" s="294"/>
      <c r="S99" s="320"/>
      <c r="T99" s="299"/>
      <c r="U99" s="299"/>
      <c r="V99" s="299"/>
    </row>
    <row r="100" spans="1:22" s="324" customFormat="1">
      <c r="A100" s="294"/>
      <c r="B100" s="439" t="s">
        <v>1034</v>
      </c>
      <c r="C100" s="440" t="s">
        <v>1607</v>
      </c>
      <c r="D100" s="314" t="str">
        <f ca="1">IF(ISERROR(OFFSET('HARGA SATUAN'!$D$6,MATCH(RAB!C100,'HARGA SATUAN'!$C$7:$C$1492,0),0)),"",OFFSET('HARGA SATUAN'!$D$6,MATCH(RAB!C100,'HARGA SATUAN'!$C$7:$C$1492,0),0))</f>
        <v/>
      </c>
      <c r="E100" s="315" t="str">
        <f ca="1">IF(B100="+","Unit",IF(ISERROR(OFFSET('HARGA SATUAN'!$E$6,MATCH(RAB!C100,'HARGA SATUAN'!$C$7:$C$1492,0),0)),"",OFFSET('HARGA SATUAN'!$E$6,MATCH(RAB!C100,'HARGA SATUAN'!$C$7:$C$1492,0),0)))</f>
        <v>Unit</v>
      </c>
      <c r="F100" s="434">
        <v>1</v>
      </c>
      <c r="G100" s="316">
        <f ca="1">IF(ISERROR(OFFSET('HARGA SATUAN'!$I$6,MATCH(RAB!C100,'HARGA SATUAN'!$C$7:$C$1492,0),0)),0,OFFSET('HARGA SATUAN'!$I$6,MATCH(RAB!C100,'HARGA SATUAN'!$C$7:$C$1492,0),0))</f>
        <v>0</v>
      </c>
      <c r="H100" s="317">
        <f t="shared" ca="1" si="44"/>
        <v>0</v>
      </c>
      <c r="I100" s="317">
        <f t="shared" ca="1" si="45"/>
        <v>0</v>
      </c>
      <c r="J100" s="317">
        <f t="shared" ca="1" si="46"/>
        <v>0</v>
      </c>
      <c r="K100" s="318">
        <f t="shared" ca="1" si="47"/>
        <v>0</v>
      </c>
      <c r="L100" s="323"/>
      <c r="M100" s="323"/>
      <c r="N100" s="323"/>
      <c r="O100" s="319"/>
      <c r="P100" s="319"/>
      <c r="Q100" s="302"/>
      <c r="R100" s="294"/>
      <c r="S100" s="320"/>
      <c r="T100" s="299"/>
      <c r="U100" s="299"/>
      <c r="V100" s="299"/>
    </row>
    <row r="101" spans="1:22" s="324" customFormat="1">
      <c r="A101" s="294"/>
      <c r="B101" s="439">
        <v>1</v>
      </c>
      <c r="C101" s="440" t="s">
        <v>29</v>
      </c>
      <c r="D101" s="314" t="str">
        <f ca="1">IF(ISERROR(OFFSET('HARGA SATUAN'!$D$6,MATCH(RAB!C101,'HARGA SATUAN'!$C$7:$C$1492,0),0)),"",OFFSET('HARGA SATUAN'!$D$6,MATCH(RAB!C101,'HARGA SATUAN'!$C$7:$C$1492,0),0))</f>
        <v>HDW</v>
      </c>
      <c r="E101" s="315" t="str">
        <f ca="1">IF(B101="+","Unit",IF(ISERROR(OFFSET('HARGA SATUAN'!$E$6,MATCH(RAB!C101,'HARGA SATUAN'!$C$7:$C$1492,0),0)),"",OFFSET('HARGA SATUAN'!$E$6,MATCH(RAB!C101,'HARGA SATUAN'!$C$7:$C$1492,0),0)))</f>
        <v>Bh</v>
      </c>
      <c r="F101" s="434">
        <f>F100*1</f>
        <v>1</v>
      </c>
      <c r="G101" s="316">
        <f ca="1">IF(ISERROR(OFFSET('HARGA SATUAN'!$I$6,MATCH(RAB!C101,'HARGA SATUAN'!$C$7:$C$1492,0),0)),0,OFFSET('HARGA SATUAN'!$I$6,MATCH(RAB!C101,'HARGA SATUAN'!$C$7:$C$1492,0),0))</f>
        <v>185200</v>
      </c>
      <c r="H101" s="317">
        <f t="shared" ca="1" si="44"/>
        <v>0</v>
      </c>
      <c r="I101" s="317">
        <f t="shared" ca="1" si="45"/>
        <v>185200</v>
      </c>
      <c r="J101" s="317">
        <f t="shared" ca="1" si="46"/>
        <v>0</v>
      </c>
      <c r="K101" s="318">
        <f t="shared" ca="1" si="47"/>
        <v>185200</v>
      </c>
      <c r="L101" s="323"/>
      <c r="M101" s="323"/>
      <c r="N101" s="323"/>
      <c r="O101" s="319"/>
      <c r="P101" s="319"/>
      <c r="Q101" s="302"/>
      <c r="R101" s="294"/>
      <c r="S101" s="320"/>
      <c r="T101" s="299"/>
      <c r="U101" s="299"/>
      <c r="V101" s="299"/>
    </row>
    <row r="102" spans="1:22" s="324" customFormat="1">
      <c r="A102" s="294"/>
      <c r="B102" s="439">
        <v>2</v>
      </c>
      <c r="C102" s="440" t="s">
        <v>30</v>
      </c>
      <c r="D102" s="314" t="str">
        <f ca="1">IF(ISERROR(OFFSET('HARGA SATUAN'!$D$6,MATCH(RAB!C102,'HARGA SATUAN'!$C$7:$C$1492,0),0)),"",OFFSET('HARGA SATUAN'!$D$6,MATCH(RAB!C102,'HARGA SATUAN'!$C$7:$C$1492,0),0))</f>
        <v>HDW</v>
      </c>
      <c r="E102" s="315" t="str">
        <f ca="1">IF(B102="+","Unit",IF(ISERROR(OFFSET('HARGA SATUAN'!$E$6,MATCH(RAB!C102,'HARGA SATUAN'!$C$7:$C$1492,0),0)),"",OFFSET('HARGA SATUAN'!$E$6,MATCH(RAB!C102,'HARGA SATUAN'!$C$7:$C$1492,0),0)))</f>
        <v>Bh</v>
      </c>
      <c r="F102" s="434">
        <f>F100*1</f>
        <v>1</v>
      </c>
      <c r="G102" s="316">
        <f ca="1">IF(ISERROR(OFFSET('HARGA SATUAN'!$I$6,MATCH(RAB!C102,'HARGA SATUAN'!$C$7:$C$1492,0),0)),0,OFFSET('HARGA SATUAN'!$I$6,MATCH(RAB!C102,'HARGA SATUAN'!$C$7:$C$1492,0),0))</f>
        <v>47459</v>
      </c>
      <c r="H102" s="317">
        <f t="shared" ca="1" si="44"/>
        <v>0</v>
      </c>
      <c r="I102" s="317">
        <f t="shared" ca="1" si="45"/>
        <v>47459</v>
      </c>
      <c r="J102" s="317">
        <f t="shared" ca="1" si="46"/>
        <v>0</v>
      </c>
      <c r="K102" s="318">
        <f t="shared" ca="1" si="47"/>
        <v>47459</v>
      </c>
      <c r="L102" s="323"/>
      <c r="M102" s="323"/>
      <c r="N102" s="323"/>
      <c r="O102" s="319"/>
      <c r="P102" s="319"/>
      <c r="Q102" s="302"/>
      <c r="R102" s="294"/>
      <c r="S102" s="320"/>
      <c r="T102" s="299"/>
      <c r="U102" s="299"/>
      <c r="V102" s="299"/>
    </row>
    <row r="103" spans="1:22" s="324" customFormat="1">
      <c r="A103" s="294"/>
      <c r="B103" s="439">
        <v>3</v>
      </c>
      <c r="C103" s="440" t="s">
        <v>32</v>
      </c>
      <c r="D103" s="314" t="str">
        <f ca="1">IF(ISERROR(OFFSET('HARGA SATUAN'!$D$6,MATCH(RAB!C103,'HARGA SATUAN'!$C$7:$C$1492,0),0)),"",OFFSET('HARGA SATUAN'!$D$6,MATCH(RAB!C103,'HARGA SATUAN'!$C$7:$C$1492,0),0))</f>
        <v>HDW</v>
      </c>
      <c r="E103" s="315" t="str">
        <f ca="1">IF(B103="+","Unit",IF(ISERROR(OFFSET('HARGA SATUAN'!$E$6,MATCH(RAB!C103,'HARGA SATUAN'!$C$7:$C$1492,0),0)),"",OFFSET('HARGA SATUAN'!$E$6,MATCH(RAB!C103,'HARGA SATUAN'!$C$7:$C$1492,0),0)))</f>
        <v>Mtr</v>
      </c>
      <c r="F103" s="434">
        <f>F100*1.5</f>
        <v>1.5</v>
      </c>
      <c r="G103" s="316">
        <f ca="1">IF(ISERROR(OFFSET('HARGA SATUAN'!$I$6,MATCH(RAB!C103,'HARGA SATUAN'!$C$7:$C$1492,0),0)),0,OFFSET('HARGA SATUAN'!$I$6,MATCH(RAB!C103,'HARGA SATUAN'!$C$7:$C$1492,0),0))</f>
        <v>30000</v>
      </c>
      <c r="H103" s="317">
        <f t="shared" ca="1" si="44"/>
        <v>0</v>
      </c>
      <c r="I103" s="317">
        <f t="shared" ca="1" si="45"/>
        <v>45000</v>
      </c>
      <c r="J103" s="317">
        <f t="shared" ca="1" si="46"/>
        <v>0</v>
      </c>
      <c r="K103" s="318">
        <f t="shared" ca="1" si="47"/>
        <v>45000</v>
      </c>
      <c r="L103" s="323"/>
      <c r="M103" s="323"/>
      <c r="N103" s="323"/>
      <c r="O103" s="319"/>
      <c r="P103" s="319"/>
      <c r="Q103" s="302"/>
      <c r="R103" s="294"/>
      <c r="S103" s="320"/>
      <c r="T103" s="299"/>
      <c r="U103" s="299"/>
      <c r="V103" s="299"/>
    </row>
    <row r="104" spans="1:22" s="324" customFormat="1">
      <c r="A104" s="294"/>
      <c r="B104" s="439">
        <v>4</v>
      </c>
      <c r="C104" s="440" t="s">
        <v>33</v>
      </c>
      <c r="D104" s="314" t="str">
        <f ca="1">IF(ISERROR(OFFSET('HARGA SATUAN'!$D$6,MATCH(RAB!C104,'HARGA SATUAN'!$C$7:$C$1492,0),0)),"",OFFSET('HARGA SATUAN'!$D$6,MATCH(RAB!C104,'HARGA SATUAN'!$C$7:$C$1492,0),0))</f>
        <v>HDW</v>
      </c>
      <c r="E104" s="315" t="str">
        <f ca="1">IF(B104="+","Unit",IF(ISERROR(OFFSET('HARGA SATUAN'!$E$6,MATCH(RAB!C104,'HARGA SATUAN'!$C$7:$C$1492,0),0)),"",OFFSET('HARGA SATUAN'!$E$6,MATCH(RAB!C104,'HARGA SATUAN'!$C$7:$C$1492,0),0)))</f>
        <v>Bh</v>
      </c>
      <c r="F104" s="434">
        <f>F100*2</f>
        <v>2</v>
      </c>
      <c r="G104" s="316">
        <f ca="1">IF(ISERROR(OFFSET('HARGA SATUAN'!$I$6,MATCH(RAB!C104,'HARGA SATUAN'!$C$7:$C$1492,0),0)),0,OFFSET('HARGA SATUAN'!$I$6,MATCH(RAB!C104,'HARGA SATUAN'!$C$7:$C$1492,0),0))</f>
        <v>9500</v>
      </c>
      <c r="H104" s="317">
        <f t="shared" ca="1" si="44"/>
        <v>0</v>
      </c>
      <c r="I104" s="317">
        <f t="shared" ca="1" si="45"/>
        <v>19000</v>
      </c>
      <c r="J104" s="317">
        <f t="shared" ca="1" si="46"/>
        <v>0</v>
      </c>
      <c r="K104" s="318">
        <f t="shared" ca="1" si="47"/>
        <v>19000</v>
      </c>
      <c r="L104" s="323"/>
      <c r="M104" s="323"/>
      <c r="N104" s="323"/>
      <c r="O104" s="319"/>
      <c r="P104" s="319"/>
      <c r="Q104" s="302"/>
      <c r="R104" s="294"/>
      <c r="S104" s="320"/>
      <c r="T104" s="299"/>
      <c r="U104" s="299"/>
      <c r="V104" s="299"/>
    </row>
    <row r="105" spans="1:22" s="324" customFormat="1">
      <c r="A105" s="294"/>
      <c r="B105" s="439">
        <v>5</v>
      </c>
      <c r="C105" s="440" t="s">
        <v>734</v>
      </c>
      <c r="D105" s="314" t="str">
        <f ca="1">IF(ISERROR(OFFSET('HARGA SATUAN'!$D$6,MATCH(RAB!C105,'HARGA SATUAN'!$C$7:$C$1492,0),0)),"",OFFSET('HARGA SATUAN'!$D$6,MATCH(RAB!C105,'HARGA SATUAN'!$C$7:$C$1492,0),0))</f>
        <v>JASA</v>
      </c>
      <c r="E105" s="315" t="str">
        <f ca="1">IF(B105="+","Unit",IF(ISERROR(OFFSET('HARGA SATUAN'!$E$6,MATCH(RAB!C105,'HARGA SATUAN'!$C$7:$C$1492,0),0)),"",OFFSET('HARGA SATUAN'!$E$6,MATCH(RAB!C105,'HARGA SATUAN'!$C$7:$C$1492,0),0)))</f>
        <v>Unit</v>
      </c>
      <c r="F105" s="434">
        <f>F100*1</f>
        <v>1</v>
      </c>
      <c r="G105" s="316">
        <f ca="1">IF(ISERROR(OFFSET('HARGA SATUAN'!$I$6,MATCH(RAB!C105,'HARGA SATUAN'!$C$7:$C$1492,0),0)),0,OFFSET('HARGA SATUAN'!$I$6,MATCH(RAB!C105,'HARGA SATUAN'!$C$7:$C$1492,0),0))</f>
        <v>56400</v>
      </c>
      <c r="H105" s="317">
        <f t="shared" ca="1" si="44"/>
        <v>0</v>
      </c>
      <c r="I105" s="317">
        <f t="shared" ca="1" si="45"/>
        <v>0</v>
      </c>
      <c r="J105" s="317">
        <f t="shared" ca="1" si="46"/>
        <v>56400</v>
      </c>
      <c r="K105" s="318">
        <f t="shared" ca="1" si="47"/>
        <v>56400</v>
      </c>
      <c r="L105" s="323"/>
      <c r="M105" s="323"/>
      <c r="N105" s="323"/>
      <c r="O105" s="319"/>
      <c r="P105" s="319"/>
      <c r="Q105" s="302"/>
      <c r="R105" s="294"/>
      <c r="S105" s="320"/>
      <c r="T105" s="299"/>
      <c r="U105" s="299"/>
      <c r="V105" s="299"/>
    </row>
    <row r="106" spans="1:22" s="324" customFormat="1">
      <c r="A106" s="294"/>
      <c r="B106" s="439"/>
      <c r="C106" s="440"/>
      <c r="D106" s="314" t="str">
        <f ca="1">IF(ISERROR(OFFSET('HARGA SATUAN'!$D$6,MATCH(RAB!C106,'HARGA SATUAN'!$C$7:$C$1492,0),0)),"",OFFSET('HARGA SATUAN'!$D$6,MATCH(RAB!C106,'HARGA SATUAN'!$C$7:$C$1492,0),0))</f>
        <v/>
      </c>
      <c r="E106" s="315" t="str">
        <f ca="1">IF(B106="+","Unit",IF(ISERROR(OFFSET('HARGA SATUAN'!$E$6,MATCH(RAB!C106,'HARGA SATUAN'!$C$7:$C$1492,0),0)),"",OFFSET('HARGA SATUAN'!$E$6,MATCH(RAB!C106,'HARGA SATUAN'!$C$7:$C$1492,0),0)))</f>
        <v/>
      </c>
      <c r="F106" s="434"/>
      <c r="G106" s="316">
        <f ca="1">IF(ISERROR(OFFSET('HARGA SATUAN'!$I$6,MATCH(RAB!C106,'HARGA SATUAN'!$C$7:$C$1492,0),0)),0,OFFSET('HARGA SATUAN'!$I$6,MATCH(RAB!C106,'HARGA SATUAN'!$C$7:$C$1492,0),0))</f>
        <v>0</v>
      </c>
      <c r="H106" s="317">
        <f t="shared" ca="1" si="44"/>
        <v>0</v>
      </c>
      <c r="I106" s="317">
        <f t="shared" ca="1" si="45"/>
        <v>0</v>
      </c>
      <c r="J106" s="317">
        <f t="shared" ca="1" si="46"/>
        <v>0</v>
      </c>
      <c r="K106" s="318">
        <f t="shared" ca="1" si="47"/>
        <v>0</v>
      </c>
      <c r="L106" s="323"/>
      <c r="M106" s="323"/>
      <c r="N106" s="323"/>
      <c r="O106" s="319"/>
      <c r="P106" s="319"/>
      <c r="Q106" s="302"/>
      <c r="R106" s="294"/>
      <c r="S106" s="320"/>
      <c r="T106" s="299"/>
      <c r="U106" s="299"/>
      <c r="V106" s="299"/>
    </row>
    <row r="107" spans="1:22">
      <c r="B107" s="326">
        <v>1</v>
      </c>
      <c r="C107" s="327" t="s">
        <v>1090</v>
      </c>
      <c r="D107" s="328" t="str">
        <f ca="1">IF(ISERROR(OFFSET('HARGA SATUAN'!$D$6,MATCH(RAB!C107,'HARGA SATUAN'!$C$7:$C$1492,0),0)),"",OFFSET('HARGA SATUAN'!$D$6,MATCH(RAB!C107,'HARGA SATUAN'!$C$7:$C$1492,0),0))</f>
        <v>JASA</v>
      </c>
      <c r="E107" s="329" t="str">
        <f ca="1">IF(ISERROR(OFFSET('HARGA SATUAN'!$E$6,MATCH(RAB!C107,'HARGA SATUAN'!$C$7:$C$1492,0),0)),"",OFFSET('HARGA SATUAN'!$E$6,MATCH(RAB!C107,'HARGA SATUAN'!$C$7:$C$1492,0),0))</f>
        <v>Lot</v>
      </c>
      <c r="F107" s="330">
        <v>1</v>
      </c>
      <c r="G107" s="331">
        <f ca="1">IF(ISERROR(OFFSET('HARGA SATUAN'!$I$6,MATCH(RAB!C107,'HARGA SATUAN'!$C$7:$C$1492,0),0)),0,OFFSET('HARGA SATUAN'!$I$6,MATCH(RAB!C107,'HARGA SATUAN'!$C$7:$C$1492,0),0))</f>
        <v>2.5000000000000001E-2</v>
      </c>
      <c r="H107" s="332">
        <f ca="1">(SUM(H17:H106))*2.5%</f>
        <v>2752236.25</v>
      </c>
      <c r="I107" s="332">
        <f ca="1">(SUM(I17:I106))*2.5%</f>
        <v>243871.125</v>
      </c>
      <c r="J107" s="332">
        <f ca="1">(SUM(J17:J106))*2.5%</f>
        <v>143495.77615625854</v>
      </c>
      <c r="K107" s="332">
        <f ca="1">(SUM(K17:K106))*2.5%</f>
        <v>3139603.1511562588</v>
      </c>
    </row>
    <row r="108" spans="1:22">
      <c r="B108" s="333"/>
      <c r="C108" s="334"/>
      <c r="D108" s="314" t="str">
        <f ca="1">IF(ISERROR(OFFSET('HARGA SATUAN'!$D$6,MATCH(RAB!C108,'HARGA SATUAN'!$C$7:$C$1492,0),0)),"",OFFSET('HARGA SATUAN'!$D$6,MATCH(RAB!C108,'HARGA SATUAN'!$C$7:$C$1492,0),0))</f>
        <v/>
      </c>
      <c r="E108" s="315" t="str">
        <f ca="1">IF(ISERROR(OFFSET('HARGA SATUAN'!$E$6,MATCH(RAB!C108,'HARGA SATUAN'!$C$7:$C$1492,0),0)),"",OFFSET('HARGA SATUAN'!$E$6,MATCH(RAB!C108,'HARGA SATUAN'!$C$7:$C$1492,0),0))</f>
        <v/>
      </c>
      <c r="F108" s="325"/>
      <c r="G108" s="316" t="str">
        <f ca="1">IF(ISERROR(OFFSET('HARGA SATUAN'!$I$6,MATCH(RAB!C108,'HARGA SATUAN'!$C$7:$C$1492,0),0)),"",OFFSET('HARGA SATUAN'!$I$6,MATCH(RAB!C108,'HARGA SATUAN'!$C$7:$C$1492,0),0))</f>
        <v/>
      </c>
      <c r="H108" s="317">
        <f ca="1">IF(OR(D108="MDU",D108="MDU-KD"),IF(G108="PLN",0,G108*F108),0)</f>
        <v>0</v>
      </c>
      <c r="I108" s="317">
        <f ca="1">IF(D108="HDW",IF(G108="PLN",0,G108*F108),0)</f>
        <v>0</v>
      </c>
      <c r="J108" s="317">
        <f ca="1">IF(D108="JASA",IF(G108="PLN",0,G108*F108),0)</f>
        <v>0</v>
      </c>
      <c r="K108" s="318">
        <f ca="1">SUM(H108:J108)</f>
        <v>0</v>
      </c>
    </row>
    <row r="109" spans="1:22" ht="15.75" thickBot="1">
      <c r="B109" s="335"/>
      <c r="C109" s="336"/>
      <c r="D109" s="337"/>
      <c r="E109" s="338"/>
      <c r="F109" s="338"/>
      <c r="G109" s="338"/>
      <c r="H109" s="339"/>
      <c r="I109" s="339"/>
      <c r="J109" s="339"/>
      <c r="K109" s="340"/>
    </row>
    <row r="110" spans="1:22">
      <c r="B110" s="341"/>
      <c r="C110" s="601" t="s">
        <v>1007</v>
      </c>
      <c r="D110" s="601"/>
      <c r="E110" s="601"/>
      <c r="F110" s="601"/>
      <c r="G110" s="342" t="s">
        <v>9</v>
      </c>
      <c r="H110" s="343">
        <f ca="1">SUM(H17:H108)</f>
        <v>112841686.25</v>
      </c>
      <c r="I110" s="343">
        <f ca="1">SUM(I17:I108)</f>
        <v>9998716.125</v>
      </c>
      <c r="J110" s="343">
        <f ca="1">SUM(J17:J108)</f>
        <v>5883326.8224066002</v>
      </c>
      <c r="K110" s="343">
        <f ca="1">SUM(K17:K108)</f>
        <v>128723729.1974066</v>
      </c>
    </row>
    <row r="111" spans="1:22">
      <c r="B111" s="344"/>
      <c r="C111" s="617" t="s">
        <v>1455</v>
      </c>
      <c r="D111" s="617"/>
      <c r="E111" s="617"/>
      <c r="F111" s="617"/>
      <c r="G111" s="345" t="s">
        <v>9</v>
      </c>
      <c r="H111" s="346">
        <f ca="1">H110*0.11</f>
        <v>12412585.487500001</v>
      </c>
      <c r="I111" s="346">
        <f ca="1">I110*0.11</f>
        <v>1099858.7737499999</v>
      </c>
      <c r="J111" s="346">
        <f ca="1">J110*0.11</f>
        <v>647165.95046472608</v>
      </c>
      <c r="K111" s="346">
        <f ca="1">K110*0.11</f>
        <v>14159610.211714726</v>
      </c>
    </row>
    <row r="112" spans="1:22" ht="15.75" thickBot="1">
      <c r="B112" s="344"/>
      <c r="C112" s="615" t="s">
        <v>463</v>
      </c>
      <c r="D112" s="615"/>
      <c r="E112" s="615"/>
      <c r="F112" s="615"/>
      <c r="G112" s="347" t="s">
        <v>9</v>
      </c>
      <c r="H112" s="348">
        <f ca="1">SUM(H110:H111)</f>
        <v>125254271.7375</v>
      </c>
      <c r="I112" s="348">
        <f ca="1">SUM(I110:I111)</f>
        <v>11098574.89875</v>
      </c>
      <c r="J112" s="347">
        <f ca="1">SUM(J110:J111)</f>
        <v>6530492.7728713267</v>
      </c>
      <c r="K112" s="347">
        <f ca="1">SUM(K110:K111)</f>
        <v>142883339.40912133</v>
      </c>
      <c r="M112" s="426"/>
    </row>
    <row r="113" spans="2:11">
      <c r="B113" s="618" t="str">
        <f ca="1">"Terbilang : "&amp;PROPER(IF(K112=0,"nol",IF(K112&lt;0,"minus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IF(--MID(TEXT(ABS(K112),"000000000000000"),1,3)=0,"",MID(TEXT(ABS(K112),"000000000000000"),1,1)&amp;" ratus "&amp;MID(TEXT(ABS(K112),"000000000000000"),2,1)&amp;" puluh "&amp;MID(TEXT(ABS(K112),"000000000000000"),3,1)&amp;" trilyun ")&amp; IF(--MID(TEXT(ABS(K112),"000000000000000"),4,3)=0,"",MID(TEXT(ABS(K112),"000000000000000"),4,1)&amp;" ratus "&amp;MID(TEXT(ABS(K112),"000000000000000"),5,1)&amp;" puluh "&amp;MID(TEXT(ABS(K112),"000000000000000"),6,1)&amp;" milyar ")&amp; IF(--MID(TEXT(ABS(K112),"000000000000000"),7,3)=0,"",MID(TEXT(ABS(K112),"000000000000000"),7,1)&amp;" ratus "&amp;MID(TEXT(ABS(K112),"000000000000000"),8,1)&amp;" puluh "&amp;MID(TEXT(ABS(K112),"000000000000000"),9,1)&amp;" juta ")&amp; IF(--MID(TEXT(ABS(K112),"000000000000000"),10,3)=0,"",IF(--MID(TEXT(ABS(K112),"000000000000000"),10,3)=1,"*",MID(TEXT(ABS(K112),"000000000000000"),10,1)&amp;" ratus "&amp;MID(TEXT(ABS(K112),"000000000000000"),11,1)&amp;" puluh ")&amp;MID(TEXT(ABS(K112),"000000000000000"),12,1)&amp;" ribu ")&amp; IF(--MID(TEXT(ABS(K112),"000000000000000"),13,3)=0,"",MID(TEXT(ABS(K112),"000000000000000"),13,1)&amp;" ratus "&amp;MID(TEXT(ABS(K112),"000000000000000"),14,1)&amp;" puluh "&amp;MID(TEXT(ABS(K112),"000000000000000"),15,1)),1,"satu"),2,"dua"),3,"tiga"),4,"empat"),5,"lima"),6,"enam"),7,"tujuh"),8,"delapan"),9,"sembilan"),"0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Empat Puluh Dua Juta Delapan Ratus Delapan Puluh Tiga Ribu Tiga Ratus Tiga Puluh Sembilan Rupiah</v>
      </c>
      <c r="C113" s="619"/>
      <c r="D113" s="619"/>
      <c r="E113" s="619"/>
      <c r="F113" s="619"/>
      <c r="G113" s="619"/>
      <c r="H113" s="619"/>
      <c r="I113" s="619"/>
      <c r="J113" s="619"/>
      <c r="K113" s="620"/>
    </row>
    <row r="114" spans="2:11">
      <c r="B114" s="621"/>
      <c r="C114" s="622"/>
      <c r="D114" s="622"/>
      <c r="E114" s="622"/>
      <c r="F114" s="622"/>
      <c r="G114" s="622"/>
      <c r="H114" s="622"/>
      <c r="I114" s="622"/>
      <c r="J114" s="622"/>
      <c r="K114" s="623"/>
    </row>
    <row r="115" spans="2:11" ht="15.75" thickBot="1">
      <c r="B115" s="349" t="str">
        <f>"Harga yang dipakai adalah "&amp;'HARGA SATUAN'!I5&amp;""</f>
        <v>Harga yang dipakai adalah RAB HSS 2023</v>
      </c>
      <c r="C115" s="350"/>
      <c r="D115" s="351"/>
      <c r="E115" s="351"/>
      <c r="F115" s="351"/>
      <c r="G115" s="352"/>
      <c r="H115" s="352"/>
      <c r="I115" s="352"/>
      <c r="J115" s="352"/>
      <c r="K115" s="353"/>
    </row>
    <row r="116" spans="2:11">
      <c r="C116" s="354"/>
      <c r="E116" s="356"/>
      <c r="F116" s="356"/>
      <c r="G116" s="356"/>
    </row>
    <row r="117" spans="2:11">
      <c r="C117" s="295"/>
      <c r="E117" s="356"/>
      <c r="F117" s="356"/>
      <c r="G117" s="356"/>
      <c r="H117" s="624"/>
      <c r="I117" s="624"/>
      <c r="J117" s="625"/>
      <c r="K117" s="625"/>
    </row>
    <row r="118" spans="2:11">
      <c r="C118" s="295"/>
      <c r="E118" s="356"/>
      <c r="F118" s="356"/>
      <c r="G118" s="356"/>
      <c r="H118" s="357"/>
      <c r="I118" s="614" t="s">
        <v>1605</v>
      </c>
      <c r="J118" s="614"/>
      <c r="K118" s="614"/>
    </row>
    <row r="119" spans="2:11">
      <c r="C119" s="295"/>
      <c r="E119" s="356"/>
      <c r="F119" s="356"/>
      <c r="G119" s="356"/>
      <c r="H119" s="357"/>
      <c r="I119" s="614" t="s">
        <v>1544</v>
      </c>
      <c r="J119" s="614"/>
      <c r="K119" s="614"/>
    </row>
    <row r="120" spans="2:11">
      <c r="C120" s="295"/>
      <c r="E120" s="356"/>
      <c r="F120" s="356"/>
      <c r="G120" s="356"/>
      <c r="H120" s="358"/>
      <c r="I120" s="359"/>
      <c r="J120" s="359"/>
      <c r="K120" s="359"/>
    </row>
    <row r="121" spans="2:11">
      <c r="C121" s="295"/>
      <c r="E121" s="356"/>
      <c r="F121" s="356"/>
      <c r="G121" s="356"/>
      <c r="H121" s="358"/>
      <c r="I121" s="358"/>
      <c r="J121" s="358"/>
      <c r="K121" s="358"/>
    </row>
    <row r="122" spans="2:11">
      <c r="C122" s="295"/>
      <c r="E122" s="356"/>
      <c r="F122" s="356"/>
      <c r="G122" s="356"/>
      <c r="H122" s="358"/>
      <c r="I122" s="358"/>
      <c r="J122" s="358"/>
      <c r="K122" s="358"/>
    </row>
    <row r="123" spans="2:11">
      <c r="C123" s="295"/>
      <c r="E123" s="356"/>
      <c r="F123" s="356"/>
      <c r="G123" s="356"/>
      <c r="H123" s="358"/>
      <c r="I123" s="358"/>
      <c r="J123" s="358"/>
      <c r="K123" s="358"/>
    </row>
    <row r="124" spans="2:11">
      <c r="C124" s="295"/>
      <c r="E124" s="356"/>
      <c r="F124" s="356"/>
      <c r="G124" s="356"/>
      <c r="H124" s="360"/>
      <c r="I124" s="614" t="s">
        <v>1545</v>
      </c>
      <c r="J124" s="614"/>
      <c r="K124" s="614"/>
    </row>
    <row r="125" spans="2:11">
      <c r="C125" s="354"/>
      <c r="E125" s="356"/>
      <c r="F125" s="356"/>
      <c r="G125" s="356"/>
      <c r="H125" s="358"/>
      <c r="I125" s="358"/>
      <c r="J125" s="358"/>
      <c r="K125" s="358"/>
    </row>
    <row r="126" spans="2:11">
      <c r="C126" s="354"/>
      <c r="E126" s="356"/>
      <c r="F126" s="356"/>
      <c r="G126" s="356"/>
      <c r="H126" s="358"/>
      <c r="I126" s="358"/>
      <c r="J126" s="358"/>
      <c r="K126" s="358"/>
    </row>
    <row r="127" spans="2:11">
      <c r="C127" s="354"/>
      <c r="E127" s="356"/>
      <c r="F127" s="356"/>
      <c r="G127" s="356"/>
      <c r="H127" s="358"/>
      <c r="I127" s="358"/>
      <c r="J127" s="358"/>
      <c r="K127" s="358"/>
    </row>
  </sheetData>
  <sheetProtection sort="0" autoFilter="0"/>
  <protectedRanges>
    <protectedRange sqref="F14:F42 F53:F54" name="Range1_1_2_2"/>
    <protectedRange sqref="B19:C19 B23:C24 B14:C14 B20:B22 B55:C55 B26:C28 B25 B29 B30:C42 B53:B54 B76:C81 B63 B64:C70 B71:B75" name="Range1_1_1_1"/>
    <protectedRange sqref="C62" name="Range1_1_3_2"/>
    <protectedRange sqref="C18" name="Range1_1_3_4"/>
    <protectedRange sqref="C25" name="Range1_1_3"/>
    <protectedRange sqref="C29" name="Range1_1_3_1"/>
    <protectedRange sqref="C87" name="Range1_1_3_5"/>
    <protectedRange sqref="C16" name="Range1_1_3_7"/>
    <protectedRange sqref="C17" name="Range1_1_3_8"/>
    <protectedRange sqref="C15" name="Range1_1_3_9"/>
    <protectedRange sqref="C72:C73" name="Range1_1_3_10"/>
    <protectedRange sqref="C74" name="Range1_1_3_11"/>
    <protectedRange sqref="C75" name="Range1_1_3_12"/>
    <protectedRange sqref="C63" name="Range1_1_3_13"/>
    <protectedRange sqref="C71" name="Range1_1_3_14"/>
  </protectedRanges>
  <mergeCells count="22">
    <mergeCell ref="I119:K119"/>
    <mergeCell ref="I124:K124"/>
    <mergeCell ref="C112:F112"/>
    <mergeCell ref="G6:K6"/>
    <mergeCell ref="I118:K118"/>
    <mergeCell ref="C111:F111"/>
    <mergeCell ref="B113:K114"/>
    <mergeCell ref="H117:K117"/>
    <mergeCell ref="H11:K11"/>
    <mergeCell ref="H12:H13"/>
    <mergeCell ref="J12:J13"/>
    <mergeCell ref="K12:K13"/>
    <mergeCell ref="O3:P4"/>
    <mergeCell ref="B4:K4"/>
    <mergeCell ref="C110:F110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8">
    <cfRule type="cellIs" dxfId="19" priority="24" operator="equal">
      <formula>0</formula>
    </cfRule>
  </conditionalFormatting>
  <conditionalFormatting sqref="C20">
    <cfRule type="cellIs" dxfId="18" priority="18" operator="equal">
      <formula>0</formula>
    </cfRule>
  </conditionalFormatting>
  <conditionalFormatting sqref="C25:C26">
    <cfRule type="cellIs" dxfId="17" priority="14" operator="equal">
      <formula>0</formula>
    </cfRule>
  </conditionalFormatting>
  <conditionalFormatting sqref="C29">
    <cfRule type="cellIs" dxfId="16" priority="13" operator="equal">
      <formula>0</formula>
    </cfRule>
  </conditionalFormatting>
  <conditionalFormatting sqref="C62">
    <cfRule type="cellIs" dxfId="15" priority="38" operator="equal">
      <formula>0</formula>
    </cfRule>
  </conditionalFormatting>
  <conditionalFormatting sqref="C84">
    <cfRule type="cellIs" dxfId="14" priority="12" operator="equal">
      <formula>0</formula>
    </cfRule>
  </conditionalFormatting>
  <conditionalFormatting sqref="C87">
    <cfRule type="cellIs" dxfId="13" priority="10" operator="equal">
      <formula>0</formula>
    </cfRule>
  </conditionalFormatting>
  <conditionalFormatting sqref="C97">
    <cfRule type="cellIs" dxfId="12" priority="73" operator="equal">
      <formula>0</formula>
    </cfRule>
  </conditionalFormatting>
  <conditionalFormatting sqref="E1:E3 G1:G13 E5:E13 H12:I12 O13 E107:G107 H107:K109 E108:H108 E109:F109 S14:V106">
    <cfRule type="cellIs" dxfId="11" priority="1264" stopIfTrue="1" operator="equal">
      <formula>0</formula>
    </cfRule>
  </conditionalFormatting>
  <conditionalFormatting sqref="E14:K106">
    <cfRule type="cellIs" dxfId="10" priority="11" stopIfTrue="1" operator="equal">
      <formula>0</formula>
    </cfRule>
  </conditionalFormatting>
  <conditionalFormatting sqref="G108:G65574 E113:E65574">
    <cfRule type="cellIs" dxfId="9" priority="398" stopIfTrue="1" operator="equal">
      <formula>0</formula>
    </cfRule>
  </conditionalFormatting>
  <conditionalFormatting sqref="C16">
    <cfRule type="cellIs" dxfId="7" priority="8" operator="equal">
      <formula>0</formula>
    </cfRule>
  </conditionalFormatting>
  <conditionalFormatting sqref="C17">
    <cfRule type="cellIs" dxfId="6" priority="7" operator="equal">
      <formula>0</formula>
    </cfRule>
  </conditionalFormatting>
  <conditionalFormatting sqref="C15">
    <cfRule type="cellIs" dxfId="5" priority="6" operator="equal">
      <formula>0</formula>
    </cfRule>
  </conditionalFormatting>
  <conditionalFormatting sqref="C72:C73">
    <cfRule type="cellIs" dxfId="4" priority="5" operator="equal">
      <formula>0</formula>
    </cfRule>
  </conditionalFormatting>
  <conditionalFormatting sqref="C74">
    <cfRule type="cellIs" dxfId="3" priority="4" operator="equal">
      <formula>0</formula>
    </cfRule>
  </conditionalFormatting>
  <conditionalFormatting sqref="C75">
    <cfRule type="cellIs" dxfId="2" priority="3" operator="equal">
      <formula>0</formula>
    </cfRule>
  </conditionalFormatting>
  <conditionalFormatting sqref="C63">
    <cfRule type="cellIs" dxfId="1" priority="2" operator="equal">
      <formula>0</formula>
    </cfRule>
  </conditionalFormatting>
  <conditionalFormatting sqref="C71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99:F106 F89 F43:F52 F21:F40 C23:C24 F55:F82 H14:K10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A4BAB-1E43-453B-8DF5-487AEC2BAA25}">
  <sheetPr>
    <tabColor rgb="FFFF0066"/>
  </sheetPr>
  <dimension ref="B1:AC54"/>
  <sheetViews>
    <sheetView showGridLines="0" topLeftCell="B18" zoomScale="130" zoomScaleNormal="130" zoomScaleSheetLayoutView="115" workbookViewId="0">
      <selection activeCell="V51" sqref="V51:W51"/>
    </sheetView>
  </sheetViews>
  <sheetFormatPr defaultRowHeight="12"/>
  <cols>
    <col min="1" max="1" width="1.42578125" style="445" customWidth="1"/>
    <col min="2" max="22" width="5.7109375" style="445" customWidth="1"/>
    <col min="23" max="23" width="6.28515625" style="445" customWidth="1"/>
    <col min="24" max="117" width="5.7109375" style="445" customWidth="1"/>
    <col min="118" max="16384" width="9.140625" style="445"/>
  </cols>
  <sheetData>
    <row r="1" spans="2:29" ht="12.75" thickBot="1"/>
    <row r="2" spans="2:29" ht="12.75" customHeight="1">
      <c r="B2" s="446"/>
      <c r="C2" s="447"/>
      <c r="D2" s="447"/>
      <c r="E2" s="447"/>
      <c r="F2" s="447"/>
      <c r="G2" s="447"/>
      <c r="H2" s="447"/>
      <c r="I2" s="447"/>
      <c r="J2" s="447"/>
      <c r="K2" s="447"/>
      <c r="L2" s="447"/>
      <c r="M2" s="447"/>
      <c r="N2" s="447"/>
      <c r="O2" s="447"/>
      <c r="P2" s="447"/>
      <c r="Q2" s="447"/>
      <c r="R2" s="447"/>
      <c r="S2" s="447"/>
      <c r="T2" s="447"/>
      <c r="U2" s="447"/>
      <c r="V2" s="685" t="str">
        <f>"PT. PLN (PERSERO) "&amp;'[88]DETAIL USULAN'!D5&amp;""</f>
        <v>PT. PLN (PERSERO) AREA DEMAK</v>
      </c>
      <c r="W2" s="686"/>
      <c r="X2" s="686"/>
      <c r="Y2" s="686"/>
      <c r="Z2" s="686"/>
      <c r="AA2" s="686"/>
      <c r="AB2" s="686"/>
      <c r="AC2" s="687"/>
    </row>
    <row r="3" spans="2:29">
      <c r="B3" s="448"/>
      <c r="V3" s="688"/>
      <c r="W3" s="689"/>
      <c r="X3" s="689"/>
      <c r="Y3" s="689"/>
      <c r="Z3" s="689"/>
      <c r="AA3" s="689"/>
      <c r="AB3" s="689"/>
      <c r="AC3" s="690"/>
    </row>
    <row r="4" spans="2:29">
      <c r="B4" s="448"/>
      <c r="V4" s="449" t="s">
        <v>986</v>
      </c>
      <c r="AC4" s="450"/>
    </row>
    <row r="5" spans="2:29" ht="12.75">
      <c r="B5" s="448"/>
      <c r="E5" s="451" t="str">
        <f>PETA!C6</f>
        <v>KOORDINAT :' -6.91581502, 110.548658</v>
      </c>
      <c r="V5" s="452" t="s">
        <v>990</v>
      </c>
      <c r="W5" s="634" t="s">
        <v>989</v>
      </c>
      <c r="X5" s="634"/>
      <c r="Y5" s="634"/>
      <c r="Z5" s="634" t="s">
        <v>987</v>
      </c>
      <c r="AA5" s="634"/>
      <c r="AB5" s="634" t="s">
        <v>988</v>
      </c>
      <c r="AC5" s="635"/>
    </row>
    <row r="6" spans="2:29">
      <c r="B6" s="448"/>
      <c r="E6" s="454"/>
      <c r="V6" s="452">
        <v>1</v>
      </c>
      <c r="W6" s="634" t="s">
        <v>992</v>
      </c>
      <c r="X6" s="634"/>
      <c r="Y6" s="634"/>
      <c r="Z6" s="634"/>
      <c r="AA6" s="634"/>
      <c r="AB6" s="634"/>
      <c r="AC6" s="635"/>
    </row>
    <row r="7" spans="2:29">
      <c r="B7" s="448"/>
      <c r="V7" s="452">
        <v>2</v>
      </c>
      <c r="W7" s="634" t="s">
        <v>993</v>
      </c>
      <c r="X7" s="634"/>
      <c r="Y7" s="634"/>
      <c r="Z7" s="634"/>
      <c r="AA7" s="634"/>
      <c r="AB7" s="634"/>
      <c r="AC7" s="635"/>
    </row>
    <row r="8" spans="2:29">
      <c r="B8" s="448"/>
      <c r="V8" s="452">
        <v>3</v>
      </c>
      <c r="W8" s="634" t="s">
        <v>994</v>
      </c>
      <c r="X8" s="634"/>
      <c r="Y8" s="634"/>
      <c r="Z8" s="634"/>
      <c r="AA8" s="634"/>
      <c r="AB8" s="634"/>
      <c r="AC8" s="635"/>
    </row>
    <row r="9" spans="2:29">
      <c r="B9" s="448"/>
      <c r="V9" s="452">
        <v>4</v>
      </c>
      <c r="W9" s="634" t="s">
        <v>995</v>
      </c>
      <c r="X9" s="634"/>
      <c r="Y9" s="634"/>
      <c r="Z9" s="634"/>
      <c r="AA9" s="634"/>
      <c r="AB9" s="634"/>
      <c r="AC9" s="635"/>
    </row>
    <row r="10" spans="2:29">
      <c r="B10" s="448"/>
      <c r="V10" s="452">
        <v>5</v>
      </c>
      <c r="W10" s="634" t="s">
        <v>996</v>
      </c>
      <c r="X10" s="634"/>
      <c r="Y10" s="634"/>
      <c r="Z10" s="634"/>
      <c r="AA10" s="634"/>
      <c r="AB10" s="634"/>
      <c r="AC10" s="635"/>
    </row>
    <row r="11" spans="2:29">
      <c r="B11" s="448"/>
      <c r="V11" s="452">
        <v>6</v>
      </c>
      <c r="W11" s="634" t="s">
        <v>997</v>
      </c>
      <c r="X11" s="634"/>
      <c r="Y11" s="634"/>
      <c r="Z11" s="634"/>
      <c r="AA11" s="634"/>
      <c r="AB11" s="634"/>
      <c r="AC11" s="635"/>
    </row>
    <row r="12" spans="2:29">
      <c r="B12" s="448"/>
      <c r="V12" s="452">
        <v>7</v>
      </c>
      <c r="W12" s="634" t="s">
        <v>998</v>
      </c>
      <c r="X12" s="634"/>
      <c r="Y12" s="634"/>
      <c r="Z12" s="634"/>
      <c r="AA12" s="634"/>
      <c r="AB12" s="634"/>
      <c r="AC12" s="635"/>
    </row>
    <row r="13" spans="2:29" ht="12.75" customHeight="1">
      <c r="B13" s="448"/>
      <c r="V13" s="452">
        <v>8</v>
      </c>
      <c r="W13" s="634" t="s">
        <v>999</v>
      </c>
      <c r="X13" s="634"/>
      <c r="Y13" s="634"/>
      <c r="Z13" s="634"/>
      <c r="AA13" s="634"/>
      <c r="AB13" s="634"/>
      <c r="AC13" s="635"/>
    </row>
    <row r="14" spans="2:29">
      <c r="B14" s="448"/>
      <c r="V14" s="452">
        <v>9</v>
      </c>
      <c r="W14" s="634" t="s">
        <v>1000</v>
      </c>
      <c r="X14" s="634"/>
      <c r="Y14" s="634"/>
      <c r="Z14" s="634"/>
      <c r="AA14" s="634"/>
      <c r="AB14" s="634"/>
      <c r="AC14" s="635"/>
    </row>
    <row r="15" spans="2:29">
      <c r="B15" s="448"/>
      <c r="V15" s="452">
        <v>10</v>
      </c>
      <c r="W15" s="634" t="s">
        <v>1009</v>
      </c>
      <c r="X15" s="634"/>
      <c r="Y15" s="634"/>
      <c r="Z15" s="634"/>
      <c r="AA15" s="634"/>
      <c r="AB15" s="634"/>
      <c r="AC15" s="635"/>
    </row>
    <row r="16" spans="2:29">
      <c r="B16" s="448"/>
      <c r="V16" s="452">
        <v>11</v>
      </c>
      <c r="W16" s="634" t="s">
        <v>1453</v>
      </c>
      <c r="X16" s="634"/>
      <c r="Y16" s="634"/>
      <c r="Z16" s="634"/>
      <c r="AA16" s="634"/>
      <c r="AB16" s="634"/>
      <c r="AC16" s="635"/>
    </row>
    <row r="17" spans="2:29">
      <c r="B17" s="448"/>
      <c r="V17" s="452">
        <v>12</v>
      </c>
      <c r="W17" s="634" t="s">
        <v>1010</v>
      </c>
      <c r="X17" s="634"/>
      <c r="Y17" s="634"/>
      <c r="Z17" s="634"/>
      <c r="AA17" s="634"/>
      <c r="AB17" s="634"/>
      <c r="AC17" s="635"/>
    </row>
    <row r="18" spans="2:29">
      <c r="B18" s="455"/>
      <c r="C18" s="456"/>
      <c r="D18" s="456"/>
      <c r="V18" s="452">
        <v>13</v>
      </c>
      <c r="W18" s="634"/>
      <c r="X18" s="634"/>
      <c r="Y18" s="634"/>
      <c r="Z18" s="634"/>
      <c r="AA18" s="634"/>
      <c r="AB18" s="634"/>
      <c r="AC18" s="635"/>
    </row>
    <row r="19" spans="2:29">
      <c r="B19" s="448"/>
      <c r="V19" s="457"/>
      <c r="W19" s="674"/>
      <c r="X19" s="674"/>
      <c r="Y19" s="674"/>
      <c r="Z19" s="674"/>
      <c r="AA19" s="674"/>
      <c r="AB19" s="674"/>
      <c r="AC19" s="675"/>
    </row>
    <row r="20" spans="2:29">
      <c r="B20" s="448"/>
      <c r="V20" s="676" t="s">
        <v>991</v>
      </c>
      <c r="W20" s="677"/>
      <c r="X20" s="677"/>
      <c r="Y20" s="677"/>
      <c r="Z20" s="677"/>
      <c r="AA20" s="677"/>
      <c r="AB20" s="677"/>
      <c r="AC20" s="678"/>
    </row>
    <row r="21" spans="2:29">
      <c r="B21" s="448"/>
      <c r="V21" s="679" t="s">
        <v>984</v>
      </c>
      <c r="W21" s="680"/>
      <c r="X21" s="680"/>
      <c r="Y21" s="681"/>
      <c r="Z21" s="682" t="s">
        <v>985</v>
      </c>
      <c r="AA21" s="683"/>
      <c r="AB21" s="683"/>
      <c r="AC21" s="684"/>
    </row>
    <row r="22" spans="2:29">
      <c r="B22" s="448"/>
      <c r="V22" s="499" t="s">
        <v>1626</v>
      </c>
      <c r="W22" s="500"/>
      <c r="X22" s="498" t="s">
        <v>1615</v>
      </c>
      <c r="Y22" s="458">
        <v>4</v>
      </c>
      <c r="Z22" s="666"/>
      <c r="AA22" s="667"/>
      <c r="AB22" s="460"/>
      <c r="AC22" s="461"/>
    </row>
    <row r="23" spans="2:29">
      <c r="B23" s="448"/>
      <c r="V23" s="499" t="s">
        <v>1629</v>
      </c>
      <c r="W23" s="500"/>
      <c r="X23" s="498" t="s">
        <v>1057</v>
      </c>
      <c r="Y23" s="458">
        <v>1</v>
      </c>
      <c r="Z23" s="657"/>
      <c r="AA23" s="658"/>
      <c r="AB23" s="460"/>
      <c r="AC23" s="461"/>
    </row>
    <row r="24" spans="2:29">
      <c r="B24" s="448"/>
      <c r="V24" s="499" t="s">
        <v>1623</v>
      </c>
      <c r="W24" s="701"/>
      <c r="X24" s="498" t="s">
        <v>1057</v>
      </c>
      <c r="Y24" s="458">
        <v>2</v>
      </c>
      <c r="Z24" s="672"/>
      <c r="AA24" s="673"/>
      <c r="AB24" s="460"/>
      <c r="AC24" s="461"/>
    </row>
    <row r="25" spans="2:29">
      <c r="B25" s="448"/>
      <c r="V25" s="499" t="s">
        <v>1613</v>
      </c>
      <c r="W25" s="704"/>
      <c r="X25" s="498" t="s">
        <v>1057</v>
      </c>
      <c r="Y25" s="458">
        <v>2</v>
      </c>
      <c r="Z25" s="657"/>
      <c r="AA25" s="658"/>
      <c r="AB25" s="460"/>
      <c r="AC25" s="461"/>
    </row>
    <row r="26" spans="2:29">
      <c r="B26" s="448"/>
      <c r="V26" s="499" t="s">
        <v>1627</v>
      </c>
      <c r="W26" s="705"/>
      <c r="X26" s="498" t="s">
        <v>1057</v>
      </c>
      <c r="Y26" s="458">
        <v>3</v>
      </c>
      <c r="Z26" s="657"/>
      <c r="AA26" s="658"/>
      <c r="AB26" s="460"/>
      <c r="AC26" s="461"/>
    </row>
    <row r="27" spans="2:29">
      <c r="B27" s="448"/>
      <c r="V27" s="702" t="s">
        <v>1628</v>
      </c>
      <c r="W27" s="703"/>
      <c r="X27" s="498" t="s">
        <v>1057</v>
      </c>
      <c r="Y27" s="458">
        <v>1</v>
      </c>
      <c r="Z27" s="657"/>
      <c r="AA27" s="658"/>
      <c r="AB27" s="460"/>
      <c r="AC27" s="461"/>
    </row>
    <row r="28" spans="2:29">
      <c r="B28" s="448"/>
      <c r="V28" s="662"/>
      <c r="W28" s="663"/>
      <c r="X28" s="458"/>
      <c r="Y28" s="459"/>
      <c r="Z28" s="657"/>
      <c r="AA28" s="658"/>
      <c r="AB28" s="460"/>
      <c r="AC28" s="461"/>
    </row>
    <row r="29" spans="2:29">
      <c r="B29" s="448"/>
      <c r="V29" s="668"/>
      <c r="W29" s="669"/>
      <c r="X29" s="458"/>
      <c r="Y29" s="459"/>
      <c r="Z29" s="657"/>
      <c r="AA29" s="658"/>
      <c r="AB29" s="460"/>
      <c r="AC29" s="461"/>
    </row>
    <row r="30" spans="2:29">
      <c r="B30" s="448"/>
      <c r="V30" s="670"/>
      <c r="W30" s="671"/>
      <c r="X30" s="458"/>
      <c r="Y30" s="459"/>
      <c r="Z30" s="657"/>
      <c r="AA30" s="658"/>
      <c r="AB30" s="460"/>
      <c r="AC30" s="461"/>
    </row>
    <row r="31" spans="2:29">
      <c r="B31" s="448"/>
      <c r="T31" s="462"/>
      <c r="V31" s="664"/>
      <c r="W31" s="665"/>
      <c r="X31" s="458"/>
      <c r="Y31" s="459"/>
      <c r="Z31" s="657"/>
      <c r="AA31" s="658"/>
      <c r="AB31" s="460"/>
      <c r="AC31" s="461"/>
    </row>
    <row r="32" spans="2:29">
      <c r="B32" s="448"/>
      <c r="T32" s="462"/>
      <c r="V32" s="655"/>
      <c r="W32" s="656"/>
      <c r="X32" s="458"/>
      <c r="Y32" s="459"/>
      <c r="Z32" s="657"/>
      <c r="AA32" s="658"/>
      <c r="AB32" s="460"/>
      <c r="AC32" s="461"/>
    </row>
    <row r="33" spans="2:29">
      <c r="B33" s="448"/>
      <c r="V33" s="655"/>
      <c r="W33" s="656"/>
      <c r="X33" s="458"/>
      <c r="Y33" s="459"/>
      <c r="Z33" s="657"/>
      <c r="AA33" s="658"/>
      <c r="AB33" s="460"/>
      <c r="AC33" s="461"/>
    </row>
    <row r="34" spans="2:29">
      <c r="B34" s="448"/>
      <c r="V34" s="655"/>
      <c r="W34" s="656"/>
      <c r="X34" s="458"/>
      <c r="Y34" s="459"/>
      <c r="Z34" s="657"/>
      <c r="AA34" s="658"/>
      <c r="AB34" s="460"/>
      <c r="AC34" s="461"/>
    </row>
    <row r="35" spans="2:29">
      <c r="B35" s="448"/>
      <c r="V35" s="655"/>
      <c r="W35" s="656"/>
      <c r="X35" s="458"/>
      <c r="Y35" s="459"/>
      <c r="Z35" s="657"/>
      <c r="AA35" s="658"/>
      <c r="AB35" s="460"/>
      <c r="AC35" s="461"/>
    </row>
    <row r="36" spans="2:29">
      <c r="B36" s="448"/>
      <c r="V36" s="659"/>
      <c r="W36" s="660"/>
      <c r="X36" s="458"/>
      <c r="Y36" s="463"/>
      <c r="Z36" s="661"/>
      <c r="AA36" s="658"/>
      <c r="AB36" s="460"/>
      <c r="AC36" s="461"/>
    </row>
    <row r="37" spans="2:29" ht="12.75" customHeight="1">
      <c r="B37" s="448"/>
      <c r="V37" s="649"/>
      <c r="W37" s="650"/>
      <c r="X37" s="458"/>
      <c r="Y37" s="463"/>
      <c r="Z37" s="651"/>
      <c r="AA37" s="652"/>
      <c r="AB37" s="466"/>
      <c r="AC37" s="467"/>
    </row>
    <row r="38" spans="2:29" ht="12.75" customHeight="1">
      <c r="B38" s="448"/>
      <c r="V38" s="653"/>
      <c r="W38" s="654"/>
      <c r="X38" s="468"/>
      <c r="Y38" s="463"/>
      <c r="Z38" s="464"/>
      <c r="AA38" s="465"/>
      <c r="AB38" s="466"/>
      <c r="AC38" s="467"/>
    </row>
    <row r="39" spans="2:29" ht="12" customHeight="1">
      <c r="B39" s="448"/>
      <c r="V39" s="653"/>
      <c r="W39" s="654"/>
      <c r="X39" s="468"/>
      <c r="Y39" s="469"/>
      <c r="Z39" s="645"/>
      <c r="AA39" s="646"/>
      <c r="AB39" s="466"/>
      <c r="AC39" s="467"/>
    </row>
    <row r="40" spans="2:29" ht="12" customHeight="1">
      <c r="B40" s="448"/>
      <c r="V40" s="653"/>
      <c r="W40" s="654"/>
      <c r="X40" s="468"/>
      <c r="Y40" s="469"/>
      <c r="Z40" s="470"/>
      <c r="AA40" s="471"/>
      <c r="AB40" s="466"/>
      <c r="AC40" s="467"/>
    </row>
    <row r="41" spans="2:29" ht="12" customHeight="1">
      <c r="B41" s="448"/>
      <c r="V41" s="643"/>
      <c r="W41" s="644"/>
      <c r="X41" s="472"/>
      <c r="Y41" s="473"/>
      <c r="Z41" s="645"/>
      <c r="AA41" s="646"/>
      <c r="AB41" s="466"/>
      <c r="AC41" s="467"/>
    </row>
    <row r="42" spans="2:29" ht="12" customHeight="1">
      <c r="B42" s="448"/>
      <c r="V42" s="647" t="s">
        <v>1454</v>
      </c>
      <c r="W42" s="648"/>
      <c r="X42" s="648"/>
      <c r="Y42" s="648"/>
      <c r="Z42" s="474"/>
      <c r="AA42" s="474"/>
      <c r="AB42" s="474"/>
      <c r="AC42" s="475"/>
    </row>
    <row r="43" spans="2:29" ht="12" customHeight="1">
      <c r="B43" s="448"/>
      <c r="U43" s="476"/>
      <c r="V43" s="477"/>
      <c r="W43" s="478"/>
      <c r="X43" s="478"/>
      <c r="Y43" s="478"/>
      <c r="Z43" s="478"/>
      <c r="AA43" s="478"/>
      <c r="AB43" s="478"/>
      <c r="AC43" s="479"/>
    </row>
    <row r="44" spans="2:29">
      <c r="B44" s="480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76"/>
      <c r="V44" s="632" t="s">
        <v>11</v>
      </c>
      <c r="W44" s="633"/>
      <c r="X44" s="634"/>
      <c r="Y44" s="634"/>
      <c r="Z44" s="634"/>
      <c r="AA44" s="634"/>
      <c r="AB44" s="634"/>
      <c r="AC44" s="635"/>
    </row>
    <row r="45" spans="2:29">
      <c r="B45" s="480"/>
      <c r="C45" s="481"/>
      <c r="D45" s="481"/>
      <c r="E45" s="481"/>
      <c r="F45" s="481"/>
      <c r="G45" s="481"/>
      <c r="H45" s="481"/>
      <c r="I45" s="481"/>
      <c r="J45" s="481"/>
      <c r="K45" s="481"/>
      <c r="L45" s="481"/>
      <c r="M45" s="481"/>
      <c r="N45" s="481"/>
      <c r="O45" s="481"/>
      <c r="P45" s="481"/>
      <c r="Q45" s="481"/>
      <c r="R45" s="481"/>
      <c r="S45" s="481"/>
      <c r="T45" s="481"/>
      <c r="U45" s="476"/>
      <c r="V45" s="632" t="s">
        <v>983</v>
      </c>
      <c r="W45" s="633"/>
      <c r="X45" s="634">
        <v>1</v>
      </c>
      <c r="Y45" s="634"/>
      <c r="Z45" s="634"/>
      <c r="AA45" s="634" t="s">
        <v>12</v>
      </c>
      <c r="AB45" s="634"/>
      <c r="AC45" s="453" t="s">
        <v>13</v>
      </c>
    </row>
    <row r="46" spans="2:29">
      <c r="B46" s="480"/>
      <c r="C46" s="481"/>
      <c r="D46" s="481"/>
      <c r="E46" s="481"/>
      <c r="F46" s="481"/>
      <c r="G46" s="481"/>
      <c r="H46" s="481"/>
      <c r="I46" s="481"/>
      <c r="J46" s="481"/>
      <c r="K46" s="481"/>
      <c r="L46" s="481"/>
      <c r="M46" s="481"/>
      <c r="N46" s="481"/>
      <c r="O46" s="481"/>
      <c r="P46" s="481"/>
      <c r="Q46" s="481"/>
      <c r="R46" s="481"/>
      <c r="S46" s="481"/>
      <c r="T46" s="481"/>
      <c r="U46" s="476"/>
      <c r="V46" s="632" t="s">
        <v>15</v>
      </c>
      <c r="W46" s="633"/>
      <c r="X46" s="636"/>
      <c r="Y46" s="636"/>
      <c r="Z46" s="636"/>
      <c r="AA46" s="634" t="s">
        <v>16</v>
      </c>
      <c r="AB46" s="634"/>
      <c r="AC46" s="482"/>
    </row>
    <row r="47" spans="2:29">
      <c r="B47" s="480"/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76"/>
      <c r="V47" s="637" t="s">
        <v>17</v>
      </c>
      <c r="W47" s="637"/>
      <c r="X47" s="637"/>
      <c r="Y47" s="637"/>
      <c r="Z47" s="637"/>
      <c r="AA47" s="637"/>
      <c r="AB47" s="637"/>
      <c r="AC47" s="638"/>
    </row>
    <row r="48" spans="2:29" ht="12.75" customHeight="1">
      <c r="B48" s="480"/>
      <c r="C48" s="481"/>
      <c r="D48" s="481"/>
      <c r="E48" s="481"/>
      <c r="F48" s="481"/>
      <c r="G48" s="481"/>
      <c r="H48" s="481"/>
      <c r="I48" s="481"/>
      <c r="J48" s="481"/>
      <c r="K48" s="481"/>
      <c r="L48" s="481"/>
      <c r="M48" s="481"/>
      <c r="N48" s="481"/>
      <c r="O48" s="481"/>
      <c r="P48" s="481"/>
      <c r="Q48" s="481"/>
      <c r="R48" s="481"/>
      <c r="S48" s="481"/>
      <c r="T48" s="481"/>
      <c r="U48" s="476"/>
      <c r="V48" s="706" t="str">
        <f>DATA!$D$14</f>
        <v>PT. DONLIM 105 KVA</v>
      </c>
      <c r="W48" s="639"/>
      <c r="X48" s="639"/>
      <c r="Y48" s="639"/>
      <c r="Z48" s="639"/>
      <c r="AA48" s="639"/>
      <c r="AB48" s="639"/>
      <c r="AC48" s="640"/>
    </row>
    <row r="49" spans="2:29">
      <c r="B49" s="480"/>
      <c r="C49" s="481"/>
      <c r="D49" s="481"/>
      <c r="E49" s="481"/>
      <c r="F49" s="481"/>
      <c r="G49" s="481"/>
      <c r="H49" s="481"/>
      <c r="I49" s="481"/>
      <c r="J49" s="481"/>
      <c r="K49" s="481"/>
      <c r="L49" s="481"/>
      <c r="M49" s="481"/>
      <c r="N49" s="481"/>
      <c r="O49" s="481"/>
      <c r="P49" s="481"/>
      <c r="Q49" s="481"/>
      <c r="R49" s="481"/>
      <c r="S49" s="481"/>
      <c r="T49" s="481"/>
      <c r="U49" s="483"/>
      <c r="V49" s="639"/>
      <c r="W49" s="639"/>
      <c r="X49" s="639"/>
      <c r="Y49" s="639"/>
      <c r="Z49" s="639"/>
      <c r="AA49" s="639"/>
      <c r="AB49" s="639"/>
      <c r="AC49" s="640"/>
    </row>
    <row r="50" spans="2:29">
      <c r="B50" s="480"/>
      <c r="C50" s="481"/>
      <c r="D50" s="481"/>
      <c r="E50" s="481"/>
      <c r="F50" s="481"/>
      <c r="G50" s="481"/>
      <c r="H50" s="481"/>
      <c r="I50" s="481"/>
      <c r="J50" s="481"/>
      <c r="K50" s="481"/>
      <c r="L50" s="481"/>
      <c r="M50" s="481"/>
      <c r="N50" s="481"/>
      <c r="O50" s="481"/>
      <c r="P50" s="481"/>
      <c r="Q50" s="481"/>
      <c r="R50" s="481"/>
      <c r="S50" s="481"/>
      <c r="T50" s="481"/>
      <c r="U50" s="483"/>
      <c r="V50" s="641"/>
      <c r="W50" s="641"/>
      <c r="X50" s="641"/>
      <c r="Y50" s="641"/>
      <c r="Z50" s="641"/>
      <c r="AA50" s="641"/>
      <c r="AB50" s="641"/>
      <c r="AC50" s="642"/>
    </row>
    <row r="51" spans="2:29">
      <c r="B51" s="480"/>
      <c r="C51" s="481"/>
      <c r="D51" s="481"/>
      <c r="E51" s="481"/>
      <c r="F51" s="481"/>
      <c r="G51" s="481"/>
      <c r="H51" s="481"/>
      <c r="I51" s="481"/>
      <c r="J51" s="481"/>
      <c r="K51" s="481"/>
      <c r="L51" s="481"/>
      <c r="M51" s="481"/>
      <c r="N51" s="481"/>
      <c r="O51" s="481"/>
      <c r="P51" s="481"/>
      <c r="Q51" s="481"/>
      <c r="R51" s="481"/>
      <c r="S51" s="481"/>
      <c r="T51" s="481"/>
      <c r="U51" s="476"/>
      <c r="V51" s="632" t="s">
        <v>18</v>
      </c>
      <c r="W51" s="633"/>
      <c r="X51" s="634" t="s">
        <v>1616</v>
      </c>
      <c r="Y51" s="634"/>
      <c r="Z51" s="634"/>
      <c r="AA51" s="634"/>
      <c r="AB51" s="634"/>
      <c r="AC51" s="635"/>
    </row>
    <row r="52" spans="2:29">
      <c r="B52" s="480"/>
      <c r="C52" s="481"/>
      <c r="D52" s="481"/>
      <c r="E52" s="481"/>
      <c r="F52" s="481"/>
      <c r="G52" s="481"/>
      <c r="H52" s="481"/>
      <c r="I52" s="481"/>
      <c r="J52" s="481"/>
      <c r="K52" s="481"/>
      <c r="L52" s="481"/>
      <c r="M52" s="481"/>
      <c r="N52" s="481"/>
      <c r="O52" s="481"/>
      <c r="P52" s="481"/>
      <c r="Q52" s="481"/>
      <c r="R52" s="481"/>
      <c r="S52" s="481"/>
      <c r="U52" s="476"/>
      <c r="V52" s="632" t="s">
        <v>19</v>
      </c>
      <c r="W52" s="633"/>
      <c r="X52" s="634" t="s">
        <v>1617</v>
      </c>
      <c r="Y52" s="634"/>
      <c r="Z52" s="634"/>
      <c r="AA52" s="634"/>
      <c r="AB52" s="634"/>
      <c r="AC52" s="635"/>
    </row>
    <row r="53" spans="2:29">
      <c r="B53" s="480"/>
      <c r="C53" s="481"/>
      <c r="D53" s="481"/>
      <c r="E53" s="481"/>
      <c r="F53" s="481"/>
      <c r="G53" s="481"/>
      <c r="H53" s="481"/>
      <c r="I53" s="481"/>
      <c r="J53" s="481"/>
      <c r="K53" s="481"/>
      <c r="L53" s="481"/>
      <c r="M53" s="481"/>
      <c r="N53" s="481"/>
      <c r="O53" s="481"/>
      <c r="P53" s="481"/>
      <c r="Q53" s="481"/>
      <c r="R53" s="481"/>
      <c r="S53" s="481"/>
      <c r="U53" s="476"/>
      <c r="V53" s="632" t="s">
        <v>20</v>
      </c>
      <c r="W53" s="633"/>
      <c r="X53" s="634" t="s">
        <v>1617</v>
      </c>
      <c r="Y53" s="634"/>
      <c r="Z53" s="634"/>
      <c r="AA53" s="634"/>
      <c r="AB53" s="634"/>
      <c r="AC53" s="635"/>
    </row>
    <row r="54" spans="2:29" ht="12.75" thickBot="1">
      <c r="B54" s="484"/>
      <c r="C54" s="485"/>
      <c r="D54" s="485"/>
      <c r="E54" s="485"/>
      <c r="F54" s="485"/>
      <c r="G54" s="485"/>
      <c r="H54" s="485"/>
      <c r="I54" s="485"/>
      <c r="J54" s="485"/>
      <c r="K54" s="485"/>
      <c r="L54" s="485"/>
      <c r="M54" s="485"/>
      <c r="N54" s="485"/>
      <c r="O54" s="485"/>
      <c r="P54" s="485"/>
      <c r="Q54" s="485"/>
      <c r="R54" s="485"/>
      <c r="S54" s="485"/>
      <c r="T54" s="486"/>
      <c r="U54" s="487"/>
      <c r="V54" s="628" t="s">
        <v>21</v>
      </c>
      <c r="W54" s="629"/>
      <c r="X54" s="630" t="s">
        <v>1618</v>
      </c>
      <c r="Y54" s="630"/>
      <c r="Z54" s="630"/>
      <c r="AA54" s="630"/>
      <c r="AB54" s="630"/>
      <c r="AC54" s="631"/>
    </row>
  </sheetData>
  <mergeCells count="104">
    <mergeCell ref="W7:Y7"/>
    <mergeCell ref="Z7:AA7"/>
    <mergeCell ref="AB7:AC7"/>
    <mergeCell ref="W8:Y8"/>
    <mergeCell ref="Z8:AA8"/>
    <mergeCell ref="AB8:AC8"/>
    <mergeCell ref="V2:AC3"/>
    <mergeCell ref="W5:Y5"/>
    <mergeCell ref="Z5:AA5"/>
    <mergeCell ref="AB5:AC5"/>
    <mergeCell ref="W6:Y6"/>
    <mergeCell ref="Z6:AA6"/>
    <mergeCell ref="AB6:AC6"/>
    <mergeCell ref="W11:Y11"/>
    <mergeCell ref="Z11:AA11"/>
    <mergeCell ref="AB11:AC11"/>
    <mergeCell ref="W12:Y12"/>
    <mergeCell ref="Z12:AA12"/>
    <mergeCell ref="AB12:AC12"/>
    <mergeCell ref="W9:Y9"/>
    <mergeCell ref="Z9:AA9"/>
    <mergeCell ref="AB9:AC9"/>
    <mergeCell ref="W10:Y10"/>
    <mergeCell ref="Z10:AA10"/>
    <mergeCell ref="AB10:AC10"/>
    <mergeCell ref="W15:Y15"/>
    <mergeCell ref="Z15:AA15"/>
    <mergeCell ref="AB15:AC15"/>
    <mergeCell ref="W16:Y16"/>
    <mergeCell ref="Z16:AA16"/>
    <mergeCell ref="AB16:AC16"/>
    <mergeCell ref="W13:Y13"/>
    <mergeCell ref="Z13:AA13"/>
    <mergeCell ref="AB13:AC13"/>
    <mergeCell ref="W14:Y14"/>
    <mergeCell ref="Z14:AA14"/>
    <mergeCell ref="AB14:AC14"/>
    <mergeCell ref="W19:Y19"/>
    <mergeCell ref="Z19:AA19"/>
    <mergeCell ref="AB19:AC19"/>
    <mergeCell ref="V20:AC20"/>
    <mergeCell ref="V21:Y21"/>
    <mergeCell ref="Z21:AC21"/>
    <mergeCell ref="W17:Y17"/>
    <mergeCell ref="Z17:AA17"/>
    <mergeCell ref="AB17:AC17"/>
    <mergeCell ref="W18:Y18"/>
    <mergeCell ref="Z18:AA18"/>
    <mergeCell ref="AB18:AC18"/>
    <mergeCell ref="V31:W31"/>
    <mergeCell ref="Z25:AA25"/>
    <mergeCell ref="Z26:AA26"/>
    <mergeCell ref="Z27:AA27"/>
    <mergeCell ref="Z22:AA22"/>
    <mergeCell ref="V29:W29"/>
    <mergeCell ref="Z23:AA23"/>
    <mergeCell ref="V30:W30"/>
    <mergeCell ref="Z24:AA24"/>
    <mergeCell ref="Z31:AA31"/>
    <mergeCell ref="V32:W32"/>
    <mergeCell ref="Z32:AA32"/>
    <mergeCell ref="V33:W33"/>
    <mergeCell ref="Z33:AA33"/>
    <mergeCell ref="V28:W28"/>
    <mergeCell ref="Z28:AA28"/>
    <mergeCell ref="Z29:AA29"/>
    <mergeCell ref="Z30:AA30"/>
    <mergeCell ref="V37:W37"/>
    <mergeCell ref="Z37:AA37"/>
    <mergeCell ref="V38:W38"/>
    <mergeCell ref="V39:W39"/>
    <mergeCell ref="Z39:AA39"/>
    <mergeCell ref="V40:W40"/>
    <mergeCell ref="V34:W34"/>
    <mergeCell ref="Z34:AA34"/>
    <mergeCell ref="V35:W35"/>
    <mergeCell ref="Z35:AA35"/>
    <mergeCell ref="V36:W36"/>
    <mergeCell ref="Z36:AA36"/>
    <mergeCell ref="V46:W46"/>
    <mergeCell ref="X46:Z46"/>
    <mergeCell ref="AA46:AB46"/>
    <mergeCell ref="V47:AC47"/>
    <mergeCell ref="V48:AC50"/>
    <mergeCell ref="V51:W51"/>
    <mergeCell ref="X51:Z51"/>
    <mergeCell ref="AA51:AC51"/>
    <mergeCell ref="V41:W41"/>
    <mergeCell ref="Z41:AA41"/>
    <mergeCell ref="V42:Y42"/>
    <mergeCell ref="V44:W44"/>
    <mergeCell ref="X44:AC44"/>
    <mergeCell ref="V45:W45"/>
    <mergeCell ref="X45:Z45"/>
    <mergeCell ref="AA45:AB45"/>
    <mergeCell ref="V54:W54"/>
    <mergeCell ref="X54:Z54"/>
    <mergeCell ref="AA54:AC54"/>
    <mergeCell ref="V52:W52"/>
    <mergeCell ref="X52:Z52"/>
    <mergeCell ref="AA52:AC52"/>
    <mergeCell ref="V53:W53"/>
    <mergeCell ref="X53:Z53"/>
    <mergeCell ref="AA53:AC53"/>
  </mergeCells>
  <printOptions horizontalCentered="1" verticalCentered="1"/>
  <pageMargins left="0.5" right="0.25" top="0.25" bottom="0.25" header="0" footer="0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AA54" sqref="AA5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1" t="s">
        <v>1526</v>
      </c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  <c r="AA4" s="692"/>
      <c r="AB4" s="692"/>
      <c r="AC4" s="693"/>
      <c r="AD4" s="217"/>
      <c r="AE4" s="216"/>
      <c r="AF4" s="216"/>
    </row>
    <row r="5" spans="2:32" ht="13.5" customHeight="1">
      <c r="B5" s="215"/>
      <c r="C5" s="215"/>
      <c r="D5" s="694"/>
      <c r="E5" s="695"/>
      <c r="F5" s="695"/>
      <c r="G5" s="695"/>
      <c r="H5" s="695"/>
      <c r="I5" s="695"/>
      <c r="J5" s="695"/>
      <c r="K5" s="695"/>
      <c r="L5" s="695"/>
      <c r="M5" s="695"/>
      <c r="N5" s="695"/>
      <c r="O5" s="695"/>
      <c r="P5" s="695"/>
      <c r="Q5" s="695"/>
      <c r="R5" s="695"/>
      <c r="S5" s="695"/>
      <c r="T5" s="695"/>
      <c r="U5" s="695"/>
      <c r="V5" s="695"/>
      <c r="W5" s="695"/>
      <c r="X5" s="695"/>
      <c r="Y5" s="695"/>
      <c r="Z5" s="695"/>
      <c r="AA5" s="695"/>
      <c r="AB5" s="695"/>
      <c r="AC5" s="696"/>
      <c r="AD5" s="217"/>
      <c r="AE5" s="216"/>
      <c r="AF5" s="216"/>
    </row>
    <row r="6" spans="2:32" ht="12.75" customHeight="1">
      <c r="B6" s="215"/>
      <c r="C6" s="215"/>
      <c r="D6" s="694"/>
      <c r="E6" s="695"/>
      <c r="F6" s="695"/>
      <c r="G6" s="695"/>
      <c r="H6" s="695"/>
      <c r="I6" s="695"/>
      <c r="J6" s="695"/>
      <c r="K6" s="695"/>
      <c r="L6" s="695"/>
      <c r="M6" s="695"/>
      <c r="N6" s="695"/>
      <c r="O6" s="695"/>
      <c r="P6" s="695"/>
      <c r="Q6" s="695"/>
      <c r="R6" s="695"/>
      <c r="S6" s="695"/>
      <c r="T6" s="695"/>
      <c r="U6" s="695"/>
      <c r="V6" s="695"/>
      <c r="W6" s="695"/>
      <c r="X6" s="695"/>
      <c r="Y6" s="695"/>
      <c r="Z6" s="695"/>
      <c r="AA6" s="695"/>
      <c r="AB6" s="695"/>
      <c r="AC6" s="696"/>
      <c r="AE6" s="216"/>
      <c r="AF6" s="216"/>
    </row>
    <row r="7" spans="2:32" ht="12.75" customHeight="1" thickBot="1">
      <c r="B7" s="215"/>
      <c r="C7" s="215"/>
      <c r="D7" s="697"/>
      <c r="E7" s="698"/>
      <c r="F7" s="698"/>
      <c r="G7" s="698"/>
      <c r="H7" s="698"/>
      <c r="I7" s="698"/>
      <c r="J7" s="698"/>
      <c r="K7" s="698"/>
      <c r="L7" s="698"/>
      <c r="M7" s="698"/>
      <c r="N7" s="698"/>
      <c r="O7" s="698"/>
      <c r="P7" s="698"/>
      <c r="Q7" s="698"/>
      <c r="R7" s="698"/>
      <c r="S7" s="698"/>
      <c r="T7" s="698"/>
      <c r="U7" s="698"/>
      <c r="V7" s="698"/>
      <c r="W7" s="698"/>
      <c r="X7" s="698"/>
      <c r="Y7" s="698"/>
      <c r="Z7" s="698"/>
      <c r="AA7" s="698"/>
      <c r="AB7" s="698"/>
      <c r="AC7" s="69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55" zoomScaleNormal="40" zoomScaleSheetLayoutView="55" workbookViewId="0">
      <selection activeCell="W16" sqref="W16"/>
    </sheetView>
  </sheetViews>
  <sheetFormatPr defaultRowHeight="12.75"/>
  <cols>
    <col min="1" max="1" width="1.7109375" style="371" customWidth="1"/>
    <col min="2" max="2" width="10.7109375" style="371" customWidth="1"/>
    <col min="3" max="3" width="2.5703125" style="371" customWidth="1"/>
    <col min="4" max="20" width="9.140625" style="371"/>
    <col min="21" max="21" width="14.5703125" style="371" customWidth="1"/>
    <col min="22" max="22" width="3.140625" style="371" customWidth="1"/>
    <col min="23" max="26" width="9.140625" style="371"/>
    <col min="27" max="27" width="2.85546875" style="371" customWidth="1"/>
    <col min="28" max="30" width="4.7109375" style="371" customWidth="1"/>
    <col min="31" max="31" width="1.7109375" style="371" customWidth="1"/>
    <col min="32" max="16384" width="9.140625" style="371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5" t="s">
        <v>1525</v>
      </c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695"/>
      <c r="U3" s="695"/>
      <c r="V3" s="695"/>
      <c r="W3" s="182"/>
      <c r="X3" s="382"/>
      <c r="Y3" s="382"/>
      <c r="Z3" s="382"/>
      <c r="AA3" s="382"/>
      <c r="AB3" s="382"/>
      <c r="AC3" s="372"/>
    </row>
    <row r="4" spans="1:29" ht="18.75" customHeight="1">
      <c r="A4" s="181"/>
      <c r="C4" s="695"/>
      <c r="D4" s="695"/>
      <c r="E4" s="695"/>
      <c r="F4" s="695"/>
      <c r="G4" s="695"/>
      <c r="H4" s="695"/>
      <c r="I4" s="695"/>
      <c r="J4" s="695"/>
      <c r="K4" s="695"/>
      <c r="L4" s="695"/>
      <c r="M4" s="695"/>
      <c r="N4" s="695"/>
      <c r="O4" s="695"/>
      <c r="P4" s="695"/>
      <c r="Q4" s="695"/>
      <c r="R4" s="695"/>
      <c r="S4" s="695"/>
      <c r="T4" s="695"/>
      <c r="U4" s="695"/>
      <c r="V4" s="695"/>
      <c r="W4" s="182"/>
      <c r="X4" s="382"/>
      <c r="Y4" s="382"/>
      <c r="Z4" s="382"/>
      <c r="AA4" s="382"/>
      <c r="AB4" s="382"/>
      <c r="AC4" s="372"/>
    </row>
    <row r="5" spans="1:29" ht="12.75" customHeight="1">
      <c r="A5" s="181"/>
      <c r="C5" s="373"/>
      <c r="W5" s="182"/>
    </row>
    <row r="6" spans="1:29" ht="12.75" customHeight="1">
      <c r="A6" s="181"/>
      <c r="C6" s="700" t="s">
        <v>1625</v>
      </c>
      <c r="D6" s="700"/>
      <c r="E6" s="700"/>
      <c r="F6" s="700"/>
      <c r="G6" s="700"/>
      <c r="H6" s="700"/>
      <c r="I6" s="700"/>
      <c r="J6" s="700"/>
      <c r="K6" s="700"/>
      <c r="L6" s="700"/>
      <c r="M6" s="700"/>
      <c r="W6" s="182"/>
      <c r="Y6" s="374"/>
      <c r="Z6" s="374"/>
      <c r="AA6" s="374"/>
      <c r="AB6" s="375"/>
      <c r="AC6" s="375"/>
    </row>
    <row r="7" spans="1:29" ht="18" customHeight="1">
      <c r="A7" s="181"/>
      <c r="C7" s="700"/>
      <c r="D7" s="700"/>
      <c r="E7" s="700"/>
      <c r="F7" s="700"/>
      <c r="G7" s="700"/>
      <c r="H7" s="700"/>
      <c r="I7" s="700"/>
      <c r="J7" s="700"/>
      <c r="K7" s="700"/>
      <c r="L7" s="700"/>
      <c r="M7" s="700"/>
      <c r="W7" s="182"/>
      <c r="Y7" s="374"/>
      <c r="Z7" s="374"/>
      <c r="AA7" s="374"/>
      <c r="AB7" s="375"/>
      <c r="AC7" s="375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76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77"/>
      <c r="S54" s="377"/>
      <c r="T54" s="377"/>
      <c r="U54" s="378"/>
      <c r="V54" s="378"/>
      <c r="W54" s="183"/>
      <c r="X54" s="378"/>
      <c r="Y54" s="378"/>
      <c r="Z54" s="378"/>
      <c r="AA54" s="378"/>
      <c r="AB54" s="378"/>
      <c r="AC54" s="378"/>
      <c r="AD54" s="378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83"/>
      <c r="S55" s="384"/>
      <c r="T55" s="384"/>
      <c r="U55" s="186"/>
      <c r="V55" s="187"/>
      <c r="W55" s="188"/>
      <c r="X55" s="378"/>
      <c r="Y55" s="378"/>
      <c r="Z55" s="378"/>
      <c r="AA55" s="379"/>
      <c r="AB55" s="379"/>
      <c r="AC55" s="379"/>
      <c r="AD55" s="379"/>
    </row>
    <row r="56" spans="1:30">
      <c r="U56" s="378"/>
      <c r="V56" s="379"/>
      <c r="W56" s="378"/>
      <c r="X56" s="378"/>
      <c r="Y56" s="378"/>
      <c r="Z56" s="378"/>
      <c r="AA56" s="379"/>
      <c r="AB56" s="378"/>
      <c r="AC56" s="378"/>
      <c r="AD56" s="378"/>
    </row>
    <row r="57" spans="1:30">
      <c r="U57" s="378"/>
      <c r="V57" s="379"/>
      <c r="W57" s="378"/>
      <c r="X57" s="378"/>
      <c r="Y57" s="378"/>
      <c r="Z57" s="378"/>
      <c r="AA57" s="378"/>
      <c r="AB57" s="378"/>
      <c r="AC57" s="378"/>
      <c r="AD57" s="378"/>
    </row>
    <row r="58" spans="1:30">
      <c r="U58" s="378"/>
      <c r="V58" s="379"/>
      <c r="W58" s="378"/>
      <c r="X58" s="378"/>
      <c r="Y58" s="378"/>
      <c r="Z58" s="378"/>
      <c r="AA58" s="378"/>
      <c r="AB58" s="378"/>
      <c r="AC58" s="378"/>
      <c r="AD58" s="378"/>
    </row>
    <row r="59" spans="1:30">
      <c r="U59" s="378"/>
      <c r="V59" s="379"/>
      <c r="W59" s="378"/>
      <c r="X59" s="378"/>
      <c r="Y59" s="378"/>
      <c r="Z59" s="378"/>
      <c r="AA59" s="378"/>
      <c r="AB59" s="378"/>
      <c r="AC59" s="378"/>
      <c r="AD59" s="378"/>
    </row>
    <row r="60" spans="1:30">
      <c r="U60" s="378"/>
      <c r="V60" s="379"/>
      <c r="W60" s="378"/>
      <c r="X60" s="378"/>
      <c r="Y60" s="378"/>
      <c r="Z60" s="378"/>
      <c r="AA60" s="379"/>
      <c r="AB60" s="378"/>
      <c r="AC60" s="378"/>
      <c r="AD60" s="378"/>
    </row>
    <row r="61" spans="1:30">
      <c r="U61" s="378"/>
      <c r="V61" s="379"/>
      <c r="W61" s="378"/>
      <c r="X61" s="378"/>
      <c r="Y61" s="378"/>
      <c r="Z61" s="378"/>
      <c r="AA61" s="378"/>
      <c r="AB61" s="378"/>
      <c r="AC61" s="378"/>
      <c r="AD61" s="378"/>
    </row>
    <row r="62" spans="1:30">
      <c r="U62" s="378"/>
      <c r="V62" s="379"/>
      <c r="W62" s="378"/>
      <c r="X62" s="378"/>
      <c r="Y62" s="378"/>
      <c r="Z62" s="378"/>
      <c r="AA62" s="378"/>
      <c r="AB62" s="378"/>
      <c r="AC62" s="378"/>
      <c r="AD62" s="378"/>
    </row>
    <row r="63" spans="1:30">
      <c r="U63" s="378"/>
      <c r="V63" s="379"/>
      <c r="W63" s="378"/>
      <c r="X63" s="378"/>
      <c r="Y63" s="378"/>
      <c r="Z63" s="378"/>
      <c r="AA63" s="378"/>
      <c r="AB63" s="378"/>
      <c r="AC63" s="378"/>
      <c r="AD63" s="378"/>
    </row>
    <row r="64" spans="1:30">
      <c r="U64" s="378"/>
      <c r="V64" s="379"/>
      <c r="W64" s="378"/>
      <c r="X64" s="378"/>
      <c r="Y64" s="378"/>
      <c r="Z64" s="378"/>
      <c r="AA64" s="378"/>
      <c r="AB64" s="378"/>
      <c r="AC64" s="378"/>
      <c r="AD64" s="378"/>
    </row>
    <row r="65" spans="5:30">
      <c r="U65" s="378"/>
      <c r="V65" s="379"/>
      <c r="W65" s="378"/>
      <c r="X65" s="378"/>
      <c r="Y65" s="378"/>
      <c r="Z65" s="378"/>
      <c r="AA65" s="378"/>
      <c r="AB65" s="378"/>
      <c r="AC65" s="378"/>
      <c r="AD65" s="378"/>
    </row>
    <row r="66" spans="5:30" ht="6" customHeight="1"/>
    <row r="73" spans="5:30">
      <c r="M73" s="380"/>
    </row>
    <row r="74" spans="5:30" ht="15" customHeight="1">
      <c r="E74" s="381"/>
      <c r="M74" s="380"/>
    </row>
    <row r="75" spans="5:30" ht="15" customHeight="1">
      <c r="E75" s="381"/>
      <c r="M75" s="380"/>
    </row>
    <row r="76" spans="5:30" ht="15" customHeight="1">
      <c r="E76" s="381"/>
      <c r="M76" s="380"/>
    </row>
    <row r="77" spans="5:30" ht="15" customHeight="1">
      <c r="E77" s="381"/>
      <c r="M77" s="380"/>
    </row>
    <row r="78" spans="5:30" ht="15" customHeight="1">
      <c r="E78" s="381"/>
      <c r="M78" s="380"/>
    </row>
    <row r="79" spans="5:30" ht="15" customHeight="1">
      <c r="E79" s="381"/>
      <c r="M79" s="380"/>
    </row>
    <row r="80" spans="5:30" ht="15" customHeight="1">
      <c r="E80" s="381"/>
      <c r="M80" s="380"/>
    </row>
    <row r="81" spans="5:13" ht="15" customHeight="1">
      <c r="E81" s="381"/>
      <c r="M81" s="380"/>
    </row>
    <row r="82" spans="5:13" ht="15" customHeight="1">
      <c r="E82" s="381"/>
      <c r="M82" s="380"/>
    </row>
    <row r="83" spans="5:13" ht="15" customHeight="1">
      <c r="E83" s="381"/>
      <c r="M83" s="380"/>
    </row>
    <row r="84" spans="5:13" ht="15" customHeight="1">
      <c r="E84" s="381"/>
      <c r="M84" s="380"/>
    </row>
    <row r="85" spans="5:13" ht="15" customHeight="1">
      <c r="E85" s="381"/>
      <c r="M85" s="380"/>
    </row>
    <row r="86" spans="5:13" ht="15" customHeight="1">
      <c r="E86" s="381"/>
      <c r="M86" s="380"/>
    </row>
    <row r="87" spans="5:13" ht="15" customHeight="1">
      <c r="E87" s="381"/>
      <c r="M87" s="380"/>
    </row>
    <row r="88" spans="5:13" ht="15" customHeight="1">
      <c r="E88" s="381"/>
      <c r="M88" s="380"/>
    </row>
    <row r="89" spans="5:13" ht="15" customHeight="1">
      <c r="E89" s="381"/>
      <c r="M89" s="380"/>
    </row>
    <row r="90" spans="5:13" ht="15" customHeight="1">
      <c r="E90" s="381"/>
      <c r="M90" s="380"/>
    </row>
    <row r="91" spans="5:13" ht="15" customHeight="1">
      <c r="E91" s="381"/>
      <c r="M91" s="380"/>
    </row>
    <row r="92" spans="5:13" ht="15" customHeight="1">
      <c r="E92" s="381"/>
      <c r="M92" s="380"/>
    </row>
    <row r="93" spans="5:13" ht="15" customHeight="1">
      <c r="E93" s="381"/>
      <c r="M93" s="380"/>
    </row>
    <row r="94" spans="5:13" ht="15" customHeight="1">
      <c r="E94" s="381"/>
      <c r="M94" s="380"/>
    </row>
    <row r="95" spans="5:13" ht="15" customHeight="1">
      <c r="E95" s="381"/>
      <c r="M95" s="380"/>
    </row>
    <row r="96" spans="5:13" ht="15" customHeight="1">
      <c r="E96" s="381"/>
    </row>
    <row r="97" spans="5:5" ht="15" customHeight="1">
      <c r="E97" s="381"/>
    </row>
    <row r="98" spans="5:5" ht="15" customHeight="1">
      <c r="E98" s="381"/>
    </row>
    <row r="99" spans="5:5" ht="15" customHeight="1">
      <c r="E99" s="381"/>
    </row>
    <row r="100" spans="5:5" ht="15" customHeight="1">
      <c r="E100" s="381"/>
    </row>
    <row r="101" spans="5:5" ht="15" customHeight="1">
      <c r="E101" s="381"/>
    </row>
    <row r="102" spans="5:5" ht="15" customHeight="1">
      <c r="E102" s="381"/>
    </row>
    <row r="103" spans="5:5" ht="15" customHeight="1">
      <c r="E103" s="381"/>
    </row>
    <row r="104" spans="5:5" ht="15" customHeight="1">
      <c r="E104" s="381"/>
    </row>
    <row r="105" spans="5:5" ht="15" customHeight="1">
      <c r="E105" s="381"/>
    </row>
    <row r="106" spans="5:5" ht="15" customHeight="1">
      <c r="E106" s="381"/>
    </row>
    <row r="107" spans="5:5" ht="15" customHeight="1">
      <c r="E107" s="381"/>
    </row>
    <row r="108" spans="5:5" ht="15" customHeight="1">
      <c r="E108" s="381"/>
    </row>
    <row r="109" spans="5:5" ht="15" customHeight="1">
      <c r="E109" s="381"/>
    </row>
    <row r="110" spans="5:5" ht="15" customHeight="1">
      <c r="E110" s="381"/>
    </row>
    <row r="111" spans="5:5" ht="15" customHeight="1">
      <c r="E111" s="381"/>
    </row>
    <row r="112" spans="5:5" ht="15" customHeight="1">
      <c r="E112" s="381"/>
    </row>
    <row r="113" spans="5:5" ht="15" customHeight="1">
      <c r="E113" s="381"/>
    </row>
    <row r="114" spans="5:5" ht="15" customHeight="1">
      <c r="E114" s="381"/>
    </row>
    <row r="115" spans="5:5" ht="15" customHeight="1">
      <c r="E115" s="381"/>
    </row>
    <row r="116" spans="5:5" ht="15" customHeight="1">
      <c r="E116" s="381"/>
    </row>
    <row r="117" spans="5:5" ht="15" customHeight="1">
      <c r="E117" s="381"/>
    </row>
    <row r="118" spans="5:5" ht="15" customHeight="1">
      <c r="E118" s="381"/>
    </row>
    <row r="119" spans="5:5" ht="15" customHeight="1">
      <c r="E119" s="381"/>
    </row>
    <row r="120" spans="5:5">
      <c r="E120" s="381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zoomScale="70" zoomScaleNormal="7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03">
        <v>1</v>
      </c>
    </row>
    <row r="2" spans="1:11" ht="48" customHeight="1">
      <c r="A2" s="403">
        <v>3</v>
      </c>
    </row>
    <row r="4" spans="1:11" ht="48" customHeight="1">
      <c r="C4" s="403">
        <v>1</v>
      </c>
    </row>
    <row r="5" spans="1:11" ht="48" customHeight="1">
      <c r="C5" s="403">
        <v>3</v>
      </c>
    </row>
    <row r="7" spans="1:11" ht="48" customHeight="1">
      <c r="E7" s="403">
        <v>1</v>
      </c>
    </row>
    <row r="8" spans="1:11" ht="48" customHeight="1">
      <c r="E8" s="403">
        <v>3</v>
      </c>
    </row>
    <row r="10" spans="1:11" ht="48" customHeight="1">
      <c r="G10" s="403">
        <v>3</v>
      </c>
    </row>
    <row r="11" spans="1:11" ht="48" customHeight="1">
      <c r="G11" s="403">
        <v>1</v>
      </c>
    </row>
    <row r="13" spans="1:11" ht="48" customHeight="1">
      <c r="I13" s="403">
        <v>3</v>
      </c>
    </row>
    <row r="14" spans="1:11" ht="48" customHeight="1">
      <c r="I14" s="403">
        <v>1</v>
      </c>
    </row>
    <row r="16" spans="1:11" ht="48" customHeight="1">
      <c r="K16" s="403">
        <v>3</v>
      </c>
    </row>
    <row r="17" spans="11:21" ht="48" customHeight="1">
      <c r="K17" s="403">
        <v>1</v>
      </c>
    </row>
    <row r="19" spans="11:21" ht="48" customHeight="1">
      <c r="M19" s="403">
        <v>3</v>
      </c>
    </row>
    <row r="20" spans="11:21" ht="48" customHeight="1">
      <c r="M20" s="403">
        <v>1</v>
      </c>
    </row>
    <row r="22" spans="11:21" ht="48" customHeight="1">
      <c r="O22" s="403">
        <v>3</v>
      </c>
    </row>
    <row r="23" spans="11:21" ht="48" customHeight="1">
      <c r="O23" s="403">
        <v>1</v>
      </c>
    </row>
    <row r="25" spans="11:21" ht="57" customHeight="1">
      <c r="Q25" s="403">
        <v>3</v>
      </c>
    </row>
    <row r="26" spans="11:21" ht="57" customHeight="1">
      <c r="Q26" s="403">
        <v>1</v>
      </c>
    </row>
    <row r="28" spans="11:21" ht="57" customHeight="1">
      <c r="S28" s="403">
        <v>3</v>
      </c>
    </row>
    <row r="29" spans="11:21" ht="57" customHeight="1">
      <c r="S29" s="403">
        <v>1</v>
      </c>
    </row>
    <row r="31" spans="11:21" ht="57" customHeight="1">
      <c r="U31" s="403">
        <v>3</v>
      </c>
    </row>
    <row r="32" spans="11:21" ht="57" customHeight="1">
      <c r="U32" s="40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MUHAMAD TAUFIQ DWI UTOMO</cp:lastModifiedBy>
  <cp:lastPrinted>2023-09-12T02:35:10Z</cp:lastPrinted>
  <dcterms:created xsi:type="dcterms:W3CDTF">2011-02-06T11:57:38Z</dcterms:created>
  <dcterms:modified xsi:type="dcterms:W3CDTF">2024-06-13T02:42:15Z</dcterms:modified>
</cp:coreProperties>
</file>