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FB9B1A7C-BBD3-4C04-994B-E3A9A26E7B74}" xr6:coauthVersionLast="47" xr6:coauthVersionMax="47" xr10:uidLastSave="{00000000-0000-0000-0000-000000000000}"/>
  <bookViews>
    <workbookView xWindow="-120" yWindow="-120" windowWidth="29040" windowHeight="1572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RAB!$A$1:$K$144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0" i="11" l="1"/>
  <c r="F30" i="11"/>
  <c r="E30" i="11"/>
  <c r="D30" i="11"/>
  <c r="J30" i="11" s="1"/>
  <c r="G29" i="11"/>
  <c r="F29" i="11"/>
  <c r="E29" i="11"/>
  <c r="D29" i="11"/>
  <c r="J29" i="11" s="1"/>
  <c r="G28" i="11"/>
  <c r="F28" i="11"/>
  <c r="E28" i="11"/>
  <c r="D28" i="11"/>
  <c r="H28" i="11" s="1"/>
  <c r="G27" i="11"/>
  <c r="F27" i="11"/>
  <c r="E27" i="11"/>
  <c r="D27" i="11"/>
  <c r="J27" i="11" s="1"/>
  <c r="G26" i="11"/>
  <c r="F26" i="11"/>
  <c r="E26" i="11"/>
  <c r="D26" i="11"/>
  <c r="J26" i="11" s="1"/>
  <c r="G25" i="11"/>
  <c r="F25" i="11"/>
  <c r="E25" i="11"/>
  <c r="D25" i="11"/>
  <c r="J25" i="11" s="1"/>
  <c r="G24" i="11"/>
  <c r="F24" i="11"/>
  <c r="E24" i="11"/>
  <c r="D24" i="11"/>
  <c r="H24" i="11" s="1"/>
  <c r="G23" i="11"/>
  <c r="E23" i="11"/>
  <c r="D23" i="11"/>
  <c r="J23" i="11" s="1"/>
  <c r="D50" i="11"/>
  <c r="H50" i="11" s="1"/>
  <c r="E50" i="11"/>
  <c r="G50" i="11"/>
  <c r="F102" i="11"/>
  <c r="F101" i="11"/>
  <c r="F100" i="11"/>
  <c r="F99" i="11"/>
  <c r="F98" i="11"/>
  <c r="F97" i="11"/>
  <c r="F96" i="11"/>
  <c r="F95" i="11"/>
  <c r="F94" i="11"/>
  <c r="F89" i="11"/>
  <c r="F88" i="11"/>
  <c r="F87" i="11"/>
  <c r="F86" i="11"/>
  <c r="F85" i="11"/>
  <c r="F84" i="11"/>
  <c r="F83" i="11"/>
  <c r="F82" i="11"/>
  <c r="F81" i="11"/>
  <c r="F79" i="11"/>
  <c r="D77" i="11"/>
  <c r="J77" i="11" s="1"/>
  <c r="E77" i="11"/>
  <c r="G77" i="11"/>
  <c r="D78" i="11"/>
  <c r="J78" i="11" s="1"/>
  <c r="E78" i="11"/>
  <c r="G78" i="11"/>
  <c r="D79" i="11"/>
  <c r="I79" i="11" s="1"/>
  <c r="E79" i="11"/>
  <c r="G79" i="11"/>
  <c r="D80" i="11"/>
  <c r="H80" i="11" s="1"/>
  <c r="E80" i="11"/>
  <c r="G80" i="11"/>
  <c r="D81" i="11"/>
  <c r="J81" i="11" s="1"/>
  <c r="E81" i="11"/>
  <c r="G81" i="11"/>
  <c r="D82" i="11"/>
  <c r="J82" i="11" s="1"/>
  <c r="E82" i="11"/>
  <c r="G82" i="11"/>
  <c r="D83" i="11"/>
  <c r="E83" i="11"/>
  <c r="G83" i="11"/>
  <c r="D84" i="11"/>
  <c r="H84" i="11" s="1"/>
  <c r="E84" i="11"/>
  <c r="G84" i="11"/>
  <c r="D85" i="11"/>
  <c r="J85" i="11" s="1"/>
  <c r="E85" i="11"/>
  <c r="G85" i="11"/>
  <c r="D86" i="11"/>
  <c r="J86" i="11" s="1"/>
  <c r="E86" i="11"/>
  <c r="G86" i="11"/>
  <c r="D87" i="11"/>
  <c r="H87" i="11" s="1"/>
  <c r="E87" i="11"/>
  <c r="G87" i="11"/>
  <c r="D88" i="11"/>
  <c r="H88" i="11" s="1"/>
  <c r="E88" i="11"/>
  <c r="G88" i="11"/>
  <c r="D89" i="11"/>
  <c r="J89" i="11" s="1"/>
  <c r="E89" i="11"/>
  <c r="G89" i="11"/>
  <c r="D90" i="11"/>
  <c r="E90" i="11"/>
  <c r="G90" i="11"/>
  <c r="D91" i="11"/>
  <c r="H91" i="11" s="1"/>
  <c r="E91" i="11"/>
  <c r="G91" i="11"/>
  <c r="D92" i="11"/>
  <c r="J92" i="11" s="1"/>
  <c r="E92" i="11"/>
  <c r="G92" i="11"/>
  <c r="D93" i="11"/>
  <c r="J93" i="11" s="1"/>
  <c r="E93" i="11"/>
  <c r="G93" i="11"/>
  <c r="D94" i="11"/>
  <c r="H94" i="11" s="1"/>
  <c r="E94" i="11"/>
  <c r="G94" i="11"/>
  <c r="D95" i="11"/>
  <c r="H95" i="11" s="1"/>
  <c r="E95" i="11"/>
  <c r="G95" i="11"/>
  <c r="D96" i="11"/>
  <c r="H96" i="11" s="1"/>
  <c r="E96" i="11"/>
  <c r="G96" i="11"/>
  <c r="D97" i="11"/>
  <c r="J97" i="11" s="1"/>
  <c r="E97" i="11"/>
  <c r="G97" i="11"/>
  <c r="D98" i="11"/>
  <c r="H98" i="11" s="1"/>
  <c r="E98" i="11"/>
  <c r="G98" i="11"/>
  <c r="D99" i="11"/>
  <c r="H99" i="11" s="1"/>
  <c r="E99" i="11"/>
  <c r="G99" i="11"/>
  <c r="D100" i="11"/>
  <c r="J100" i="11" s="1"/>
  <c r="E100" i="11"/>
  <c r="G100" i="11"/>
  <c r="D101" i="11"/>
  <c r="J101" i="11" s="1"/>
  <c r="E101" i="11"/>
  <c r="G101" i="11"/>
  <c r="D102" i="11"/>
  <c r="H102" i="11" s="1"/>
  <c r="E102" i="11"/>
  <c r="G102" i="11"/>
  <c r="D103" i="11"/>
  <c r="J103" i="11" s="1"/>
  <c r="E103" i="11"/>
  <c r="G103" i="11"/>
  <c r="D104" i="11"/>
  <c r="J104" i="11" s="1"/>
  <c r="E104" i="11"/>
  <c r="G104" i="11"/>
  <c r="D105" i="11"/>
  <c r="H105" i="11" s="1"/>
  <c r="E105" i="11"/>
  <c r="G105" i="11"/>
  <c r="F74" i="11"/>
  <c r="D71" i="11"/>
  <c r="H71" i="11" s="1"/>
  <c r="E71" i="11"/>
  <c r="G71" i="11"/>
  <c r="D72" i="11"/>
  <c r="H72" i="11" s="1"/>
  <c r="E72" i="11"/>
  <c r="G72" i="11"/>
  <c r="D73" i="11"/>
  <c r="E73" i="11"/>
  <c r="G73" i="11"/>
  <c r="D74" i="11"/>
  <c r="E74" i="11"/>
  <c r="G74" i="11"/>
  <c r="G18" i="11"/>
  <c r="G19" i="11"/>
  <c r="G21" i="11"/>
  <c r="G22" i="11"/>
  <c r="D18" i="11"/>
  <c r="E18" i="11"/>
  <c r="D19" i="11"/>
  <c r="E19" i="11"/>
  <c r="D21" i="11"/>
  <c r="H21" i="11" s="1"/>
  <c r="E21" i="11"/>
  <c r="D22" i="11"/>
  <c r="H22" i="11" s="1"/>
  <c r="E22" i="11"/>
  <c r="F48" i="11"/>
  <c r="F47" i="11"/>
  <c r="F46" i="11"/>
  <c r="F45" i="11"/>
  <c r="F44" i="11"/>
  <c r="F43" i="11"/>
  <c r="F42" i="11"/>
  <c r="F41" i="11"/>
  <c r="F40" i="11"/>
  <c r="F39" i="11"/>
  <c r="F36" i="11"/>
  <c r="F35" i="11"/>
  <c r="F34" i="11"/>
  <c r="F33" i="11"/>
  <c r="F32" i="11"/>
  <c r="H23" i="11" l="1"/>
  <c r="I23" i="11"/>
  <c r="I24" i="11"/>
  <c r="I25" i="11"/>
  <c r="I26" i="11"/>
  <c r="I27" i="11"/>
  <c r="I28" i="11"/>
  <c r="I29" i="11"/>
  <c r="I30" i="11"/>
  <c r="H25" i="11"/>
  <c r="H26" i="11"/>
  <c r="H27" i="11"/>
  <c r="H29" i="11"/>
  <c r="H30" i="11"/>
  <c r="J24" i="11"/>
  <c r="J28" i="11"/>
  <c r="I50" i="11"/>
  <c r="J50" i="11"/>
  <c r="J79" i="11"/>
  <c r="I92" i="11"/>
  <c r="J94" i="11"/>
  <c r="H85" i="11"/>
  <c r="J84" i="11"/>
  <c r="I83" i="11"/>
  <c r="I104" i="11"/>
  <c r="I100" i="11"/>
  <c r="J95" i="11"/>
  <c r="J87" i="11"/>
  <c r="J102" i="11"/>
  <c r="I94" i="11"/>
  <c r="H92" i="11"/>
  <c r="J90" i="11"/>
  <c r="H83" i="11"/>
  <c r="I81" i="11"/>
  <c r="J80" i="11"/>
  <c r="H81" i="11"/>
  <c r="H77" i="11"/>
  <c r="J96" i="11"/>
  <c r="H89" i="11"/>
  <c r="J98" i="11"/>
  <c r="I96" i="11"/>
  <c r="I91" i="11"/>
  <c r="I89" i="11"/>
  <c r="I88" i="11"/>
  <c r="I77" i="11"/>
  <c r="J91" i="11"/>
  <c r="K91" i="11" s="1"/>
  <c r="J88" i="11"/>
  <c r="J72" i="11"/>
  <c r="H104" i="11"/>
  <c r="K104" i="11" s="1"/>
  <c r="I102" i="11"/>
  <c r="H100" i="11"/>
  <c r="I95" i="11"/>
  <c r="I87" i="11"/>
  <c r="I85" i="11"/>
  <c r="I84" i="11"/>
  <c r="J83" i="11"/>
  <c r="I80" i="11"/>
  <c r="I99" i="11"/>
  <c r="I98" i="11"/>
  <c r="H79" i="11"/>
  <c r="J99" i="11"/>
  <c r="I97" i="11"/>
  <c r="I86" i="11"/>
  <c r="J105" i="11"/>
  <c r="H103" i="11"/>
  <c r="H101" i="11"/>
  <c r="H97" i="11"/>
  <c r="H93" i="11"/>
  <c r="H90" i="11"/>
  <c r="H86" i="11"/>
  <c r="H82" i="11"/>
  <c r="H78" i="11"/>
  <c r="I101" i="11"/>
  <c r="I93" i="11"/>
  <c r="I82" i="11"/>
  <c r="I105" i="11"/>
  <c r="K105" i="11" s="1"/>
  <c r="I103" i="11"/>
  <c r="I90" i="11"/>
  <c r="I78" i="11"/>
  <c r="H73" i="11"/>
  <c r="J74" i="11"/>
  <c r="I72" i="11"/>
  <c r="J71" i="11"/>
  <c r="I71" i="11"/>
  <c r="J18" i="11"/>
  <c r="H74" i="11"/>
  <c r="I73" i="11"/>
  <c r="I74" i="11"/>
  <c r="J73" i="11"/>
  <c r="I19" i="11"/>
  <c r="J22" i="11"/>
  <c r="H19" i="11"/>
  <c r="I22" i="11"/>
  <c r="J21" i="11"/>
  <c r="H18" i="11"/>
  <c r="I18" i="11"/>
  <c r="I21" i="11"/>
  <c r="J19" i="11"/>
  <c r="K21" i="11" l="1"/>
  <c r="K30" i="11"/>
  <c r="K23" i="11"/>
  <c r="K24" i="11"/>
  <c r="K25" i="11"/>
  <c r="K28" i="11"/>
  <c r="K29" i="11"/>
  <c r="K27" i="11"/>
  <c r="K26" i="11"/>
  <c r="K79" i="11"/>
  <c r="K50" i="11"/>
  <c r="K92" i="11"/>
  <c r="K87" i="11"/>
  <c r="K94" i="11"/>
  <c r="K83" i="11"/>
  <c r="K102" i="11"/>
  <c r="K72" i="11"/>
  <c r="K85" i="11"/>
  <c r="K100" i="11"/>
  <c r="K81" i="11"/>
  <c r="K80" i="11"/>
  <c r="K78" i="11"/>
  <c r="K93" i="11"/>
  <c r="K95" i="11"/>
  <c r="K97" i="11"/>
  <c r="K84" i="11"/>
  <c r="K96" i="11"/>
  <c r="K88" i="11"/>
  <c r="K89" i="11"/>
  <c r="K99" i="11"/>
  <c r="K77" i="11"/>
  <c r="K98" i="11"/>
  <c r="K101" i="11"/>
  <c r="K82" i="11"/>
  <c r="K86" i="11"/>
  <c r="K90" i="11"/>
  <c r="K103" i="11"/>
  <c r="K71" i="11"/>
  <c r="K73" i="11"/>
  <c r="K19" i="11"/>
  <c r="K74" i="11"/>
  <c r="K18" i="11"/>
  <c r="K22" i="11"/>
  <c r="D31" i="11" l="1"/>
  <c r="J31" i="11" s="1"/>
  <c r="E31" i="11"/>
  <c r="G31" i="11"/>
  <c r="D32" i="11"/>
  <c r="E32" i="11"/>
  <c r="G32" i="11"/>
  <c r="D33" i="11"/>
  <c r="H33" i="11" s="1"/>
  <c r="E33" i="11"/>
  <c r="G33" i="11"/>
  <c r="D34" i="11"/>
  <c r="J34" i="11" s="1"/>
  <c r="E34" i="11"/>
  <c r="G34" i="11"/>
  <c r="D35" i="11"/>
  <c r="J35" i="11" s="1"/>
  <c r="E35" i="11"/>
  <c r="G35" i="11"/>
  <c r="D36" i="11"/>
  <c r="H36" i="11" s="1"/>
  <c r="E36" i="11"/>
  <c r="G36" i="11"/>
  <c r="D37" i="11"/>
  <c r="H37" i="11" s="1"/>
  <c r="E37" i="11"/>
  <c r="G37" i="11"/>
  <c r="D38" i="11"/>
  <c r="J38" i="11" s="1"/>
  <c r="E38" i="11"/>
  <c r="G38" i="11"/>
  <c r="D39" i="11"/>
  <c r="E39" i="11"/>
  <c r="G39" i="11"/>
  <c r="D40" i="11"/>
  <c r="H40" i="11" s="1"/>
  <c r="E40" i="11"/>
  <c r="G40" i="11"/>
  <c r="D41" i="11"/>
  <c r="H41" i="11" s="1"/>
  <c r="E41" i="11"/>
  <c r="G41" i="11"/>
  <c r="D42" i="11"/>
  <c r="J42" i="11" s="1"/>
  <c r="E42" i="11"/>
  <c r="G42" i="11"/>
  <c r="D43" i="11"/>
  <c r="J43" i="11" s="1"/>
  <c r="E43" i="11"/>
  <c r="G43" i="11"/>
  <c r="D44" i="11"/>
  <c r="H44" i="11" s="1"/>
  <c r="E44" i="11"/>
  <c r="G44" i="11"/>
  <c r="D45" i="11"/>
  <c r="H45" i="11" s="1"/>
  <c r="E45" i="11"/>
  <c r="G45" i="11"/>
  <c r="D46" i="11"/>
  <c r="J46" i="11" s="1"/>
  <c r="E46" i="11"/>
  <c r="G46" i="11"/>
  <c r="D47" i="11"/>
  <c r="J47" i="11" s="1"/>
  <c r="E47" i="11"/>
  <c r="G47" i="11"/>
  <c r="D48" i="11"/>
  <c r="H48" i="11" s="1"/>
  <c r="E48" i="11"/>
  <c r="G48" i="11"/>
  <c r="D49" i="11"/>
  <c r="J49" i="11" s="1"/>
  <c r="E49" i="11"/>
  <c r="G49" i="11"/>
  <c r="F65" i="11"/>
  <c r="F69" i="11" s="1"/>
  <c r="F59" i="11"/>
  <c r="F63" i="11" s="1"/>
  <c r="F57" i="11"/>
  <c r="F56" i="11"/>
  <c r="F55" i="11"/>
  <c r="F54" i="11"/>
  <c r="F53" i="11"/>
  <c r="F52" i="11"/>
  <c r="D51" i="11"/>
  <c r="J51" i="11" s="1"/>
  <c r="E51" i="11"/>
  <c r="G51" i="11"/>
  <c r="D52" i="11"/>
  <c r="J52" i="11" s="1"/>
  <c r="E52" i="11"/>
  <c r="G52" i="11"/>
  <c r="D53" i="11"/>
  <c r="H53" i="11" s="1"/>
  <c r="E53" i="11"/>
  <c r="G53" i="11"/>
  <c r="D54" i="11"/>
  <c r="H54" i="11" s="1"/>
  <c r="E54" i="11"/>
  <c r="G54" i="11"/>
  <c r="D55" i="11"/>
  <c r="J55" i="11" s="1"/>
  <c r="E55" i="11"/>
  <c r="G55" i="11"/>
  <c r="D56" i="11"/>
  <c r="J56" i="11" s="1"/>
  <c r="E56" i="11"/>
  <c r="G56" i="11"/>
  <c r="D57" i="11"/>
  <c r="I57" i="11" s="1"/>
  <c r="E57" i="11"/>
  <c r="G57" i="11"/>
  <c r="D58" i="11"/>
  <c r="H58" i="11" s="1"/>
  <c r="E58" i="11"/>
  <c r="G58" i="11"/>
  <c r="D59" i="11"/>
  <c r="H59" i="11" s="1"/>
  <c r="E59" i="11"/>
  <c r="G59" i="11"/>
  <c r="D60" i="11"/>
  <c r="J60" i="11" s="1"/>
  <c r="E60" i="11"/>
  <c r="G60" i="11"/>
  <c r="D61" i="11"/>
  <c r="J61" i="11" s="1"/>
  <c r="E61" i="11"/>
  <c r="G61" i="11"/>
  <c r="D62" i="11"/>
  <c r="H62" i="11" s="1"/>
  <c r="E62" i="11"/>
  <c r="G62" i="11"/>
  <c r="D63" i="11"/>
  <c r="H63" i="11" s="1"/>
  <c r="E63" i="11"/>
  <c r="G63" i="11"/>
  <c r="D64" i="11"/>
  <c r="J64" i="11" s="1"/>
  <c r="E64" i="11"/>
  <c r="G64" i="11"/>
  <c r="D65" i="11"/>
  <c r="H65" i="11" s="1"/>
  <c r="E65" i="11"/>
  <c r="G65" i="11"/>
  <c r="D66" i="11"/>
  <c r="H66" i="11" s="1"/>
  <c r="E66" i="11"/>
  <c r="G66" i="11"/>
  <c r="D67" i="11"/>
  <c r="J67" i="11" s="1"/>
  <c r="E67" i="11"/>
  <c r="G67" i="11"/>
  <c r="D68" i="11"/>
  <c r="J68" i="11" s="1"/>
  <c r="E68" i="11"/>
  <c r="G68" i="11"/>
  <c r="D69" i="11"/>
  <c r="H69" i="11" s="1"/>
  <c r="E69" i="11"/>
  <c r="G69" i="11"/>
  <c r="D70" i="11"/>
  <c r="H70" i="11" s="1"/>
  <c r="E70" i="11"/>
  <c r="G70" i="11"/>
  <c r="J39" i="11" l="1"/>
  <c r="H32" i="11"/>
  <c r="J45" i="11"/>
  <c r="J33" i="11"/>
  <c r="J32" i="11"/>
  <c r="I49" i="11"/>
  <c r="I38" i="11"/>
  <c r="J37" i="11"/>
  <c r="I33" i="11"/>
  <c r="I42" i="11"/>
  <c r="J41" i="11"/>
  <c r="J40" i="11"/>
  <c r="I37" i="11"/>
  <c r="I46" i="11"/>
  <c r="H49" i="11"/>
  <c r="J48" i="11"/>
  <c r="I45" i="11"/>
  <c r="J36" i="11"/>
  <c r="I41" i="11"/>
  <c r="I34" i="11"/>
  <c r="I48" i="11"/>
  <c r="H46" i="11"/>
  <c r="I40" i="11"/>
  <c r="H38" i="11"/>
  <c r="J44" i="11"/>
  <c r="I44" i="11"/>
  <c r="H42" i="11"/>
  <c r="I36" i="11"/>
  <c r="H34" i="11"/>
  <c r="I32" i="11"/>
  <c r="I43" i="11"/>
  <c r="I39" i="11"/>
  <c r="I31" i="11"/>
  <c r="H47" i="11"/>
  <c r="H43" i="11"/>
  <c r="H39" i="11"/>
  <c r="H35" i="11"/>
  <c r="H31" i="11"/>
  <c r="I47" i="11"/>
  <c r="I35" i="11"/>
  <c r="J53" i="11"/>
  <c r="J59" i="11"/>
  <c r="I69" i="11"/>
  <c r="F60" i="11"/>
  <c r="I60" i="11" s="1"/>
  <c r="J62" i="11"/>
  <c r="I51" i="11"/>
  <c r="H51" i="11"/>
  <c r="F61" i="11"/>
  <c r="I61" i="11" s="1"/>
  <c r="I53" i="11"/>
  <c r="K53" i="11" s="1"/>
  <c r="F66" i="11"/>
  <c r="I66" i="11" s="1"/>
  <c r="J66" i="11"/>
  <c r="J57" i="11"/>
  <c r="F62" i="11"/>
  <c r="I62" i="11" s="1"/>
  <c r="F67" i="11"/>
  <c r="I67" i="11" s="1"/>
  <c r="J69" i="11"/>
  <c r="I59" i="11"/>
  <c r="H57" i="11"/>
  <c r="F68" i="11"/>
  <c r="I68" i="11" s="1"/>
  <c r="J63" i="11"/>
  <c r="H61" i="11"/>
  <c r="H55" i="11"/>
  <c r="I54" i="11"/>
  <c r="J65" i="11"/>
  <c r="I65" i="11"/>
  <c r="I63" i="11"/>
  <c r="I58" i="11"/>
  <c r="I55" i="11"/>
  <c r="H67" i="11"/>
  <c r="J70" i="11"/>
  <c r="H68" i="11"/>
  <c r="H64" i="11"/>
  <c r="H60" i="11"/>
  <c r="J58" i="11"/>
  <c r="H56" i="11"/>
  <c r="J54" i="11"/>
  <c r="H52" i="11"/>
  <c r="I56" i="11"/>
  <c r="I52" i="11"/>
  <c r="I70" i="11"/>
  <c r="I64" i="11"/>
  <c r="K41" i="11" l="1"/>
  <c r="K45" i="11"/>
  <c r="K42" i="11"/>
  <c r="K40" i="11"/>
  <c r="K49" i="11"/>
  <c r="K32" i="11"/>
  <c r="K33" i="11"/>
  <c r="K37" i="11"/>
  <c r="K36" i="11"/>
  <c r="K62" i="11"/>
  <c r="K46" i="11"/>
  <c r="K38" i="11"/>
  <c r="K48" i="11"/>
  <c r="K44" i="11"/>
  <c r="K34" i="11"/>
  <c r="K39" i="11"/>
  <c r="K65" i="11"/>
  <c r="K31" i="11"/>
  <c r="K43" i="11"/>
  <c r="K35" i="11"/>
  <c r="K47" i="11"/>
  <c r="K59" i="11"/>
  <c r="K63" i="11"/>
  <c r="K51" i="11"/>
  <c r="K69" i="11"/>
  <c r="K70" i="11"/>
  <c r="K66" i="11"/>
  <c r="K55" i="11"/>
  <c r="K58" i="11"/>
  <c r="K61" i="11"/>
  <c r="K57" i="11"/>
  <c r="K67" i="11"/>
  <c r="K54" i="11"/>
  <c r="K64" i="11"/>
  <c r="K56" i="11"/>
  <c r="K68" i="11"/>
  <c r="K52" i="11"/>
  <c r="K60" i="11"/>
  <c r="F110" i="11" l="1"/>
  <c r="F109" i="11"/>
  <c r="F108" i="11"/>
  <c r="F107" i="11"/>
  <c r="F119" i="11"/>
  <c r="F118" i="11"/>
  <c r="F117" i="11"/>
  <c r="F116" i="11"/>
  <c r="F115" i="11"/>
  <c r="F114" i="11"/>
  <c r="F113" i="11"/>
  <c r="G111" i="11" l="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D111" i="11"/>
  <c r="H111" i="11" s="1"/>
  <c r="E111" i="11"/>
  <c r="D112" i="11"/>
  <c r="J112" i="11" s="1"/>
  <c r="E112" i="11"/>
  <c r="D113" i="11"/>
  <c r="E113" i="11"/>
  <c r="D114" i="11"/>
  <c r="H114" i="11" s="1"/>
  <c r="E114" i="11"/>
  <c r="D115" i="11"/>
  <c r="H115" i="11" s="1"/>
  <c r="E115" i="11"/>
  <c r="D116" i="11"/>
  <c r="J116" i="11" s="1"/>
  <c r="E116" i="11"/>
  <c r="D117" i="11"/>
  <c r="E117" i="11"/>
  <c r="D118" i="11"/>
  <c r="H118" i="11" s="1"/>
  <c r="E118" i="11"/>
  <c r="D119" i="11"/>
  <c r="H119" i="11" s="1"/>
  <c r="E119" i="11"/>
  <c r="D120" i="11"/>
  <c r="J120" i="11" s="1"/>
  <c r="E120" i="11"/>
  <c r="D121" i="11"/>
  <c r="J121" i="11" s="1"/>
  <c r="E121" i="11"/>
  <c r="D122" i="11"/>
  <c r="I122" i="11" s="1"/>
  <c r="E122" i="11"/>
  <c r="D123" i="11"/>
  <c r="H123" i="11" s="1"/>
  <c r="E123" i="11"/>
  <c r="D75" i="11"/>
  <c r="H75" i="11" s="1"/>
  <c r="E75" i="11"/>
  <c r="G75" i="11"/>
  <c r="D76" i="11"/>
  <c r="J76" i="11" s="1"/>
  <c r="E76" i="11"/>
  <c r="G76" i="11"/>
  <c r="I117" i="11" l="1"/>
  <c r="I113" i="11"/>
  <c r="I119" i="11"/>
  <c r="J111" i="11"/>
  <c r="H122" i="11"/>
  <c r="J115" i="11"/>
  <c r="H113" i="11"/>
  <c r="I111" i="11"/>
  <c r="J119" i="11"/>
  <c r="H117" i="11"/>
  <c r="I115" i="11"/>
  <c r="I121" i="11"/>
  <c r="I120" i="11"/>
  <c r="I116" i="11"/>
  <c r="I112" i="11"/>
  <c r="J123" i="11"/>
  <c r="H121" i="11"/>
  <c r="H120" i="11"/>
  <c r="J118" i="11"/>
  <c r="H116" i="11"/>
  <c r="J114" i="11"/>
  <c r="H112" i="11"/>
  <c r="I123" i="11"/>
  <c r="J122" i="11"/>
  <c r="I118" i="11"/>
  <c r="J117" i="11"/>
  <c r="I114" i="11"/>
  <c r="J113" i="11"/>
  <c r="I76" i="11"/>
  <c r="H76" i="11"/>
  <c r="J75" i="11"/>
  <c r="I75" i="11"/>
  <c r="K120" i="11" l="1"/>
  <c r="K115" i="11"/>
  <c r="K117" i="11"/>
  <c r="K114" i="11"/>
  <c r="K123" i="11"/>
  <c r="K112" i="11"/>
  <c r="K121" i="11"/>
  <c r="K119" i="11"/>
  <c r="K118" i="11"/>
  <c r="K113" i="11"/>
  <c r="K111" i="11"/>
  <c r="K122" i="11"/>
  <c r="K116" i="11"/>
  <c r="K75" i="11"/>
  <c r="K76" i="11"/>
  <c r="D106" i="11" l="1"/>
  <c r="D107" i="11"/>
  <c r="D108" i="11"/>
  <c r="D109" i="11"/>
  <c r="D110" i="11"/>
  <c r="D17" i="11"/>
  <c r="J17" i="11" s="1"/>
  <c r="E17" i="11"/>
  <c r="G17" i="11"/>
  <c r="D15" i="11"/>
  <c r="J15" i="11" s="1"/>
  <c r="E15" i="11"/>
  <c r="G15" i="11"/>
  <c r="D16" i="11"/>
  <c r="J16" i="11" s="1"/>
  <c r="E16" i="11"/>
  <c r="G16" i="11"/>
  <c r="I17" i="11" l="1"/>
  <c r="H17" i="11"/>
  <c r="I15" i="11"/>
  <c r="H15" i="11"/>
  <c r="I16" i="11"/>
  <c r="H16" i="11"/>
  <c r="K17" i="11" l="1"/>
  <c r="K15" i="11"/>
  <c r="K16" i="11"/>
  <c r="G6" i="11" l="1"/>
  <c r="E106" i="11"/>
  <c r="G106" i="11"/>
  <c r="J107" i="11"/>
  <c r="E107" i="11"/>
  <c r="G107" i="11"/>
  <c r="J108" i="11"/>
  <c r="E108" i="11"/>
  <c r="G108" i="11"/>
  <c r="E109" i="11"/>
  <c r="G109" i="11"/>
  <c r="H110" i="11"/>
  <c r="E110" i="11"/>
  <c r="G110" i="11"/>
  <c r="D20" i="60"/>
  <c r="H106" i="11" l="1"/>
  <c r="H109" i="11"/>
  <c r="J110" i="11"/>
  <c r="J109" i="11"/>
  <c r="I107" i="11"/>
  <c r="H107" i="11"/>
  <c r="J106" i="11"/>
  <c r="I109" i="11"/>
  <c r="H108" i="11"/>
  <c r="I108" i="11"/>
  <c r="I110" i="11"/>
  <c r="I106" i="11"/>
  <c r="D14" i="11"/>
  <c r="J14" i="11" s="1"/>
  <c r="E14" i="11"/>
  <c r="G14" i="11"/>
  <c r="K19" i="60"/>
  <c r="D19" i="60"/>
  <c r="K107" i="11" l="1"/>
  <c r="K109" i="11"/>
  <c r="K110" i="11"/>
  <c r="K106" i="11"/>
  <c r="K108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124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24" i="11"/>
  <c r="D125" i="11"/>
  <c r="H125" i="11" s="1"/>
  <c r="E125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25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32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24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25" i="11"/>
  <c r="I125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125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27" i="11"/>
  <c r="H128" i="11" s="1"/>
  <c r="I127" i="11"/>
  <c r="I128" i="11" s="1"/>
  <c r="F330" i="29"/>
  <c r="F325" i="29"/>
  <c r="F714" i="41"/>
  <c r="E336" i="29"/>
  <c r="E71" i="39"/>
  <c r="E64" i="39"/>
  <c r="F333" i="29"/>
  <c r="E356" i="29"/>
  <c r="F356" i="29"/>
  <c r="E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39" i="29" l="1"/>
  <c r="F337" i="29"/>
  <c r="F345" i="29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29" i="11"/>
  <c r="I129" i="11"/>
  <c r="F364" i="29"/>
  <c r="F69" i="39"/>
  <c r="F72" i="39"/>
  <c r="F367" i="29"/>
  <c r="J124" i="11"/>
  <c r="K124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27" i="11" l="1"/>
  <c r="K128" i="11" s="1"/>
  <c r="K129" i="11" s="1"/>
  <c r="B130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127" i="11"/>
  <c r="J128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B16" i="29" l="1"/>
  <c r="E16" i="29" s="1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29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29" i="41" l="1"/>
  <c r="F827" i="41"/>
  <c r="F835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<sst xmlns="http://schemas.openxmlformats.org/spreadsheetml/2006/main" count="4806" uniqueCount="1643">
  <si>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</si>
  <si>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</si>
  <si>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</si>
  <si>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</si>
  <si>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</si>
  <si>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</si>
  <si>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</si>
  <si>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</si>
  <si>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</si>
  <si>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</si>
  <si>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</si>
  <si>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</si>
  <si>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</si>
  <si>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</si>
  <si>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</si>
  <si>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</si>
  <si>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</si>
  <si>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</si>
  <si>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</si>
  <si>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</si>
  <si>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</si>
  <si>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</si>
  <si>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</si>
  <si>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</si>
  <si>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</si>
  <si>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</si>
  <si>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</si>
  <si>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</si>
  <si>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</si>
  <si>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</si>
  <si>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</si>
  <si>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</si>
  <si>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</si>
  <si>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</si>
  <si>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</si>
  <si>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</si>
  <si>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</si>
  <si>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</si>
  <si>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</si>
  <si>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</si>
  <si>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</si>
  <si>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</si>
  <si>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</si>
  <si>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</si>
  <si>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</si>
  <si>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</si>
  <si>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</si>
  <si>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</si>
  <si>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</si>
  <si>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</si>
  <si>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</si>
  <si>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</si>
  <si>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</si>
  <si>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</si>
  <si>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</si>
  <si>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</si>
  <si>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</si>
  <si>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</si>
  <si>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</si>
  <si>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</si>
  <si>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</si>
  <si>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</si>
  <si>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</si>
  <si>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</si>
  <si>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</si>
  <si>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</si>
  <si>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</si>
  <si>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</si>
  <si>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</si>
  <si>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</si>
  <si>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</si>
  <si>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</si>
  <si>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</si>
  <si>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</si>
  <si>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</si>
  <si>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</si>
  <si>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</si>
  <si>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</si>
  <si>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</si>
  <si>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</si>
  <si>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</si>
  <si>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</si>
  <si>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</si>
  <si>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</si>
  <si>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</si>
  <si>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</si>
  <si>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</si>
  <si>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</si>
  <si>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</si>
  <si>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</si>
  <si>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</si>
  <si>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</si>
  <si>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</si>
  <si>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</si>
  <si>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</si>
  <si>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</si>
  <si>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</si>
  <si>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</si>
  <si>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</si>
  <si>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</si>
  <si>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</si>
  <si>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</si>
  <si>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</si>
  <si>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</si>
  <si>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</si>
  <si>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</si>
  <si>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</si>
  <si>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</si>
  <si>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</si>
  <si>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</si>
  <si>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</si>
  <si>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</si>
  <si>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</si>
  <si>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</si>
  <si>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</si>
  <si>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</si>
  <si>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</si>
  <si>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</si>
  <si>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</si>
  <si>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</si>
  <si>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</si>
  <si>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</si>
  <si>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</si>
  <si>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</si>
  <si>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</si>
  <si>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</si>
  <si>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</si>
  <si>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</si>
  <si>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</si>
  <si>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</si>
  <si>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</si>
  <si>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</si>
  <si>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</si>
  <si>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</si>
  <si>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</si>
  <si>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</si>
  <si>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</si>
  <si>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</si>
  <si>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</si>
  <si>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</si>
  <si>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</si>
  <si>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</si>
  <si>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</si>
  <si>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</si>
  <si>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</si>
  <si>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</si>
  <si>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</si>
  <si>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</si>
  <si>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</si>
  <si>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</si>
  <si>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</si>
  <si>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</si>
  <si>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</si>
  <si>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</si>
  <si>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</si>
  <si>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</si>
  <si>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</si>
  <si>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</si>
  <si>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</si>
  <si>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</si>
  <si>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</si>
  <si>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</si>
  <si>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</si>
  <si>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</si>
  <si>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</si>
  <si>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</si>
  <si>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</si>
  <si>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</si>
  <si>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</si>
  <si>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</si>
  <si>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</si>
  <si>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</si>
  <si>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</si>
  <si>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</si>
  <si>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</si>
  <si>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</si>
  <si>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</si>
  <si>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</si>
  <si>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</si>
  <si>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</si>
  <si>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</si>
  <si>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</si>
  <si>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</si>
  <si>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</si>
  <si>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</si>
  <si>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</si>
  <si>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</si>
  <si>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</si>
  <si>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</si>
  <si>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</si>
  <si>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</si>
  <si>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</si>
  <si>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</si>
  <si>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</si>
  <si>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</si>
  <si>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</si>
  <si>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</si>
  <si>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</si>
  <si>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</si>
  <si>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</si>
  <si>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</si>
  <si>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</si>
  <si>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</si>
  <si>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</si>
  <si>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</si>
  <si>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</si>
  <si>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</si>
  <si>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</si>
  <si>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</si>
  <si>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</si>
  <si>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</si>
  <si>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</si>
  <si>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</si>
  <si>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</si>
  <si>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</si>
  <si>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</si>
  <si>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</si>
  <si>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</si>
  <si>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</si>
  <si>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</si>
  <si>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</si>
  <si>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</si>
  <si>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</si>
  <si>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</si>
  <si>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</si>
  <si>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</si>
  <si>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</si>
  <si>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</si>
  <si>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</si>
  <si>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</si>
  <si>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</si>
  <si>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</si>
  <si>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</si>
  <si>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</si>
  <si>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</si>
  <si>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</si>
  <si>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</si>
  <si>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</si>
  <si>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</si>
  <si>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</si>
  <si>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</si>
  <si>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</si>
  <si>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</si>
  <si>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</si>
  <si>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</si>
  <si>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</si>
  <si>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</si>
  <si>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</si>
  <si>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</si>
  <si>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</si>
  <si>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</si>
  <si>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</si>
  <si>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</si>
  <si>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</si>
  <si>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</si>
  <si>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</si>
  <si>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</si>
  <si>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</si>
  <si>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</si>
  <si>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</si>
  <si>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</si>
  <si>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</si>
  <si>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</si>
  <si>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</si>
  <si>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</si>
  <si>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</si>
  <si>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</si>
  <si>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</si>
  <si>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</si>
  <si>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</si>
  <si>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</si>
  <si>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</si>
  <si>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</si>
  <si>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</si>
  <si>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</si>
  <si>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</si>
  <si>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</si>
  <si>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</si>
  <si>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</si>
  <si>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</si>
  <si>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</si>
  <si>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</si>
  <si>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</si>
  <si>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</si>
  <si>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</si>
  <si>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</si>
  <si>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</si>
  <si>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</si>
  <si>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</si>
  <si>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</si>
  <si>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</si>
  <si>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</si>
  <si>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</si>
  <si>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</si>
  <si>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</si>
  <si>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</si>
  <si>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</si>
  <si>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</si>
  <si>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</si>
  <si>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</si>
  <si>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</si>
  <si>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</si>
  <si>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</si>
  <si>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</si>
  <si>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</si>
  <si>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</si>
  <si>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</si>
  <si>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</si>
  <si>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</si>
  <si>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</si>
  <si>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</si>
  <si>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</si>
  <si>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</si>
  <si>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</si>
  <si>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</si>
  <si>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</si>
  <si>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</si>
  <si>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</si>
  <si>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</si>
  <si>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</si>
  <si>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</si>
  <si>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</si>
  <si>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</si>
  <si>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</si>
  <si>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</si>
  <si>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</si>
  <si>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</si>
  <si>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</si>
  <si>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</si>
  <si>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</si>
  <si>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</si>
  <si>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</si>
  <si>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</si>
  <si>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</si>
  <si>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</si>
  <si>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</si>
  <si>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</si>
  <si>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</si>
  <si>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</si>
  <si>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</si>
  <si>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</si>
  <si>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</si>
  <si>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</si>
  <si>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</si>
  <si>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</si>
  <si>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</si>
  <si>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</si>
  <si>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</si>
  <si>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</si>
  <si>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</si>
  <si>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</si>
  <si>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</si>
  <si>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</si>
  <si>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</si>
  <si>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</si>
  <si>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</si>
  <si>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</si>
  <si>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</si>
  <si>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</si>
  <si>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</si>
  <si>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</si>
  <si>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</si>
  <si>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</si>
  <si>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</si>
  <si>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</si>
  <si>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</si>
  <si>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</si>
  <si>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</si>
  <si>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</si>
  <si>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</si>
  <si>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</si>
  <si>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</si>
  <si>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</si>
  <si>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</si>
  <si>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</si>
  <si>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</si>
  <si>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</si>
  <si>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</si>
  <si>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</si>
  <si>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</si>
  <si>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</si>
  <si>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</si>
  <si>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</si>
  <si>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</si>
  <si>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</si>
  <si>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</si>
  <si>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</si>
  <si>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</si>
  <si>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</si>
  <si>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</si>
  <si>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</si>
  <si>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</si>
  <si>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</si>
  <si>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</si>
  <si>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</si>
  <si>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</si>
  <si>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</si>
  <si>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</si>
  <si>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</si>
  <si>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</si>
  <si>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</si>
  <si>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</si>
  <si>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</si>
  <si>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</si>
  <si>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</si>
  <si>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</si>
  <si>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</si>
  <si>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</si>
  <si>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</si>
  <si>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</si>
  <si>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</si>
  <si>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</si>
  <si>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</si>
  <si>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</si>
  <si>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</si>
  <si>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</si>
  <si>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</si>
  <si>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</si>
  <si>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</si>
  <si>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</si>
  <si>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</si>
  <si>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</si>
  <si>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</si>
  <si>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</si>
  <si>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</si>
  <si>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</si>
  <si>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</si>
  <si>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</si>
  <si>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</si>
  <si>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</si>
  <si>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</si>
  <si>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</si>
  <si>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</si>
  <si>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</si>
  <si>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</si>
  <si>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</si>
  <si>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</si>
  <si>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</si>
  <si>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</si>
  <si>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</si>
  <si>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</si>
  <si>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</si>
  <si>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</si>
  <si>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</si>
  <si>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</si>
  <si>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</si>
  <si>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</si>
  <si>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</si>
  <si>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</si>
  <si>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</si>
  <si>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</si>
  <si>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</si>
  <si>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</si>
  <si>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</si>
  <si>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</si>
  <si>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</si>
  <si>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</si>
  <si>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</si>
  <si>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</si>
  <si>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</si>
  <si>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</si>
  <si>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</si>
  <si>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</si>
  <si>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</si>
  <si>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</si>
  <si>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</si>
  <si>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</si>
  <si>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</si>
  <si>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</si>
  <si>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</si>
  <si>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</si>
  <si>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</si>
  <si>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</si>
  <si>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</si>
  <si>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</si>
  <si>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</si>
  <si>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</si>
  <si>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</si>
  <si>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</si>
  <si>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</si>
  <si>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</si>
  <si>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</si>
  <si>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</si>
  <si>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</si>
  <si>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</si>
  <si>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</si>
  <si>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</si>
  <si>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</si>
  <si>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</si>
  <si>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</si>
  <si>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</si>
  <si>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</si>
  <si>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</si>
  <si>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</si>
  <si>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</si>
  <si>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</si>
  <si>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</si>
  <si>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</si>
  <si>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</si>
  <si>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</si>
  <si>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</si>
  <si>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</si>
  <si>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</si>
  <si>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</si>
  <si>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</si>
  <si>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</si>
  <si>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</si>
  <si>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</si>
  <si>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</si>
  <si>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</si>
  <si>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</si>
  <si>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</si>
  <si>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</si>
  <si>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</si>
  <si>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</si>
  <si>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</si>
  <si>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</si>
  <si>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</si>
  <si>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</si>
  <si>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</si>
  <si>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</si>
  <si>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</si>
  <si>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</si>
  <si>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</si>
  <si>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</si>
  <si>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</si>
  <si>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</si>
  <si>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</si>
  <si>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</si>
  <si>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</si>
  <si>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</si>
  <si>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</si>
  <si>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</si>
  <si>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</si>
  <si>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</si>
  <si>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</si>
  <si>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</si>
  <si>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</si>
  <si>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</si>
  <si>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</si>
  <si>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</si>
  <si>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</si>
  <si>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</si>
  <si>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</si>
  <si>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</si>
  <si>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</si>
  <si>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</si>
  <si>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</si>
  <si>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</si>
  <si>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</si>
  <si>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</si>
  <si>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</si>
  <si>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</si>
  <si>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</si>
  <si>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</si>
  <si>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</si>
  <si>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</si>
  <si>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</si>
  <si>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</si>
  <si>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</si>
  <si>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</si>
  <si>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</si>
  <si>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</si>
  <si>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</si>
  <si>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</si>
  <si>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</si>
  <si>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</si>
  <si>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</si>
  <si>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</si>
  <si>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</si>
  <si>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</si>
  <si>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</si>
  <si>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</si>
  <si>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</si>
  <si>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</si>
  <si>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</si>
  <si>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</si>
  <si>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</si>
  <si>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</si>
  <si>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</si>
  <si>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</si>
  <si>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</si>
  <si>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</si>
  <si>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</si>
  <si>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</si>
  <si>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</si>
  <si>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</si>
  <si>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</si>
  <si>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</si>
  <si>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</si>
  <si>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</si>
  <si>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</si>
  <si>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</si>
  <si>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</si>
  <si>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</si>
  <si>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</si>
  <si>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</si>
  <si>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</si>
  <si>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</si>
  <si>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</si>
  <si>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</si>
  <si>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</si>
  <si>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</si>
  <si>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</si>
  <si>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</si>
  <si>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</si>
  <si>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</si>
  <si>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</si>
  <si>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</si>
  <si>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</si>
  <si>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</si>
  <si>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</si>
  <si>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</si>
  <si>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</si>
  <si>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</si>
  <si>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</si>
  <si>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</si>
  <si>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</si>
  <si>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</si>
  <si>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</si>
  <si>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</si>
  <si>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</si>
  <si>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</si>
  <si>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</si>
  <si>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</si>
  <si>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</si>
  <si>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</si>
  <si>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</si>
  <si>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</si>
  <si>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</si>
  <si>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</si>
  <si>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</si>
  <si>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</si>
  <si>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</si>
  <si>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</si>
  <si>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</si>
  <si>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</si>
  <si>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</si>
  <si>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</si>
  <si>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</si>
  <si>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</si>
  <si>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</si>
  <si>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</si>
  <si>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</si>
  <si>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</si>
  <si>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</si>
  <si>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</si>
  <si>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</si>
  <si>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</si>
  <si>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</si>
  <si>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</si>
  <si>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</si>
  <si>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</si>
  <si>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</si>
  <si>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</si>
  <si>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</si>
  <si>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</si>
  <si>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</si>
  <si>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</si>
  <si>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</si>
  <si>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</si>
  <si>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</si>
  <si>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</si>
  <si>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</si>
  <si>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</si>
  <si>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</si>
  <si>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</si>
  <si>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</si>
  <si>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</si>
  <si>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</si>
  <si>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</si>
  <si>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</si>
  <si>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</si>
  <si>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</si>
  <si>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</si>
  <si>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</si>
  <si>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</si>
  <si>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</si>
  <si>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</si>
  <si>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</si>
  <si>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</si>
  <si>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</si>
  <si>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</si>
  <si>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</si>
  <si>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</si>
  <si>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</si>
  <si>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</si>
  <si>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</si>
  <si>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</si>
  <si>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</si>
  <si>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</si>
  <si>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</si>
  <si>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</si>
  <si>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</si>
  <si>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</si>
  <si>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</si>
  <si>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</si>
  <si>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</si>
  <si>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</si>
  <si>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</si>
  <si>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</si>
  <si>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</si>
  <si>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</si>
  <si>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</si>
  <si>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</si>
  <si>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</si>
  <si>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</si>
  <si>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</si>
  <si>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</si>
  <si>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</si>
  <si>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</si>
  <si>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</si>
  <si>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</si>
  <si>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</si>
  <si>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</si>
  <si>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</si>
  <si>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</si>
  <si>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</si>
  <si>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</si>
  <si>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</si>
  <si>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</si>
  <si>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</si>
  <si>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</si>
  <si>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</si>
  <si>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</si>
  <si>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</si>
  <si>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</si>
  <si>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</si>
  <si>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</si>
  <si>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</si>
  <si>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</si>
  <si>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</si>
  <si>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</si>
  <si>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</si>
  <si>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</si>
  <si>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</si>
  <si>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</si>
  <si>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</si>
  <si>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</si>
  <si>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</si>
  <si>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</si>
  <si>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</si>
  <si>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</si>
  <si>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</si>
  <si>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</si>
  <si>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</si>
  <si>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</si>
  <si>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</si>
  <si>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</si>
  <si>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</si>
  <si>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</si>
  <si>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</si>
  <si>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</si>
  <si>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</si>
  <si>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</si>
  <si>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</si>
  <si>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</si>
  <si>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</si>
  <si>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</si>
  <si>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</si>
  <si>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</si>
  <si>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</si>
  <si>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</si>
  <si>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</si>
  <si>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</si>
  <si>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</si>
  <si>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</si>
  <si>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</si>
  <si>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</si>
  <si>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</si>
  <si>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</si>
  <si>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</si>
  <si>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</si>
  <si>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</si>
  <si>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</si>
  <si>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</si>
  <si>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</si>
  <si>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</si>
  <si>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</si>
  <si>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</si>
  <si>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</si>
  <si>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</si>
  <si>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</si>
  <si>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</si>
  <si>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</si>
  <si>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</si>
  <si>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</si>
  <si>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</si>
  <si>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</si>
  <si>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</si>
  <si>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</si>
  <si>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</si>
  <si>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</si>
  <si>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</si>
  <si>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</si>
  <si>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</si>
  <si>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</si>
  <si>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</si>
  <si>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</si>
  <si>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</si>
  <si>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</si>
  <si>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</si>
  <si>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</si>
  <si>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</si>
  <si>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</si>
  <si>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</si>
  <si>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</si>
  <si>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</si>
  <si>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</si>
  <si>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</si>
  <si>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</si>
  <si>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</si>
  <si>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</si>
  <si>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</si>
  <si>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</si>
  <si>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</si>
  <si>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</si>
  <si>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</si>
  <si>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</si>
  <si>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</si>
  <si>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</si>
  <si>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</si>
  <si>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</si>
  <si>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</si>
  <si>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</si>
  <si>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</si>
  <si>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</si>
  <si>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</si>
  <si>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</si>
  <si>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</si>
  <si>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</si>
  <si>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</si>
  <si>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</si>
  <si>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</si>
  <si>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</si>
  <si>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</si>
  <si>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</si>
  <si>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</si>
  <si>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</si>
  <si>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</si>
  <si>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</si>
  <si>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</si>
  <si>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</si>
  <si>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</si>
  <si>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</si>
  <si>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</si>
  <si>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</si>
  <si>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</si>
  <si>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</si>
  <si>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</si>
  <si>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</si>
  <si>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</si>
  <si>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</si>
  <si>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</si>
  <si>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</si>
  <si>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</si>
  <si>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</si>
  <si>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</si>
  <si>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</si>
  <si>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</si>
  <si>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</si>
  <si>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</si>
  <si>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</si>
  <si>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</si>
  <si>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</si>
  <si>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</si>
  <si>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</si>
  <si>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</si>
  <si>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</si>
  <si>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</si>
  <si>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</si>
  <si>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</si>
  <si>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</si>
  <si>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</si>
  <si>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</si>
  <si>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</si>
  <si>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</si>
  <si>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</si>
  <si>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</si>
  <si>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</si>
  <si>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</si>
  <si>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</si>
  <si>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</si>
  <si>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</si>
  <si>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</si>
  <si>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</si>
  <si>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</si>
  <si>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</si>
  <si>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</si>
  <si>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</si>
  <si>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</si>
  <si>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</si>
  <si>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</si>
  <si>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</si>
  <si>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</si>
  <si>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</si>
  <si>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</si>
  <si>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</si>
  <si>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</si>
  <si>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</si>
  <si>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</si>
  <si>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</si>
  <si>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</si>
  <si>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</si>
  <si>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</si>
  <si>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</si>
  <si>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</si>
  <si>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</si>
  <si>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</si>
  <si>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</si>
  <si>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</si>
  <si>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</si>
  <si>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</si>
  <si>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</si>
  <si>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</si>
  <si>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</si>
  <si>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</si>
  <si>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</si>
  <si>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</si>
  <si>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</si>
  <si>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</si>
  <si>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</si>
  <si>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</si>
  <si>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</si>
  <si>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</si>
  <si>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</si>
  <si>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</si>
  <si>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</si>
  <si>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</si>
  <si>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</si>
  <si>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</si>
  <si>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</si>
  <si>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</si>
  <si>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</si>
  <si>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</si>
  <si>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</si>
  <si>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</si>
  <si>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</si>
  <si>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</si>
  <si>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</si>
  <si>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</si>
  <si>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</si>
  <si>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</si>
  <si>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</si>
  <si>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</si>
  <si>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</si>
  <si>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</si>
  <si>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</si>
  <si>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</si>
  <si>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</si>
  <si>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</si>
  <si>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</si>
  <si>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</si>
  <si>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</si>
  <si>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</si>
  <si>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</si>
  <si>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</si>
  <si>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</si>
  <si>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</si>
  <si>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</si>
  <si>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</si>
  <si>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</si>
  <si>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</si>
  <si>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</si>
  <si>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</si>
  <si>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</si>
  <si>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</si>
  <si>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</si>
  <si>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</si>
  <si>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</si>
  <si>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</si>
  <si>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</si>
  <si>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</si>
  <si>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</si>
  <si>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</si>
  <si>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</si>
  <si>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</si>
  <si>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</si>
  <si>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</si>
  <si>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</si>
  <si>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</si>
  <si>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</si>
  <si>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</si>
  <si>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</si>
  <si>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</si>
  <si>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</si>
  <si>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</si>
  <si>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</si>
  <si>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</si>
  <si>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</si>
  <si>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</si>
  <si>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</si>
  <si>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</si>
  <si>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</si>
  <si>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</si>
  <si>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</si>
  <si>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</si>
  <si>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</si>
  <si>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</si>
  <si>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</si>
  <si>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</si>
  <si>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</si>
  <si>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</si>
  <si>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</si>
  <si>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</si>
  <si>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</si>
  <si>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</si>
  <si>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</si>
  <si>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</si>
  <si>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</si>
  <si>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</si>
  <si>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</si>
  <si>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</si>
  <si>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</si>
  <si>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</si>
  <si>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</si>
  <si>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</si>
  <si>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</si>
  <si>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</si>
  <si>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</si>
  <si>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</si>
  <si>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</si>
  <si>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</si>
  <si>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</si>
  <si>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</si>
  <si>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</si>
  <si>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</si>
  <si>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</si>
  <si>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</si>
  <si>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</si>
  <si>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</si>
  <si>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</si>
  <si>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</si>
  <si>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</si>
  <si>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</si>
  <si>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</si>
  <si>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</si>
  <si>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</si>
  <si>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</si>
  <si>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</si>
  <si>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</si>
  <si>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</si>
  <si>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</si>
  <si>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</si>
  <si>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</si>
  <si>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</si>
  <si>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</si>
  <si>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</si>
  <si>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</si>
  <si>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</si>
  <si>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</si>
  <si>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</si>
  <si>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</si>
  <si>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</si>
  <si>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</si>
  <si>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</si>
  <si>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</si>
  <si>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</si>
  <si>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</si>
  <si>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</si>
  <si>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</si>
  <si>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</si>
  <si>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</si>
  <si>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</si>
  <si>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</si>
  <si>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</si>
  <si>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</si>
  <si>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</si>
  <si>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</si>
  <si>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</si>
  <si>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</si>
  <si>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</si>
  <si>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</si>
  <si>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</si>
  <si>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</si>
  <si>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</si>
  <si>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</si>
  <si>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</si>
  <si>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</si>
  <si>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</si>
  <si>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</si>
  <si>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</si>
  <si>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</si>
  <si>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</si>
  <si>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</si>
  <si>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</si>
  <si>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</si>
  <si>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</si>
  <si>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</si>
  <si>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</si>
  <si>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</si>
  <si>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</si>
  <si>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</si>
  <si>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</si>
  <si>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</si>
  <si>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</si>
  <si>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</si>
  <si>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</si>
  <si>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</si>
  <si>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</si>
  <si>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</si>
  <si>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</si>
  <si>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</si>
  <si>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</si>
  <si>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</si>
  <si>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</si>
  <si>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</si>
  <si>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</si>
  <si>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</si>
  <si>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</si>
  <si>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</si>
  <si>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</si>
  <si>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</si>
  <si>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</si>
  <si>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</si>
  <si>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</si>
  <si>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</si>
  <si>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</si>
  <si>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</si>
  <si>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</si>
  <si>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</si>
  <si>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</si>
  <si>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</si>
  <si>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</si>
  <si>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</si>
  <si>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</si>
  <si>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</si>
  <si>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</si>
  <si>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</si>
  <si>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</si>
  <si>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</si>
  <si>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</si>
  <si>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</si>
  <si>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</si>
  <si>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</si>
  <si>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</si>
  <si>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</si>
  <si>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</si>
  <si>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</si>
  <si>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</si>
  <si>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</si>
  <si>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</si>
  <si>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</si>
  <si>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</si>
  <si>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</si>
  <si>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</si>
  <si>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</si>
  <si>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</si>
  <si>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</si>
  <si>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</si>
  <si>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</si>
  <si>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</si>
  <si>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</si>
  <si>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</si>
  <si>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</si>
  <si>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</si>
  <si>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</si>
  <si>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</si>
  <si>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</si>
  <si>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</si>
  <si>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</si>
  <si>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</si>
  <si>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</si>
  <si>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</si>
  <si>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</si>
  <si>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</si>
  <si>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</si>
  <si>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</si>
  <si>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</si>
  <si>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</si>
  <si>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</si>
  <si>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</si>
  <si>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</si>
  <si>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</si>
  <si>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</si>
  <si>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</si>
  <si>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</si>
  <si>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</si>
  <si>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</si>
  <si>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</si>
  <si>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</si>
  <si>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</si>
  <si>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</si>
  <si>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</si>
  <si>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</si>
  <si>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</si>
  <si>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</si>
  <si>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</si>
  <si>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</si>
  <si>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</si>
  <si>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</si>
  <si>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</si>
  <si>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</si>
  <si>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</si>
  <si>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</si>
  <si>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</si>
  <si>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</si>
  <si>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</si>
  <si>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</si>
  <si>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</si>
  <si>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</si>
  <si>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</si>
  <si>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</si>
  <si>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</si>
  <si>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</si>
  <si>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</si>
  <si>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</si>
  <si>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</si>
  <si>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</si>
  <si>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</si>
  <si>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</si>
  <si>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</si>
  <si>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</si>
  <si>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</si>
  <si>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</si>
  <si>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</si>
  <si>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</si>
  <si>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</si>
  <si>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</si>
  <si>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</si>
  <si>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</si>
  <si>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</si>
  <si>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</si>
  <si>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</si>
  <si>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</si>
  <si>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</si>
  <si>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</si>
  <si>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</si>
  <si>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</si>
  <si>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</si>
  <si>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</si>
  <si>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</si>
  <si>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</si>
  <si>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</si>
  <si>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</si>
  <si>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</si>
  <si>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</si>
  <si>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</si>
  <si>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</si>
  <si>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</si>
  <si>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</si>
  <si>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</si>
  <si>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</si>
  <si>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</si>
  <si>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</si>
  <si>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</si>
  <si>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</si>
  <si>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</si>
  <si>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</si>
  <si>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</si>
  <si>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</si>
  <si>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</si>
  <si>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</si>
  <si>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</si>
  <si>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</si>
  <si>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</si>
  <si>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</si>
  <si>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</si>
  <si>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</si>
  <si>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</si>
  <si>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</si>
  <si>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</si>
  <si>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</si>
  <si>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</si>
  <si>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</si>
  <si>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</si>
  <si>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</si>
  <si>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</si>
  <si>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</si>
  <si>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</si>
  <si>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</si>
  <si>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</si>
  <si>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</si>
  <si>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</si>
  <si>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</si>
  <si>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</si>
  <si>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</si>
  <si>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</si>
  <si>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</si>
  <si>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</si>
  <si>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</si>
  <si>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</si>
  <si>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</si>
  <si>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</si>
  <si>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</si>
  <si>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</si>
  <si>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</si>
  <si>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</si>
  <si>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</si>
  <si>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</si>
  <si>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</si>
  <si>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</si>
  <si>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</si>
  <si>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</si>
  <si>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</si>
  <si>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</si>
  <si>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</si>
  <si>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</si>
  <si>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</si>
  <si>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</si>
  <si>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</si>
  <si>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</si>
  <si>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</si>
  <si>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</si>
  <si>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</si>
  <si>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</si>
  <si>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</si>
  <si>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</si>
  <si>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</si>
  <si>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</si>
  <si>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</si>
  <si>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</si>
  <si>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</si>
  <si>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</si>
  <si>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</si>
  <si>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</si>
  <si>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</si>
  <si>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</si>
  <si>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</si>
  <si>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</si>
  <si>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</si>
  <si>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</si>
  <si>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</si>
  <si>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</si>
  <si>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</si>
  <si>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</si>
  <si>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</si>
  <si>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</si>
  <si>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</si>
  <si>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</si>
  <si>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</si>
  <si>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</si>
  <si>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</si>
  <si>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</si>
  <si>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</si>
  <si>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</si>
  <si>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</si>
  <si>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</si>
  <si>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</si>
  <si>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</si>
  <si>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</si>
  <si>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</si>
  <si>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</si>
  <si>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</si>
  <si>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</si>
  <si>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</si>
  <si>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</si>
  <si>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</si>
  <si>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</si>
  <si>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</si>
  <si>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</si>
  <si>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</si>
  <si>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</si>
  <si>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</si>
  <si>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</si>
  <si>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</si>
  <si>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</si>
  <si>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</si>
  <si>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</si>
  <si>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</si>
  <si>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</si>
  <si>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</si>
  <si>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</si>
  <si>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</si>
  <si>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</si>
  <si>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</si>
  <si>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</si>
  <si>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</si>
  <si>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</si>
  <si>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</si>
  <si>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</si>
  <si>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</si>
  <si>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</si>
  <si>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</si>
  <si>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</si>
  <si>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</si>
  <si>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</si>
  <si>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</si>
  <si>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</si>
  <si>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</si>
  <si>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</si>
  <si>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</si>
  <si>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</si>
  <si>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</si>
  <si>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</si>
  <si>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</si>
  <si>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</si>
  <si>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</si>
  <si>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</si>
  <si>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</si>
  <si>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</si>
  <si>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</si>
  <si>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</si>
  <si>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</si>
  <si>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</si>
  <si>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</si>
  <si>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</si>
  <si>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</si>
  <si>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</si>
  <si>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</si>
  <si>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</si>
  <si>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</si>
  <si>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</si>
  <si>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</si>
  <si>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</si>
  <si>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</si>
  <si>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</si>
  <si>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</si>
  <si>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</si>
  <si>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</si>
  <si>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</si>
  <si>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</si>
  <si>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</si>
  <si>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</si>
  <si>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</si>
  <si>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</si>
  <si>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</si>
  <si>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</si>
  <si>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</si>
  <si>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</si>
  <si>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</si>
  <si>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</si>
  <si>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</si>
  <si>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</si>
  <si>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</si>
  <si>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</si>
  <si>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</si>
  <si>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</si>
  <si>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</si>
  <si>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</si>
  <si>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</si>
  <si>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</si>
  <si>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</si>
  <si>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</si>
  <si>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</si>
  <si>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</si>
  <si>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</si>
  <si>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</si>
  <si>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</si>
  <si>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</si>
  <si>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</si>
  <si>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</si>
  <si>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</si>
  <si>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</si>
  <si>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</si>
  <si>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</si>
  <si>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</si>
  <si>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</si>
  <si>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</si>
  <si>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</si>
  <si>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</si>
  <si>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</si>
  <si>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</si>
  <si>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</si>
  <si>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</si>
  <si>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</si>
  <si>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</si>
  <si>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</si>
  <si>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</si>
  <si>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</si>
  <si>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</si>
  <si>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</si>
  <si>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</si>
  <si>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</si>
  <si>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</si>
  <si>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</si>
  <si>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</si>
  <si>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</si>
  <si>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</si>
  <si>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</si>
  <si>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</si>
  <si>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</si>
  <si>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</si>
  <si>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</si>
  <si>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</si>
  <si>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</si>
  <si>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</si>
  <si>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</si>
  <si>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</si>
  <si>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</si>
  <si>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</si>
  <si>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</si>
  <si>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</si>
  <si>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</si>
  <si>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</si>
  <si>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</si>
  <si>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</si>
  <si>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</si>
  <si>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</si>
  <si>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</si>
  <si>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</si>
  <si>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</si>
  <si>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</si>
  <si>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</si>
  <si>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</si>
  <si>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</si>
  <si>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</si>
  <si>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</si>
  <si>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</si>
  <si>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</si>
  <si>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</si>
  <si>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</si>
  <si>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</si>
  <si>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</si>
  <si>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</si>
  <si>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</si>
  <si>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</si>
  <si>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</si>
  <si>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</si>
  <si>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</si>
  <si>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</si>
  <si>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</si>
  <si>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</si>
  <si>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</si>
  <si>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</si>
  <si>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</si>
  <si>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</si>
  <si>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</si>
  <si>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</si>
  <si>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</si>
  <si>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</si>
  <si>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</si>
  <si>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</si>
  <si>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</si>
  <si>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</si>
  <si>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</si>
  <si>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</si>
  <si>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</si>
  <si>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</si>
  <si>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</si>
  <si>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</si>
  <si>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</si>
  <si>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</si>
  <si>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</si>
  <si>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</si>
  <si>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</si>
  <si>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</si>
  <si>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</si>
  <si>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</si>
  <si>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</si>
  <si>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</si>
  <si>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</si>
  <si>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</si>
  <si>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</si>
  <si>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</si>
  <si>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</si>
  <si>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</si>
  <si>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</si>
  <si>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</si>
  <si>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</si>
  <si>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</si>
  <si>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</si>
  <si>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</si>
  <si>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</si>
  <si>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</si>
  <si>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</si>
  <si>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</si>
  <si>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</si>
  <si>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</si>
  <si>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</si>
  <si>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</si>
  <si>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</si>
  <si>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</si>
  <si>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</si>
  <si>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</si>
  <si>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</si>
  <si>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</si>
  <si>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</si>
  <si>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</si>
  <si>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</si>
  <si>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</si>
  <si>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</si>
  <si>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</si>
  <si>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</si>
  <si>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</si>
  <si>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</si>
  <si>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</si>
  <si>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</si>
  <si>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</si>
  <si>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</si>
  <si>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</si>
  <si>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</si>
  <si>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</si>
  <si>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</si>
  <si>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</si>
  <si>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</si>
  <si>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</si>
  <si>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</si>
  <si>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</si>
  <si>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</si>
  <si>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</si>
  <si>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</si>
  <si>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</si>
  <si>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</si>
  <si>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</si>
  <si>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</si>
  <si>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</si>
  <si>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</si>
  <si>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</si>
  <si>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</si>
  <si>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</si>
  <si>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</si>
  <si>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</si>
  <si>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</si>
  <si>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</si>
  <si>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</si>
  <si>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</si>
  <si>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</si>
  <si>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</si>
  <si>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</si>
  <si>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</si>
  <si>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</si>
  <si>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</si>
  <si>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</si>
  <si>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</si>
  <si>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</si>
  <si>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</si>
  <si>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</si>
  <si>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>CM2-11M</t>
  </si>
  <si>
    <t xml:space="preserve">Pemasangan APP </t>
  </si>
  <si>
    <t>KONDUKTOR</t>
  </si>
  <si>
    <t>Pemasangan APP 1 Fasa Di Bangunan</t>
  </si>
  <si>
    <t>Daya 11.000 VA</t>
  </si>
  <si>
    <t>CE1-3</t>
  </si>
  <si>
    <t>F1-3</t>
  </si>
  <si>
    <t>CM2-12A</t>
  </si>
  <si>
    <t>SCHOOR</t>
  </si>
  <si>
    <t>CA5</t>
  </si>
  <si>
    <t>C12-200</t>
  </si>
  <si>
    <t>KONSTRUKSI JARINGAN 1 PHASE</t>
  </si>
  <si>
    <t>Trafo 1 Fasa CSP 50 KVA (G105, G106, G136)</t>
  </si>
  <si>
    <t xml:space="preserve">Jumper Wire : </t>
  </si>
  <si>
    <t>Stainless Steel Strap 20 X 0.7 mm</t>
  </si>
  <si>
    <t>KOORDINAT : -6.950828, 110.5225145</t>
  </si>
  <si>
    <t>CA4</t>
  </si>
  <si>
    <t>CG-105</t>
  </si>
  <si>
    <t>RUMAH POMPA KALISARI</t>
  </si>
  <si>
    <t>B2T</t>
  </si>
  <si>
    <t>AAAC 70</t>
  </si>
  <si>
    <t>APP PRA 11 KVA</t>
  </si>
  <si>
    <t>BTG</t>
  </si>
  <si>
    <t>MTR</t>
  </si>
  <si>
    <t>DS KALISARI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</si>
</sst>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43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43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168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81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1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8" fillId="0" borderId="0" applyFont="0" applyFill="0" applyBorder="0" applyAlignment="0" applyProtection="0"/>
    <xf numFmtId="184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204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5" fontId="37" fillId="0" borderId="3"/>
    <xf numFmtId="185" fontId="23" fillId="0" borderId="3"/>
    <xf numFmtId="42" fontId="24" fillId="0" borderId="0" applyFont="0" applyFill="0" applyBorder="0" applyAlignment="0" applyProtection="0"/>
    <xf numFmtId="42" fontId="49" fillId="0" borderId="0" applyFont="0" applyFill="0" applyBorder="0" applyAlignment="0" applyProtection="0"/>
    <xf numFmtId="172" fontId="37" fillId="0" borderId="0" applyFont="0" applyFill="0" applyBorder="0" applyAlignment="0" applyProtection="0"/>
    <xf numFmtId="172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71" fillId="0" borderId="0" applyFont="0" applyFill="0" applyBorder="0" applyAlignment="0" applyProtection="0"/>
    <xf numFmtId="187" fontId="73" fillId="0" borderId="0">
      <protection locked="0"/>
    </xf>
    <xf numFmtId="14" fontId="65" fillId="0" borderId="0" applyFill="0" applyBorder="0" applyAlignment="0"/>
    <xf numFmtId="188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89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0" fontId="78" fillId="0" borderId="0">
      <protection locked="0"/>
    </xf>
    <xf numFmtId="190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1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2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2" fontId="37" fillId="0" borderId="0"/>
    <xf numFmtId="192" fontId="23" fillId="0" borderId="0"/>
    <xf numFmtId="192" fontId="37" fillId="0" borderId="0"/>
    <xf numFmtId="192" fontId="23" fillId="0" borderId="0"/>
    <xf numFmtId="192" fontId="37" fillId="0" borderId="0"/>
    <xf numFmtId="192" fontId="23" fillId="0" borderId="0"/>
    <xf numFmtId="192" fontId="23" fillId="0" borderId="0"/>
    <xf numFmtId="192" fontId="37" fillId="0" borderId="0"/>
    <xf numFmtId="171" fontId="84" fillId="0" borderId="0"/>
    <xf numFmtId="171" fontId="85" fillId="0" borderId="0"/>
    <xf numFmtId="171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3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1" fontId="85" fillId="0" borderId="0"/>
    <xf numFmtId="0" fontId="85" fillId="0" borderId="0"/>
    <xf numFmtId="194" fontId="85" fillId="0" borderId="0"/>
    <xf numFmtId="195" fontId="85" fillId="0" borderId="0"/>
    <xf numFmtId="0" fontId="85" fillId="0" borderId="0"/>
    <xf numFmtId="196" fontId="85" fillId="0" borderId="0"/>
    <xf numFmtId="196" fontId="85" fillId="0" borderId="0"/>
    <xf numFmtId="196" fontId="85" fillId="0" borderId="0"/>
    <xf numFmtId="194" fontId="85" fillId="0" borderId="0"/>
    <xf numFmtId="0" fontId="85" fillId="0" borderId="0"/>
    <xf numFmtId="0" fontId="37" fillId="0" borderId="0"/>
    <xf numFmtId="0" fontId="23" fillId="0" borderId="0"/>
    <xf numFmtId="181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7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6" fontId="85" fillId="0" borderId="0"/>
    <xf numFmtId="196" fontId="85" fillId="0" borderId="0"/>
    <xf numFmtId="196" fontId="85" fillId="0" borderId="0"/>
    <xf numFmtId="196" fontId="85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3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3" fontId="44" fillId="0" borderId="0"/>
    <xf numFmtId="193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5" fontId="37" fillId="0" borderId="0" applyFont="0" applyFill="0" applyBorder="0" applyAlignment="0" applyProtection="0"/>
    <xf numFmtId="175" fontId="23" fillId="0" borderId="0" applyFont="0" applyFill="0" applyBorder="0" applyAlignment="0" applyProtection="0"/>
    <xf numFmtId="199" fontId="37" fillId="0" borderId="0" applyFont="0" applyFill="0" applyBorder="0" applyAlignment="0" applyProtection="0"/>
    <xf numFmtId="199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75" fillId="0" borderId="0"/>
    <xf numFmtId="200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1" fontId="37" fillId="0" borderId="0" applyFill="0" applyBorder="0" applyAlignment="0"/>
    <xf numFmtId="201" fontId="23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0" fillId="0" borderId="0"/>
    <xf numFmtId="165" fontId="23" fillId="0" borderId="0" applyFont="0" applyFill="0" applyBorder="0" applyAlignment="0" applyProtection="0"/>
    <xf numFmtId="9" fontId="164" fillId="0" borderId="0" applyFont="0" applyFill="0" applyBorder="0" applyAlignment="0" applyProtection="0"/>
    <xf numFmtId="165" fontId="176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6" fillId="0" borderId="0"/>
    <xf numFmtId="165" fontId="23" fillId="0" borderId="0" applyFont="0" applyFill="0" applyBorder="0" applyAlignment="0" applyProtection="0"/>
    <xf numFmtId="0" fontId="6" fillId="0" borderId="0"/>
    <xf numFmtId="166" fontId="23" fillId="0" borderId="0" applyFont="0" applyFill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70" fillId="0" borderId="0" applyFont="0" applyFill="0" applyBorder="0" applyAlignment="0" applyProtection="0"/>
    <xf numFmtId="166" fontId="70" fillId="0" borderId="0" applyFont="0" applyFill="0" applyBorder="0" applyAlignment="0" applyProtection="0"/>
    <xf numFmtId="166" fontId="17" fillId="0" borderId="0" applyFont="0" applyFill="0" applyBorder="0" applyAlignment="0" applyProtection="0"/>
    <xf numFmtId="42" fontId="17" fillId="0" borderId="0" applyFont="0" applyFill="0" applyBorder="0" applyAlignment="0" applyProtection="0"/>
    <xf numFmtId="42" fontId="1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6" fillId="0" borderId="0"/>
    <xf numFmtId="0" fontId="17" fillId="0" borderId="0"/>
    <xf numFmtId="0" fontId="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3" fillId="0" borderId="0" applyFont="0" applyFill="0" applyBorder="0" applyAlignment="0" applyProtection="0"/>
    <xf numFmtId="0" fontId="89" fillId="0" borderId="100"/>
    <xf numFmtId="0" fontId="90" fillId="0" borderId="101"/>
    <xf numFmtId="166" fontId="23" fillId="0" borderId="0" applyFont="0" applyFill="0" applyBorder="0" applyAlignment="0" applyProtection="0"/>
  </cellStyleXfs>
  <cellXfs count="721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41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41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41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43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8" fontId="46" fillId="0" borderId="0" xfId="714" applyFont="1" applyFill="1" applyAlignment="1">
      <alignment horizontal="center" wrapText="1"/>
    </xf>
    <xf numFmtId="168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8" fontId="46" fillId="0" borderId="21" xfId="715" applyNumberFormat="1" applyFont="1" applyFill="1" applyBorder="1" applyAlignment="1">
      <alignment horizontal="center" vertical="center" wrapText="1"/>
    </xf>
    <xf numFmtId="168" fontId="46" fillId="0" borderId="21" xfId="714" applyFont="1" applyFill="1" applyBorder="1" applyAlignment="1">
      <alignment horizontal="center" vertical="center" wrapText="1"/>
    </xf>
    <xf numFmtId="168" fontId="46" fillId="0" borderId="33" xfId="714" applyFont="1" applyFill="1" applyBorder="1" applyAlignment="1">
      <alignment horizontal="center" vertical="center" wrapText="1"/>
    </xf>
    <xf numFmtId="43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43" fontId="45" fillId="0" borderId="0" xfId="1615" applyNumberFormat="1" applyFont="1" applyAlignment="1">
      <alignment horizontal="left" vertical="center"/>
    </xf>
    <xf numFmtId="43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6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41" fontId="97" fillId="0" borderId="0" xfId="1448" applyNumberFormat="1" applyFont="1" applyAlignment="1">
      <alignment wrapText="1"/>
    </xf>
    <xf numFmtId="41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8" fontId="46" fillId="0" borderId="21" xfId="717" applyNumberFormat="1" applyFont="1" applyFill="1" applyBorder="1" applyAlignment="1" applyProtection="1">
      <alignment horizontal="center" vertical="center" wrapText="1"/>
    </xf>
    <xf numFmtId="41" fontId="46" fillId="0" borderId="21" xfId="1451" applyNumberFormat="1" applyFont="1" applyBorder="1" applyAlignment="1">
      <alignment horizontal="center" vertical="center" wrapText="1"/>
    </xf>
    <xf numFmtId="168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8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8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8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43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17" fillId="33" borderId="0" xfId="0" applyFont="1" applyFill="1" applyAlignment="1">
      <alignment horizontal="center"/>
    </xf>
    <xf numFmtId="0" fontId="117" fillId="33" borderId="26" xfId="0" applyFont="1" applyFill="1" applyBorder="1" applyAlignment="1">
      <alignment horizontal="center"/>
    </xf>
    <xf numFmtId="0" fontId="117" fillId="33" borderId="36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7" fillId="33" borderId="37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39" fillId="33" borderId="0" xfId="0" applyFont="1" applyFill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7" fillId="33" borderId="38" xfId="0" applyFont="1" applyFill="1" applyBorder="1" applyAlignment="1">
      <alignment horizontal="center"/>
    </xf>
    <xf numFmtId="0" fontId="94" fillId="33" borderId="40" xfId="0" applyFont="1" applyFill="1" applyBorder="1" applyAlignment="1">
      <alignment horizontal="center" vertical="center"/>
    </xf>
    <xf numFmtId="0" fontId="94" fillId="33" borderId="47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 vertical="center"/>
    </xf>
    <xf numFmtId="0" fontId="117" fillId="33" borderId="39" xfId="0" applyFont="1" applyFill="1" applyBorder="1" applyAlignment="1">
      <alignment horizontal="center" vertical="center"/>
    </xf>
    <xf numFmtId="0" fontId="120" fillId="33" borderId="0" xfId="0" applyFont="1" applyFill="1" applyAlignment="1">
      <alignment horizontal="center"/>
    </xf>
    <xf numFmtId="0" fontId="94" fillId="33" borderId="68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vertical="top" wrapText="1"/>
    </xf>
    <xf numFmtId="0" fontId="117" fillId="33" borderId="39" xfId="0" applyFont="1" applyFill="1" applyBorder="1" applyAlignment="1">
      <alignment vertical="top" wrapText="1"/>
    </xf>
    <xf numFmtId="0" fontId="121" fillId="33" borderId="69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21" fillId="33" borderId="7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22" fillId="33" borderId="71" xfId="0" applyFont="1" applyFill="1" applyBorder="1" applyAlignment="1">
      <alignment horizontal="center" vertical="top" wrapText="1"/>
    </xf>
    <xf numFmtId="0" fontId="122" fillId="33" borderId="72" xfId="0" applyFont="1" applyFill="1" applyBorder="1" applyAlignment="1">
      <alignment horizontal="center" vertical="top" wrapText="1"/>
    </xf>
    <xf numFmtId="0" fontId="117" fillId="33" borderId="0" xfId="0" applyFont="1" applyFill="1" applyAlignment="1">
      <alignment vertical="top" wrapText="1"/>
    </xf>
    <xf numFmtId="0" fontId="117" fillId="33" borderId="37" xfId="0" applyFont="1" applyFill="1" applyBorder="1" applyAlignment="1">
      <alignment vertical="top" wrapText="1"/>
    </xf>
    <xf numFmtId="0" fontId="117" fillId="33" borderId="42" xfId="0" applyFont="1" applyFill="1" applyBorder="1" applyAlignment="1">
      <alignment horizontal="center"/>
    </xf>
    <xf numFmtId="0" fontId="117" fillId="33" borderId="43" xfId="0" applyFont="1" applyFill="1" applyBorder="1" applyAlignment="1">
      <alignment vertical="top" wrapText="1"/>
    </xf>
    <xf numFmtId="0" fontId="117" fillId="33" borderId="44" xfId="0" applyFont="1" applyFill="1" applyBorder="1" applyAlignment="1">
      <alignment vertical="top" wrapText="1"/>
    </xf>
    <xf numFmtId="0" fontId="117" fillId="33" borderId="45" xfId="0" applyFont="1" applyFill="1" applyBorder="1" applyAlignment="1">
      <alignment vertical="top" wrapText="1"/>
    </xf>
    <xf numFmtId="0" fontId="122" fillId="33" borderId="28" xfId="0" applyFont="1" applyFill="1" applyBorder="1" applyAlignment="1">
      <alignment horizontal="center"/>
    </xf>
    <xf numFmtId="0" fontId="122" fillId="33" borderId="0" xfId="0" applyFont="1" applyFill="1" applyAlignment="1">
      <alignment horizontal="center"/>
    </xf>
    <xf numFmtId="0" fontId="117" fillId="33" borderId="39" xfId="0" applyFont="1" applyFill="1" applyBorder="1" applyAlignment="1">
      <alignment horizontal="center"/>
    </xf>
    <xf numFmtId="20" fontId="117" fillId="33" borderId="39" xfId="0" applyNumberFormat="1" applyFont="1" applyFill="1" applyBorder="1" applyAlignment="1">
      <alignment horizontal="center"/>
    </xf>
    <xf numFmtId="0" fontId="117" fillId="33" borderId="42" xfId="0" applyFont="1" applyFill="1" applyBorder="1" applyAlignment="1">
      <alignment horizontal="center" vertical="center" wrapText="1"/>
    </xf>
    <xf numFmtId="0" fontId="122" fillId="33" borderId="34" xfId="0" applyFont="1" applyFill="1" applyBorder="1" applyAlignment="1">
      <alignment horizontal="center"/>
    </xf>
    <xf numFmtId="0" fontId="122" fillId="33" borderId="19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7" fillId="33" borderId="46" xfId="0" applyFont="1" applyFill="1" applyBorder="1" applyAlignment="1">
      <alignment horizontal="center"/>
    </xf>
    <xf numFmtId="0" fontId="149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41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43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8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4" fillId="0" borderId="0" xfId="1538"/>
    <xf numFmtId="43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43" fontId="0" fillId="0" borderId="3" xfId="1026" applyFont="1" applyFill="1" applyBorder="1" applyProtection="1"/>
    <xf numFmtId="43" fontId="114" fillId="0" borderId="3" xfId="1538" applyNumberFormat="1" applyBorder="1"/>
    <xf numFmtId="43" fontId="142" fillId="0" borderId="3" xfId="1026" applyFont="1" applyBorder="1" applyProtection="1"/>
    <xf numFmtId="43" fontId="0" fillId="0" borderId="3" xfId="1026" applyFont="1" applyBorder="1" applyProtection="1"/>
    <xf numFmtId="43" fontId="130" fillId="0" borderId="3" xfId="1538" applyNumberFormat="1" applyFont="1" applyBorder="1"/>
    <xf numFmtId="0" fontId="63" fillId="0" borderId="3" xfId="1538" applyFont="1" applyBorder="1"/>
    <xf numFmtId="41" fontId="114" fillId="0" borderId="3" xfId="1538" applyNumberFormat="1" applyBorder="1"/>
    <xf numFmtId="43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43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43" fontId="51" fillId="0" borderId="0" xfId="1538" applyNumberFormat="1" applyFont="1"/>
    <xf numFmtId="0" fontId="114" fillId="29" borderId="3" xfId="1538" applyFill="1" applyBorder="1"/>
    <xf numFmtId="168" fontId="114" fillId="29" borderId="3" xfId="1538" applyNumberFormat="1" applyFill="1" applyBorder="1" applyAlignment="1">
      <alignment horizontal="right"/>
    </xf>
    <xf numFmtId="166" fontId="114" fillId="0" borderId="0" xfId="1538" applyNumberFormat="1"/>
    <xf numFmtId="43" fontId="114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43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3" fillId="0" borderId="20" xfId="1615" applyFont="1" applyBorder="1" applyAlignment="1">
      <alignment horizontal="center" vertical="center"/>
    </xf>
    <xf numFmtId="0" fontId="153" fillId="0" borderId="21" xfId="1615" applyFont="1" applyBorder="1" applyAlignment="1">
      <alignment horizontal="left" vertical="center" wrapText="1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451" applyFont="1" applyBorder="1" applyAlignment="1">
      <alignment horizontal="left" vertical="center" wrapText="1"/>
    </xf>
    <xf numFmtId="0" fontId="154" fillId="0" borderId="21" xfId="1653" applyFont="1" applyBorder="1" applyAlignment="1">
      <alignment horizontal="center" vertical="center"/>
    </xf>
    <xf numFmtId="3" fontId="155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4" fillId="0" borderId="20" xfId="1653" applyFont="1" applyBorder="1" applyAlignment="1">
      <alignment horizontal="center" vertical="center"/>
    </xf>
    <xf numFmtId="0" fontId="154" fillId="0" borderId="21" xfId="1653" applyFont="1" applyBorder="1" applyAlignment="1">
      <alignment vertical="center" wrapText="1"/>
    </xf>
    <xf numFmtId="0" fontId="154" fillId="0" borderId="21" xfId="1652" applyFont="1" applyBorder="1" applyAlignment="1">
      <alignment vertical="center" wrapText="1"/>
    </xf>
    <xf numFmtId="0" fontId="152" fillId="0" borderId="20" xfId="1652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6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3" fontId="152" fillId="0" borderId="39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37" fontId="152" fillId="0" borderId="0" xfId="1614" applyNumberFormat="1" applyFont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41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61" fillId="0" borderId="0" xfId="1644" applyFont="1" applyAlignment="1">
      <alignment horizontal="center" vertical="center"/>
    </xf>
    <xf numFmtId="0" fontId="159" fillId="0" borderId="0" xfId="1652" applyFont="1" applyAlignment="1">
      <alignment vertical="center"/>
    </xf>
    <xf numFmtId="0" fontId="162" fillId="39" borderId="83" xfId="2670" applyFont="1" applyFill="1" applyBorder="1" applyAlignment="1">
      <alignment horizontal="left" vertical="center"/>
    </xf>
    <xf numFmtId="0" fontId="162" fillId="39" borderId="84" xfId="2670" applyFont="1" applyFill="1" applyBorder="1" applyAlignment="1">
      <alignment horizontal="center" vertical="center"/>
    </xf>
    <xf numFmtId="0" fontId="162" fillId="39" borderId="86" xfId="2670" applyFont="1" applyFill="1" applyBorder="1" applyAlignment="1">
      <alignment horizontal="left" vertical="center"/>
    </xf>
    <xf numFmtId="0" fontId="162" fillId="39" borderId="82" xfId="2670" applyFont="1" applyFill="1" applyBorder="1" applyAlignment="1">
      <alignment horizontal="center" vertical="center"/>
    </xf>
    <xf numFmtId="0" fontId="162" fillId="39" borderId="88" xfId="2670" applyFont="1" applyFill="1" applyBorder="1" applyAlignment="1">
      <alignment horizontal="left" vertical="center"/>
    </xf>
    <xf numFmtId="0" fontId="162" fillId="39" borderId="89" xfId="2670" applyFont="1" applyFill="1" applyBorder="1" applyAlignment="1">
      <alignment horizontal="center" vertical="center"/>
    </xf>
    <xf numFmtId="43" fontId="143" fillId="40" borderId="85" xfId="2672" applyFont="1" applyFill="1" applyBorder="1" applyAlignment="1" applyProtection="1">
      <alignment horizontal="right" vertical="center" wrapText="1"/>
      <protection locked="0"/>
    </xf>
    <xf numFmtId="43" fontId="143" fillId="40" borderId="87" xfId="2672" applyFont="1" applyFill="1" applyBorder="1" applyAlignment="1" applyProtection="1">
      <alignment horizontal="right" vertical="center"/>
      <protection locked="0"/>
    </xf>
    <xf numFmtId="168" fontId="143" fillId="40" borderId="87" xfId="2672" applyNumberFormat="1" applyFont="1" applyFill="1" applyBorder="1" applyAlignment="1" applyProtection="1">
      <alignment horizontal="right" vertical="center"/>
      <protection locked="0"/>
    </xf>
    <xf numFmtId="168" fontId="143" fillId="40" borderId="90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50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2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94" xfId="2673" applyFont="1" applyFill="1" applyBorder="1" applyAlignment="1">
      <alignment vertical="center" wrapText="1"/>
    </xf>
    <xf numFmtId="0" fontId="149" fillId="43" borderId="94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7" fillId="0" borderId="58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8" xfId="2673" applyFont="1" applyFill="1" applyBorder="1" applyAlignment="1">
      <alignment vertical="center" wrapText="1"/>
    </xf>
    <xf numFmtId="0" fontId="108" fillId="0" borderId="64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4" fillId="33" borderId="60" xfId="0" applyFont="1" applyFill="1" applyBorder="1" applyAlignment="1">
      <alignment horizontal="left" vertical="center"/>
    </xf>
    <xf numFmtId="0" fontId="94" fillId="33" borderId="61" xfId="0" applyFont="1" applyFill="1" applyBorder="1" applyAlignment="1">
      <alignment horizontal="left" vertical="center"/>
    </xf>
    <xf numFmtId="49" fontId="94" fillId="33" borderId="60" xfId="0" applyNumberFormat="1" applyFont="1" applyFill="1" applyBorder="1" applyAlignment="1">
      <alignment horizontal="left" vertical="center" wrapText="1"/>
    </xf>
    <xf numFmtId="49" fontId="94" fillId="33" borderId="61" xfId="0" applyNumberFormat="1" applyFont="1" applyFill="1" applyBorder="1" applyAlignment="1">
      <alignment horizontal="left" vertical="center"/>
    </xf>
    <xf numFmtId="165" fontId="155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6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168" fontId="147" fillId="47" borderId="0" xfId="2672" applyNumberFormat="1" applyFont="1" applyFill="1" applyBorder="1" applyAlignment="1" applyProtection="1">
      <alignment horizontal="right" vertical="center"/>
    </xf>
    <xf numFmtId="0" fontId="177" fillId="0" borderId="69" xfId="1450" applyFont="1" applyBorder="1" applyAlignment="1">
      <alignment horizontal="center" vertical="center"/>
    </xf>
    <xf numFmtId="0" fontId="177" fillId="0" borderId="99" xfId="1450" applyFont="1" applyBorder="1" applyAlignment="1">
      <alignment horizontal="center" vertical="center"/>
    </xf>
    <xf numFmtId="0" fontId="8" fillId="0" borderId="20" xfId="1652" applyFont="1" applyBorder="1" applyAlignment="1">
      <alignment horizontal="center" vertical="center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horizontal="left" vertical="center" wrapText="1"/>
    </xf>
    <xf numFmtId="0" fontId="8" fillId="0" borderId="21" xfId="1652" applyFont="1" applyBorder="1" applyAlignment="1">
      <alignment horizontal="left" vertical="center" wrapText="1"/>
    </xf>
    <xf numFmtId="0" fontId="7" fillId="0" borderId="20" xfId="1652" applyFont="1" applyBorder="1" applyAlignment="1">
      <alignment horizontal="center" vertical="center"/>
    </xf>
    <xf numFmtId="0" fontId="7" fillId="0" borderId="21" xfId="1652" applyFont="1" applyBorder="1" applyAlignment="1">
      <alignment vertical="center" wrapText="1"/>
    </xf>
    <xf numFmtId="0" fontId="130" fillId="0" borderId="21" xfId="1652" applyFont="1" applyBorder="1" applyAlignment="1">
      <alignment vertical="center" wrapText="1"/>
    </xf>
    <xf numFmtId="0" fontId="12" fillId="0" borderId="21" xfId="1614" applyFont="1" applyBorder="1" applyAlignment="1">
      <alignment horizontal="center" vertical="center"/>
    </xf>
    <xf numFmtId="0" fontId="5" fillId="0" borderId="21" xfId="1652" applyFont="1" applyBorder="1" applyAlignment="1">
      <alignment horizontal="left" vertical="center" wrapText="1"/>
    </xf>
    <xf numFmtId="0" fontId="130" fillId="48" borderId="21" xfId="1652" applyFont="1" applyFill="1" applyBorder="1" applyAlignment="1">
      <alignment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78" fillId="33" borderId="0" xfId="0" applyFont="1" applyFill="1" applyAlignment="1">
      <alignment horizontal="left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center" vertical="center"/>
    </xf>
    <xf numFmtId="0" fontId="130" fillId="48" borderId="20" xfId="1652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 wrapText="1"/>
    </xf>
    <xf numFmtId="0" fontId="116" fillId="0" borderId="20" xfId="1652" applyFont="1" applyBorder="1" applyAlignment="1">
      <alignment horizontal="center" vertical="center"/>
    </xf>
    <xf numFmtId="0" fontId="46" fillId="0" borderId="21" xfId="1450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0" fontId="46" fillId="0" borderId="21" xfId="0" applyFont="1" applyBorder="1" applyAlignment="1">
      <alignment horizontal="left" vertical="center" wrapText="1"/>
    </xf>
    <xf numFmtId="3" fontId="12" fillId="0" borderId="21" xfId="1599" applyNumberFormat="1" applyFont="1" applyBorder="1" applyAlignment="1">
      <alignment horizontal="center" vertical="center"/>
    </xf>
    <xf numFmtId="0" fontId="116" fillId="0" borderId="21" xfId="1652" applyFont="1" applyBorder="1" applyAlignment="1">
      <alignment vertical="center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6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7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4" fillId="0" borderId="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168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66" fillId="42" borderId="91" xfId="2673" applyFont="1" applyFill="1" applyBorder="1" applyAlignment="1">
      <alignment horizontal="center" vertical="center" wrapText="1"/>
    </xf>
    <xf numFmtId="0" fontId="166" fillId="42" borderId="92" xfId="2673" applyFont="1" applyFill="1" applyBorder="1" applyAlignment="1">
      <alignment horizontal="center" vertical="center" wrapText="1"/>
    </xf>
    <xf numFmtId="0" fontId="166" fillId="42" borderId="93" xfId="2673" applyFont="1" applyFill="1" applyBorder="1" applyAlignment="1">
      <alignment horizontal="center" vertical="center" wrapText="1"/>
    </xf>
    <xf numFmtId="166" fontId="149" fillId="43" borderId="7" xfId="2673" applyNumberFormat="1" applyFont="1" applyFill="1" applyBorder="1" applyAlignment="1">
      <alignment horizontal="center" vertical="center" wrapText="1"/>
    </xf>
    <xf numFmtId="0" fontId="149" fillId="43" borderId="58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8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8" xfId="2673" applyFont="1" applyFill="1" applyBorder="1" applyAlignment="1">
      <alignment horizontal="center" vertical="center" wrapText="1"/>
    </xf>
    <xf numFmtId="1" fontId="149" fillId="0" borderId="3" xfId="2673" applyNumberFormat="1" applyFont="1" applyBorder="1" applyAlignment="1">
      <alignment horizontal="center" vertical="center" wrapText="1"/>
    </xf>
    <xf numFmtId="1" fontId="149" fillId="0" borderId="39" xfId="2673" applyNumberFormat="1" applyFont="1" applyBorder="1" applyAlignment="1">
      <alignment horizontal="center" vertical="center" wrapText="1"/>
    </xf>
    <xf numFmtId="2" fontId="137" fillId="43" borderId="62" xfId="2673" applyNumberFormat="1" applyFont="1" applyFill="1" applyBorder="1" applyAlignment="1">
      <alignment horizontal="center" vertical="center" wrapText="1"/>
    </xf>
    <xf numFmtId="2" fontId="137" fillId="43" borderId="95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8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9" fontId="137" fillId="35" borderId="64" xfId="2675" applyFont="1" applyFill="1" applyBorder="1" applyAlignment="1">
      <alignment horizontal="center" vertical="center" wrapText="1"/>
    </xf>
    <xf numFmtId="9" fontId="137" fillId="35" borderId="65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0" fillId="0" borderId="96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7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166" fontId="149" fillId="35" borderId="7" xfId="2673" applyNumberFormat="1" applyFont="1" applyFill="1" applyBorder="1" applyAlignment="1">
      <alignment horizontal="center" vertical="center" wrapText="1"/>
    </xf>
    <xf numFmtId="0" fontId="149" fillId="35" borderId="58" xfId="2673" applyFont="1" applyFill="1" applyBorder="1" applyAlignment="1">
      <alignment horizontal="center" vertical="center" wrapText="1"/>
    </xf>
    <xf numFmtId="2" fontId="137" fillId="35" borderId="62" xfId="2673" applyNumberFormat="1" applyFont="1" applyFill="1" applyBorder="1" applyAlignment="1">
      <alignment horizontal="center" vertical="center" wrapText="1"/>
    </xf>
    <xf numFmtId="2" fontId="137" fillId="35" borderId="95" xfId="2673" applyNumberFormat="1" applyFont="1" applyFill="1" applyBorder="1" applyAlignment="1">
      <alignment horizontal="center" vertical="center" wrapText="1"/>
    </xf>
    <xf numFmtId="0" fontId="166" fillId="41" borderId="91" xfId="2673" applyFont="1" applyFill="1" applyBorder="1" applyAlignment="1">
      <alignment horizontal="center" vertical="center" wrapText="1"/>
    </xf>
    <xf numFmtId="0" fontId="166" fillId="41" borderId="92" xfId="2673" applyFont="1" applyFill="1" applyBorder="1" applyAlignment="1">
      <alignment horizontal="center" vertical="center" wrapText="1"/>
    </xf>
    <xf numFmtId="0" fontId="166" fillId="41" borderId="93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8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8" xfId="2673" applyNumberFormat="1" applyFont="1" applyFill="1" applyBorder="1" applyAlignment="1">
      <alignment horizontal="center" vertical="center" wrapText="1"/>
    </xf>
    <xf numFmtId="166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9" fontId="137" fillId="0" borderId="64" xfId="2675" applyFont="1" applyFill="1" applyBorder="1" applyAlignment="1">
      <alignment horizontal="center" vertical="center" wrapText="1"/>
    </xf>
    <xf numFmtId="9" fontId="137" fillId="0" borderId="65" xfId="2675" applyFont="1" applyFill="1" applyBorder="1" applyAlignment="1">
      <alignment horizontal="center" vertical="center" wrapText="1"/>
    </xf>
    <xf numFmtId="0" fontId="11" fillId="34" borderId="77" xfId="2670" applyFill="1" applyBorder="1" applyAlignment="1">
      <alignment horizontal="center" vertical="center"/>
    </xf>
    <xf numFmtId="0" fontId="141" fillId="0" borderId="78" xfId="2670" applyFont="1" applyBorder="1" applyAlignment="1">
      <alignment horizontal="left" vertical="center"/>
    </xf>
    <xf numFmtId="0" fontId="114" fillId="38" borderId="3" xfId="1538" applyFill="1" applyBorder="1" applyAlignment="1">
      <alignment horizontal="center" vertical="center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 wrapText="1"/>
    </xf>
    <xf numFmtId="0" fontId="54" fillId="0" borderId="44" xfId="1538" applyFont="1" applyBorder="1" applyAlignment="1">
      <alignment horizontal="left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8" fillId="35" borderId="3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17" fillId="33" borderId="7" xfId="0" applyFont="1" applyFill="1" applyBorder="1" applyAlignment="1">
      <alignment horizontal="center"/>
    </xf>
    <xf numFmtId="0" fontId="117" fillId="33" borderId="41" xfId="0" applyFont="1" applyFill="1" applyBorder="1" applyAlignment="1">
      <alignment horizontal="center"/>
    </xf>
    <xf numFmtId="0" fontId="117" fillId="33" borderId="64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17" fillId="33" borderId="39" xfId="0" applyFont="1" applyFill="1" applyBorder="1" applyAlignment="1">
      <alignment horizontal="center"/>
    </xf>
    <xf numFmtId="0" fontId="117" fillId="33" borderId="62" xfId="0" applyFont="1" applyFill="1" applyBorder="1" applyAlignment="1">
      <alignment horizontal="center"/>
    </xf>
    <xf numFmtId="0" fontId="117" fillId="33" borderId="63" xfId="0" applyFont="1" applyFill="1" applyBorder="1" applyAlignment="1">
      <alignment horizontal="center"/>
    </xf>
    <xf numFmtId="0" fontId="117" fillId="33" borderId="65" xfId="0" applyFont="1" applyFill="1" applyBorder="1" applyAlignment="1">
      <alignment horizontal="center"/>
    </xf>
    <xf numFmtId="0" fontId="117" fillId="33" borderId="56" xfId="0" applyFont="1" applyFill="1" applyBorder="1" applyAlignment="1">
      <alignment horizontal="center" vertical="center"/>
    </xf>
    <xf numFmtId="0" fontId="117" fillId="33" borderId="57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15" fontId="117" fillId="33" borderId="3" xfId="0" applyNumberFormat="1" applyFont="1" applyFill="1" applyBorder="1" applyAlignment="1">
      <alignment horizontal="center"/>
    </xf>
    <xf numFmtId="0" fontId="94" fillId="33" borderId="59" xfId="0" applyFont="1" applyFill="1" applyBorder="1" applyAlignment="1">
      <alignment horizontal="center" vertical="center"/>
    </xf>
    <xf numFmtId="0" fontId="94" fillId="33" borderId="40" xfId="0" applyFont="1" applyFill="1" applyBorder="1" applyAlignment="1">
      <alignment horizontal="center" vertical="center"/>
    </xf>
    <xf numFmtId="0" fontId="122" fillId="33" borderId="75" xfId="0" applyFont="1" applyFill="1" applyBorder="1" applyAlignment="1">
      <alignment horizontal="center" vertical="center" wrapText="1"/>
    </xf>
    <xf numFmtId="0" fontId="122" fillId="33" borderId="76" xfId="0" applyFont="1" applyFill="1" applyBorder="1" applyAlignment="1">
      <alignment horizontal="center" vertical="center" wrapText="1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18" fillId="33" borderId="18" xfId="0" applyFont="1" applyFill="1" applyBorder="1" applyAlignment="1">
      <alignment horizontal="left" vertical="top" wrapText="1"/>
    </xf>
    <xf numFmtId="0" fontId="118" fillId="33" borderId="0" xfId="0" applyFont="1" applyFill="1" applyAlignment="1">
      <alignment horizontal="left" vertical="top" wrapText="1"/>
    </xf>
    <xf numFmtId="0" fontId="94" fillId="33" borderId="80" xfId="0" applyFont="1" applyFill="1" applyBorder="1" applyAlignment="1">
      <alignment horizontal="center" vertical="center"/>
    </xf>
    <xf numFmtId="0" fontId="94" fillId="33" borderId="81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center"/>
    </xf>
    <xf numFmtId="49" fontId="117" fillId="33" borderId="41" xfId="0" applyNumberFormat="1" applyFont="1" applyFill="1" applyBorder="1" applyAlignment="1">
      <alignment horizontal="center" vertical="center"/>
    </xf>
    <xf numFmtId="0" fontId="121" fillId="33" borderId="73" xfId="0" applyFont="1" applyFill="1" applyBorder="1" applyAlignment="1">
      <alignment horizontal="center" vertical="center"/>
    </xf>
    <xf numFmtId="0" fontId="121" fillId="33" borderId="74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49" fontId="117" fillId="33" borderId="50" xfId="0" applyNumberFormat="1" applyFont="1" applyFill="1" applyBorder="1" applyAlignment="1">
      <alignment horizontal="center" vertical="center"/>
    </xf>
    <xf numFmtId="0" fontId="94" fillId="33" borderId="60" xfId="0" applyFont="1" applyFill="1" applyBorder="1" applyAlignment="1">
      <alignment horizontal="left" vertical="center"/>
    </xf>
    <xf numFmtId="0" fontId="94" fillId="33" borderId="61" xfId="0" applyFont="1" applyFill="1" applyBorder="1" applyAlignment="1">
      <alignment horizontal="left" vertical="center"/>
    </xf>
    <xf numFmtId="207" fontId="122" fillId="0" borderId="73" xfId="1450" applyNumberFormat="1" applyFont="1" applyBorder="1" applyAlignment="1">
      <alignment horizontal="left" vertical="center"/>
    </xf>
    <xf numFmtId="207" fontId="177" fillId="0" borderId="74" xfId="1450" applyNumberFormat="1" applyFont="1" applyBorder="1" applyAlignment="1">
      <alignment horizontal="left" vertical="center"/>
    </xf>
    <xf numFmtId="0" fontId="135" fillId="33" borderId="60" xfId="0" applyFont="1" applyFill="1" applyBorder="1" applyAlignment="1">
      <alignment horizontal="left" vertical="center"/>
    </xf>
    <xf numFmtId="0" fontId="135" fillId="33" borderId="61" xfId="0" applyFont="1" applyFill="1" applyBorder="1" applyAlignment="1">
      <alignment horizontal="left" vertical="center"/>
    </xf>
    <xf numFmtId="0" fontId="94" fillId="33" borderId="79" xfId="0" applyFont="1" applyFill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left" vertical="center"/>
    </xf>
    <xf numFmtId="49" fontId="117" fillId="33" borderId="41" xfId="0" applyNumberFormat="1" applyFont="1" applyFill="1" applyBorder="1" applyAlignment="1">
      <alignment horizontal="left" vertical="center"/>
    </xf>
    <xf numFmtId="0" fontId="118" fillId="33" borderId="18" xfId="0" applyFont="1" applyFill="1" applyBorder="1" applyAlignment="1">
      <alignment horizontal="left"/>
    </xf>
    <xf numFmtId="0" fontId="118" fillId="33" borderId="0" xfId="0" applyFont="1" applyFill="1" applyAlignment="1">
      <alignment horizontal="left"/>
    </xf>
    <xf numFmtId="0" fontId="118" fillId="33" borderId="37" xfId="0" applyFont="1" applyFill="1" applyBorder="1" applyAlignment="1">
      <alignment horizontal="left"/>
    </xf>
    <xf numFmtId="0" fontId="134" fillId="33" borderId="50" xfId="0" applyFont="1" applyFill="1" applyBorder="1" applyAlignment="1">
      <alignment horizontal="center" vertical="center"/>
    </xf>
    <xf numFmtId="0" fontId="134" fillId="33" borderId="7" xfId="0" applyFont="1" applyFill="1" applyBorder="1" applyAlignment="1">
      <alignment horizontal="center" vertical="center"/>
    </xf>
    <xf numFmtId="0" fontId="134" fillId="33" borderId="41" xfId="0" applyFont="1" applyFill="1" applyBorder="1" applyAlignment="1">
      <alignment horizontal="center" vertical="center"/>
    </xf>
    <xf numFmtId="0" fontId="118" fillId="33" borderId="5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center"/>
    </xf>
    <xf numFmtId="0" fontId="118" fillId="33" borderId="58" xfId="0" applyFont="1" applyFill="1" applyBorder="1" applyAlignment="1">
      <alignment horizontal="center" vertical="center"/>
    </xf>
    <xf numFmtId="49" fontId="135" fillId="33" borderId="59" xfId="0" applyNumberFormat="1" applyFont="1" applyFill="1" applyBorder="1" applyAlignment="1">
      <alignment horizontal="left" vertical="center"/>
    </xf>
    <xf numFmtId="49" fontId="135" fillId="33" borderId="40" xfId="0" applyNumberFormat="1" applyFont="1" applyFill="1" applyBorder="1" applyAlignment="1">
      <alignment horizontal="left" vertical="center"/>
    </xf>
    <xf numFmtId="0" fontId="117" fillId="33" borderId="56" xfId="0" applyFont="1" applyFill="1" applyBorder="1" applyAlignment="1">
      <alignment horizontal="center"/>
    </xf>
    <xf numFmtId="0" fontId="117" fillId="33" borderId="57" xfId="0" applyFont="1" applyFill="1" applyBorder="1" applyAlignment="1">
      <alignment horizontal="center"/>
    </xf>
    <xf numFmtId="0" fontId="133" fillId="35" borderId="55" xfId="0" applyFont="1" applyFill="1" applyBorder="1" applyAlignment="1">
      <alignment horizontal="center" vertical="center"/>
    </xf>
    <xf numFmtId="0" fontId="133" fillId="35" borderId="36" xfId="0" applyFont="1" applyFill="1" applyBorder="1" applyAlignment="1">
      <alignment horizontal="center" vertical="center"/>
    </xf>
    <xf numFmtId="0" fontId="133" fillId="35" borderId="48" xfId="0" applyFont="1" applyFill="1" applyBorder="1" applyAlignment="1">
      <alignment horizontal="center" vertical="center"/>
    </xf>
    <xf numFmtId="0" fontId="133" fillId="35" borderId="43" xfId="0" applyFont="1" applyFill="1" applyBorder="1" applyAlignment="1">
      <alignment horizontal="center" vertical="center"/>
    </xf>
    <xf numFmtId="0" fontId="133" fillId="35" borderId="44" xfId="0" applyFont="1" applyFill="1" applyBorder="1" applyAlignment="1">
      <alignment horizontal="center" vertical="center"/>
    </xf>
    <xf numFmtId="0" fontId="133" fillId="35" borderId="45" xfId="0" applyFont="1" applyFill="1" applyBorder="1" applyAlignment="1">
      <alignment horizontal="center" vertical="center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3" fillId="0" borderId="0" xfId="1451" applyFont="1" applyAlignment="1">
      <alignment horizontal="left"/>
    </xf>
    <xf numFmtId="0" fontId="122" fillId="0" borderId="69" xfId="1450" applyFont="1" applyBorder="1" applyAlignment="1">
      <alignment horizontal="center" vertical="center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22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23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139</xdr:row>
      <xdr:rowOff>81642</xdr:rowOff>
    </xdr:from>
    <xdr:to>
      <xdr:col>12</xdr:col>
      <xdr:colOff>41108</xdr:colOff>
      <xdr:row>142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363831</xdr:colOff>
      <xdr:row>23</xdr:row>
      <xdr:rowOff>86889</xdr:rowOff>
    </xdr:from>
    <xdr:to>
      <xdr:col>11</xdr:col>
      <xdr:colOff>229615</xdr:colOff>
      <xdr:row>25</xdr:row>
      <xdr:rowOff>18064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B4535001-875B-5D8C-12A2-BB963A77E3D3}"/>
            </a:ext>
          </a:extLst>
        </xdr:cNvPr>
        <xdr:cNvSpPr txBox="1"/>
      </xdr:nvSpPr>
      <xdr:spPr>
        <a:xfrm>
          <a:off x="3339572" y="3601286"/>
          <a:ext cx="627784" cy="23334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>
              <a:ln>
                <a:noFill/>
              </a:ln>
              <a:solidFill>
                <a:srgbClr val="FF0000"/>
              </a:solidFill>
            </a:rPr>
            <a:t>50 KVA</a:t>
          </a:r>
        </a:p>
      </xdr:txBody>
    </xdr:sp>
    <xdr:clientData/>
  </xdr:twoCellAnchor>
  <xdr:twoCellAnchor>
    <xdr:from>
      <xdr:col>8</xdr:col>
      <xdr:colOff>288008</xdr:colOff>
      <xdr:row>24</xdr:row>
      <xdr:rowOff>140206</xdr:rowOff>
    </xdr:from>
    <xdr:to>
      <xdr:col>12</xdr:col>
      <xdr:colOff>43930</xdr:colOff>
      <xdr:row>40</xdr:row>
      <xdr:rowOff>28944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3DD6E280-7982-4754-B38B-09C5C90C898E}"/>
            </a:ext>
          </a:extLst>
        </xdr:cNvPr>
        <xdr:cNvCxnSpPr>
          <a:cxnSpLocks/>
        </xdr:cNvCxnSpPr>
      </xdr:nvCxnSpPr>
      <xdr:spPr>
        <a:xfrm flipV="1">
          <a:off x="2882749" y="3805689"/>
          <a:ext cx="1279922" cy="2325824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278888</xdr:colOff>
      <xdr:row>23</xdr:row>
      <xdr:rowOff>19050</xdr:rowOff>
    </xdr:from>
    <xdr:to>
      <xdr:col>45</xdr:col>
      <xdr:colOff>354342</xdr:colOff>
      <xdr:row>51</xdr:row>
      <xdr:rowOff>39170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70D95A-335D-05DD-AF0A-266764BA4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46938" y="3552825"/>
          <a:ext cx="5790454" cy="4401620"/>
        </a:xfrm>
        <a:prstGeom prst="rect">
          <a:avLst/>
        </a:prstGeom>
      </xdr:spPr>
    </xdr:pic>
    <xdr:clientData/>
  </xdr:twoCellAnchor>
  <xdr:twoCellAnchor>
    <xdr:from>
      <xdr:col>6</xdr:col>
      <xdr:colOff>310794</xdr:colOff>
      <xdr:row>16</xdr:row>
      <xdr:rowOff>71438</xdr:rowOff>
    </xdr:from>
    <xdr:to>
      <xdr:col>18</xdr:col>
      <xdr:colOff>150060</xdr:colOff>
      <xdr:row>33</xdr:row>
      <xdr:rowOff>67332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55663F0D-54C9-48A3-9BDA-485C0206CA10}"/>
            </a:ext>
          </a:extLst>
        </xdr:cNvPr>
        <xdr:cNvCxnSpPr>
          <a:cxnSpLocks/>
        </xdr:cNvCxnSpPr>
      </xdr:nvCxnSpPr>
      <xdr:spPr>
        <a:xfrm flipH="1" flipV="1">
          <a:off x="2143535" y="2528231"/>
          <a:ext cx="4411266" cy="2557791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24121" y="816637"/>
          <a:ext cx="1488201" cy="1760571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257236</xdr:colOff>
      <xdr:row>25</xdr:row>
      <xdr:rowOff>86028</xdr:rowOff>
    </xdr:from>
    <xdr:to>
      <xdr:col>10</xdr:col>
      <xdr:colOff>347794</xdr:colOff>
      <xdr:row>27</xdr:row>
      <xdr:rowOff>82778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>
          <a:off x="3232977" y="3902597"/>
          <a:ext cx="471558" cy="298922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600">
              <a:solidFill>
                <a:srgbClr val="FF0000"/>
              </a:solidFill>
            </a:rPr>
            <a:t>RUMAH POMPA</a:t>
          </a:r>
        </a:p>
      </xdr:txBody>
    </xdr:sp>
    <xdr:clientData/>
  </xdr:twoCellAnchor>
  <xdr:twoCellAnchor>
    <xdr:from>
      <xdr:col>11</xdr:col>
      <xdr:colOff>152179</xdr:colOff>
      <xdr:row>21</xdr:row>
      <xdr:rowOff>52426</xdr:rowOff>
    </xdr:from>
    <xdr:to>
      <xdr:col>11</xdr:col>
      <xdr:colOff>240545</xdr:colOff>
      <xdr:row>21</xdr:row>
      <xdr:rowOff>148181</xdr:rowOff>
    </xdr:to>
    <xdr:grpSp>
      <xdr:nvGrpSpPr>
        <xdr:cNvPr id="194" name="Group 193">
          <a:extLst>
            <a:ext uri="{FF2B5EF4-FFF2-40B4-BE49-F238E27FC236}">
              <a16:creationId xmlns:a16="http://schemas.microsoft.com/office/drawing/2014/main" id="{0BEB2CA7-FAE1-4216-B454-86D95AB96ED1}"/>
            </a:ext>
          </a:extLst>
        </xdr:cNvPr>
        <xdr:cNvGrpSpPr/>
      </xdr:nvGrpSpPr>
      <xdr:grpSpPr>
        <a:xfrm>
          <a:off x="3895918" y="3232948"/>
          <a:ext cx="88366" cy="957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5" name="Oval 194">
            <a:extLst>
              <a:ext uri="{FF2B5EF4-FFF2-40B4-BE49-F238E27FC236}">
                <a16:creationId xmlns:a16="http://schemas.microsoft.com/office/drawing/2014/main" id="{3A9A7417-3DE1-1256-91DF-135137BC71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ED734F8D-B90C-2365-AE95-08F088C83F07}"/>
              </a:ext>
            </a:extLst>
          </xdr:cNvPr>
          <xdr:cNvCxnSpPr>
            <a:stCxn id="195" idx="1"/>
            <a:endCxn id="19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B5735C1E-0C63-10F6-9744-924DD2840E7C}"/>
              </a:ext>
            </a:extLst>
          </xdr:cNvPr>
          <xdr:cNvCxnSpPr>
            <a:stCxn id="195" idx="3"/>
            <a:endCxn id="19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100224</xdr:colOff>
      <xdr:row>16</xdr:row>
      <xdr:rowOff>124060</xdr:rowOff>
    </xdr:from>
    <xdr:to>
      <xdr:col>11</xdr:col>
      <xdr:colOff>231489</xdr:colOff>
      <xdr:row>20</xdr:row>
      <xdr:rowOff>118039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51233A44-8633-4795-93E0-258113A5A847}"/>
            </a:ext>
          </a:extLst>
        </xdr:cNvPr>
        <xdr:cNvCxnSpPr>
          <a:endCxn id="28" idx="1"/>
        </xdr:cNvCxnSpPr>
      </xdr:nvCxnSpPr>
      <xdr:spPr>
        <a:xfrm>
          <a:off x="3075965" y="2580853"/>
          <a:ext cx="893265" cy="598324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196362</xdr:colOff>
      <xdr:row>21</xdr:row>
      <xdr:rowOff>148181</xdr:rowOff>
    </xdr:from>
    <xdr:to>
      <xdr:col>11</xdr:col>
      <xdr:colOff>221685</xdr:colOff>
      <xdr:row>25</xdr:row>
      <xdr:rowOff>22487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DA17C0A4-5D98-419F-BCC0-3366D53336A8}"/>
            </a:ext>
          </a:extLst>
        </xdr:cNvPr>
        <xdr:cNvCxnSpPr>
          <a:stCxn id="195" idx="4"/>
          <a:endCxn id="11" idx="0"/>
        </xdr:cNvCxnSpPr>
      </xdr:nvCxnSpPr>
      <xdr:spPr>
        <a:xfrm>
          <a:off x="3934103" y="3360405"/>
          <a:ext cx="25323" cy="478651"/>
        </a:xfrm>
        <a:prstGeom prst="line">
          <a:avLst/>
        </a:prstGeom>
        <a:ln w="6350"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177502</xdr:colOff>
      <xdr:row>25</xdr:row>
      <xdr:rowOff>22487</xdr:rowOff>
    </xdr:from>
    <xdr:to>
      <xdr:col>11</xdr:col>
      <xdr:colOff>265868</xdr:colOff>
      <xdr:row>25</xdr:row>
      <xdr:rowOff>119707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814928D0-D814-4378-B321-3A8BD5BA36C4}"/>
            </a:ext>
          </a:extLst>
        </xdr:cNvPr>
        <xdr:cNvGrpSpPr/>
      </xdr:nvGrpSpPr>
      <xdr:grpSpPr>
        <a:xfrm>
          <a:off x="3921241" y="3799357"/>
          <a:ext cx="88366" cy="9722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C6CCEC40-A698-798B-33B9-685FD1F7181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AC56700C-4A43-0A18-A634-CD900A370644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7F7F7222-C154-21EF-3F17-B066256EBC3B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218548</xdr:colOff>
      <xdr:row>20</xdr:row>
      <xdr:rowOff>103824</xdr:rowOff>
    </xdr:from>
    <xdr:to>
      <xdr:col>11</xdr:col>
      <xdr:colOff>306914</xdr:colOff>
      <xdr:row>21</xdr:row>
      <xdr:rowOff>48491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C9862BDE-4B70-40F9-A1EF-58C898E4EEC4}"/>
            </a:ext>
          </a:extLst>
        </xdr:cNvPr>
        <xdr:cNvGrpSpPr/>
      </xdr:nvGrpSpPr>
      <xdr:grpSpPr>
        <a:xfrm>
          <a:off x="3962287" y="3135259"/>
          <a:ext cx="88366" cy="9375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" name="Oval 27">
            <a:extLst>
              <a:ext uri="{FF2B5EF4-FFF2-40B4-BE49-F238E27FC236}">
                <a16:creationId xmlns:a16="http://schemas.microsoft.com/office/drawing/2014/main" id="{BCE7FBB0-995C-4369-20FA-E7732413CAF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005290DB-B795-30C7-5262-2C9404561DC2}"/>
              </a:ext>
            </a:extLst>
          </xdr:cNvPr>
          <xdr:cNvCxnSpPr>
            <a:stCxn id="28" idx="1"/>
            <a:endCxn id="2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AEB03BD7-B5B1-F506-5E3F-28854895AC6B}"/>
              </a:ext>
            </a:extLst>
          </xdr:cNvPr>
          <xdr:cNvCxnSpPr>
            <a:stCxn id="28" idx="3"/>
            <a:endCxn id="2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8659</xdr:colOff>
      <xdr:row>14</xdr:row>
      <xdr:rowOff>89425</xdr:rowOff>
    </xdr:from>
    <xdr:to>
      <xdr:col>12</xdr:col>
      <xdr:colOff>240122</xdr:colOff>
      <xdr:row>19</xdr:row>
      <xdr:rowOff>62553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C8758238-FBB3-4777-8F75-23EE71C74EB2}"/>
            </a:ext>
          </a:extLst>
        </xdr:cNvPr>
        <xdr:cNvSpPr/>
      </xdr:nvSpPr>
      <xdr:spPr>
        <a:xfrm>
          <a:off x="3746400" y="2244046"/>
          <a:ext cx="612463" cy="728559"/>
        </a:xfrm>
        <a:prstGeom prst="rect">
          <a:avLst/>
        </a:prstGeom>
        <a:solidFill>
          <a:schemeClr val="bg1"/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500" b="1" u="sng">
              <a:solidFill>
                <a:sysClr val="windowText" lastClr="000000"/>
              </a:solidFill>
            </a:rPr>
            <a:t>SYG9-85/6/28B</a:t>
          </a:r>
        </a:p>
        <a:p>
          <a:pPr algn="l"/>
          <a:r>
            <a:rPr lang="en-US" sz="500" strike="sngStrike" baseline="0">
              <a:solidFill>
                <a:sysClr val="windowText" lastClr="000000"/>
              </a:solidFill>
            </a:rPr>
            <a:t>1 S11-200</a:t>
          </a:r>
        </a:p>
        <a:p>
          <a:pPr algn="l"/>
          <a:r>
            <a:rPr lang="en-US" sz="500" strike="sngStrike" baseline="0">
              <a:solidFill>
                <a:sysClr val="windowText" lastClr="000000"/>
              </a:solidFill>
            </a:rPr>
            <a:t>1 CA5</a:t>
          </a:r>
        </a:p>
        <a:p>
          <a:pPr algn="l"/>
          <a:r>
            <a:rPr lang="en-US" sz="500" baseline="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500" baseline="0">
              <a:solidFill>
                <a:srgbClr val="FF0000"/>
              </a:solidFill>
            </a:rPr>
            <a:t>1 CA4</a:t>
          </a:r>
        </a:p>
        <a:p>
          <a:pPr algn="l"/>
          <a:r>
            <a:rPr lang="en-US" sz="500" baseline="0">
              <a:solidFill>
                <a:srgbClr val="FF0000"/>
              </a:solidFill>
            </a:rPr>
            <a:t>2 CM2-12A</a:t>
          </a:r>
        </a:p>
        <a:p>
          <a:pPr algn="l"/>
          <a:r>
            <a:rPr lang="en-US" sz="5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500" baseline="0">
              <a:solidFill>
                <a:srgbClr val="FF0000"/>
              </a:solidFill>
            </a:rPr>
            <a:t>1 F1-3</a:t>
          </a:r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240545</xdr:colOff>
      <xdr:row>21</xdr:row>
      <xdr:rowOff>100528</xdr:rowOff>
    </xdr:from>
    <xdr:to>
      <xdr:col>12</xdr:col>
      <xdr:colOff>6122</xdr:colOff>
      <xdr:row>22</xdr:row>
      <xdr:rowOff>45387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5E48D3B5-B05E-4062-8CA1-8BE817C66D00}"/>
            </a:ext>
          </a:extLst>
        </xdr:cNvPr>
        <xdr:cNvCxnSpPr>
          <a:stCxn id="195" idx="6"/>
        </xdr:cNvCxnSpPr>
      </xdr:nvCxnSpPr>
      <xdr:spPr>
        <a:xfrm>
          <a:off x="3978286" y="3312752"/>
          <a:ext cx="146577" cy="959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15332</xdr:colOff>
      <xdr:row>24</xdr:row>
      <xdr:rowOff>104507</xdr:rowOff>
    </xdr:from>
    <xdr:to>
      <xdr:col>11</xdr:col>
      <xdr:colOff>154543</xdr:colOff>
      <xdr:row>25</xdr:row>
      <xdr:rowOff>97180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FD06D666-7CD8-4E78-B941-02C540177EF2}"/>
            </a:ext>
          </a:extLst>
        </xdr:cNvPr>
        <xdr:cNvSpPr/>
      </xdr:nvSpPr>
      <xdr:spPr>
        <a:xfrm>
          <a:off x="3753073" y="3769990"/>
          <a:ext cx="139211" cy="143759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188037</xdr:colOff>
      <xdr:row>25</xdr:row>
      <xdr:rowOff>49470</xdr:rowOff>
    </xdr:from>
    <xdr:to>
      <xdr:col>11</xdr:col>
      <xdr:colOff>182084</xdr:colOff>
      <xdr:row>34</xdr:row>
      <xdr:rowOff>97712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92D58157-F396-7CD8-DD86-180353471D24}"/>
            </a:ext>
          </a:extLst>
        </xdr:cNvPr>
        <xdr:cNvSpPr txBox="1"/>
      </xdr:nvSpPr>
      <xdr:spPr>
        <a:xfrm rot="18035149">
          <a:off x="3031577" y="4379240"/>
          <a:ext cx="1401449" cy="3750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JEMBATAN KECIL</a:t>
          </a:r>
        </a:p>
      </xdr:txBody>
    </xdr:sp>
    <xdr:clientData/>
  </xdr:twoCellAnchor>
  <xdr:twoCellAnchor>
    <xdr:from>
      <xdr:col>10</xdr:col>
      <xdr:colOff>11719</xdr:colOff>
      <xdr:row>18</xdr:row>
      <xdr:rowOff>6978</xdr:rowOff>
    </xdr:from>
    <xdr:to>
      <xdr:col>10</xdr:col>
      <xdr:colOff>100085</xdr:colOff>
      <xdr:row>18</xdr:row>
      <xdr:rowOff>104045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AA7E3F56-5EF3-D041-76E7-D9EF2FC716AE}"/>
            </a:ext>
          </a:extLst>
        </xdr:cNvPr>
        <xdr:cNvGrpSpPr/>
      </xdr:nvGrpSpPr>
      <xdr:grpSpPr>
        <a:xfrm>
          <a:off x="3374458" y="2740239"/>
          <a:ext cx="88366" cy="9706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7" name="Oval 46">
            <a:extLst>
              <a:ext uri="{FF2B5EF4-FFF2-40B4-BE49-F238E27FC236}">
                <a16:creationId xmlns:a16="http://schemas.microsoft.com/office/drawing/2014/main" id="{AE76003B-64C0-D062-4AC4-93D6AF4364D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9" name="Straight Connector 48">
            <a:extLst>
              <a:ext uri="{FF2B5EF4-FFF2-40B4-BE49-F238E27FC236}">
                <a16:creationId xmlns:a16="http://schemas.microsoft.com/office/drawing/2014/main" id="{4B36E0CD-2A63-4FF9-95AC-F0EAF4627F21}"/>
              </a:ext>
            </a:extLst>
          </xdr:cNvPr>
          <xdr:cNvCxnSpPr>
            <a:stCxn id="47" idx="1"/>
            <a:endCxn id="4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0807CB3F-F9F7-CA41-E674-EC76018237AB}"/>
              </a:ext>
            </a:extLst>
          </xdr:cNvPr>
          <xdr:cNvCxnSpPr>
            <a:stCxn id="47" idx="3"/>
            <a:endCxn id="4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176167</xdr:colOff>
      <xdr:row>25</xdr:row>
      <xdr:rowOff>119707</xdr:rowOff>
    </xdr:from>
    <xdr:to>
      <xdr:col>11</xdr:col>
      <xdr:colOff>221685</xdr:colOff>
      <xdr:row>27</xdr:row>
      <xdr:rowOff>13736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76C23A3F-C21A-DBC8-2EA5-7AB8EA768F7D}"/>
            </a:ext>
          </a:extLst>
        </xdr:cNvPr>
        <xdr:cNvCxnSpPr>
          <a:stCxn id="11" idx="4"/>
        </xdr:cNvCxnSpPr>
      </xdr:nvCxnSpPr>
      <xdr:spPr>
        <a:xfrm flipH="1">
          <a:off x="3913908" y="3936276"/>
          <a:ext cx="45518" cy="19620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58077</xdr:colOff>
      <xdr:row>16</xdr:row>
      <xdr:rowOff>136307</xdr:rowOff>
    </xdr:from>
    <xdr:to>
      <xdr:col>11</xdr:col>
      <xdr:colOff>165120</xdr:colOff>
      <xdr:row>21</xdr:row>
      <xdr:rowOff>66515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9D0960C-D3C5-4C40-8573-AB882388A011}"/>
            </a:ext>
          </a:extLst>
        </xdr:cNvPr>
        <xdr:cNvCxnSpPr>
          <a:endCxn id="195" idx="1"/>
        </xdr:cNvCxnSpPr>
      </xdr:nvCxnSpPr>
      <xdr:spPr>
        <a:xfrm>
          <a:off x="3033818" y="2593100"/>
          <a:ext cx="869043" cy="685639"/>
        </a:xfrm>
        <a:prstGeom prst="line">
          <a:avLst/>
        </a:prstGeom>
        <a:ln w="6350"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4479</xdr:colOff>
      <xdr:row>28</xdr:row>
      <xdr:rowOff>22690</xdr:rowOff>
    </xdr:from>
    <xdr:to>
      <xdr:col>13</xdr:col>
      <xdr:colOff>235942</xdr:colOff>
      <xdr:row>33</xdr:row>
      <xdr:rowOff>2835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32EB96F1-D58C-940B-5882-CC03749FBE55}"/>
            </a:ext>
          </a:extLst>
        </xdr:cNvPr>
        <xdr:cNvSpPr/>
      </xdr:nvSpPr>
      <xdr:spPr>
        <a:xfrm>
          <a:off x="4123220" y="4292518"/>
          <a:ext cx="612463" cy="729007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500" b="1" u="sng">
              <a:solidFill>
                <a:srgbClr val="FF0000"/>
              </a:solidFill>
            </a:rPr>
            <a:t>SYG9-85/6/28C</a:t>
          </a:r>
        </a:p>
        <a:p>
          <a:pPr algn="l"/>
          <a:r>
            <a:rPr lang="en-US" sz="500" baseline="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500" baseline="0">
              <a:solidFill>
                <a:srgbClr val="FF0000"/>
              </a:solidFill>
            </a:rPr>
            <a:t>1 CA5</a:t>
          </a:r>
        </a:p>
        <a:p>
          <a:pPr algn="l"/>
          <a:r>
            <a:rPr lang="en-US" sz="500" baseline="0">
              <a:solidFill>
                <a:srgbClr val="FF0000"/>
              </a:solidFill>
            </a:rPr>
            <a:t>1 CG-105</a:t>
          </a:r>
        </a:p>
        <a:p>
          <a:pPr algn="l"/>
          <a:r>
            <a:rPr lang="en-US" sz="500" baseline="0">
              <a:solidFill>
                <a:srgbClr val="FF0000"/>
              </a:solidFill>
            </a:rPr>
            <a:t>2 CM2-11M</a:t>
          </a:r>
        </a:p>
        <a:p>
          <a:pPr algn="l"/>
          <a:r>
            <a:rPr lang="en-US" sz="500" baseline="0">
              <a:solidFill>
                <a:srgbClr val="FF0000"/>
              </a:solidFill>
            </a:rPr>
            <a:t>2 CM2-12A</a:t>
          </a:r>
        </a:p>
        <a:p>
          <a:pPr algn="l"/>
          <a:r>
            <a:rPr lang="en-US" sz="5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500" baseline="0">
              <a:solidFill>
                <a:srgbClr val="FF0000"/>
              </a:solidFill>
            </a:rPr>
            <a:t>1 F1-3</a:t>
          </a:r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386270</xdr:colOff>
      <xdr:row>13</xdr:row>
      <xdr:rowOff>-1</xdr:rowOff>
    </xdr:from>
    <xdr:to>
      <xdr:col>20</xdr:col>
      <xdr:colOff>346363</xdr:colOff>
      <xdr:row>49</xdr:row>
      <xdr:rowOff>69272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B8DFA4-03B0-31F1-BBA8-E58B1FC37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108" t="24309" r="47393" b="17080"/>
        <a:stretch/>
      </xdr:blipFill>
      <xdr:spPr>
        <a:xfrm>
          <a:off x="507497" y="2182090"/>
          <a:ext cx="11147639" cy="568036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  <sheetName val="DExp.Lm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  <sheetName val="prod03"/>
      <sheetName val="C"/>
      <sheetName val="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  <sheetName val="W-NAD"/>
      <sheetName val="Resume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  <sheetName val="LISDES"/>
      <sheetName val="Currency Rate"/>
      <sheetName val="SEX"/>
      <sheetName val="CPI"/>
      <sheetName val="KURS"/>
      <sheetName val="IKK 2018"/>
      <sheetName val="INKINDO 2018"/>
      <sheetName val="IKK 2017"/>
      <sheetName val="Hg.Sat"/>
      <sheetName val="Upah"/>
      <sheetName val="PRK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Material"/>
      <sheetName val="Section 2 MastlisteRev02"/>
      <sheetName val="TAP"/>
      <sheetName val="Overview"/>
      <sheetName val="divI"/>
      <sheetName val="divII"/>
      <sheetName val="new kinerja"/>
      <sheetName val="Data Kit"/>
      <sheetName val="Data Kit Kaltim"/>
      <sheetName val="Upah Bahan"/>
      <sheetName val="Daftar Peserta"/>
      <sheetName val="Simulasi SPPD"/>
      <sheetName val="Data asli"/>
      <sheetName val="Database SPPD ke JK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VALIDASI PRK"/>
      <sheetName val="DAF- PEG"/>
      <sheetName val="I.5 ADDITION"/>
      <sheetName val="chemcal"/>
      <sheetName val="2008_rev1"/>
      <sheetName val="R_SM_KIN"/>
      <sheetName val="SAPITO"/>
      <sheetName val="SALDO PERSEDIAAN"/>
      <sheetName val="JOURNAL"/>
      <sheetName val="JOURNAL2"/>
      <sheetName val="JURNAL JAN'98"/>
      <sheetName val="grafi kesiapan versi p3b dan pe"/>
      <sheetName val="WP"/>
      <sheetName val="LISTS"/>
      <sheetName val="RKS"/>
      <sheetName val="Rekap rutin psb"/>
      <sheetName val="BAG-2"/>
      <sheetName val="Formula"/>
      <sheetName val="Macro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LOAD"/>
      <sheetName val="TUL III-09 UNIT"/>
      <sheetName val="LK-1"/>
      <sheetName val="USAHA"/>
      <sheetName val="Hal-1"/>
      <sheetName val="aruskas"/>
      <sheetName val="06b"/>
      <sheetName val="WBS 2"/>
      <sheetName val="DATA PENGUSAHAAN"/>
      <sheetName val="R_ccode"/>
      <sheetName val="StU"/>
      <sheetName val="D7(1)"/>
      <sheetName val="PDPT - BL"/>
      <sheetName val="AHS "/>
      <sheetName val="pricing"/>
      <sheetName val="01 A"/>
      <sheetName val="5-Peralatan"/>
      <sheetName val="000000"/>
      <sheetName val="2013"/>
      <sheetName val="dataKIT"/>
      <sheetName val="dataPHT"/>
      <sheetName val="dataIBT"/>
      <sheetName val="Sheet42"/>
      <sheetName val="Sentra"/>
      <sheetName val="POWER"/>
      <sheetName val="For Report-Akum"/>
      <sheetName val="TOP"/>
      <sheetName val="Input"/>
      <sheetName val="WIL"/>
      <sheetName val="Amr"/>
      <sheetName val="GAJI"/>
      <sheetName val="bakup1"/>
      <sheetName val="Prod~Alt"/>
      <sheetName val="Shedule"/>
      <sheetName val="Posisi"/>
      <sheetName val="Adj"/>
      <sheetName val="Valuation"/>
      <sheetName val="DESEMBER"/>
      <sheetName val="Resource Plan (2)"/>
      <sheetName val="Pengalaman Per"/>
      <sheetName val="SITE-E"/>
      <sheetName val="QlocSgl"/>
      <sheetName val="Hitung_Energi"/>
      <sheetName val="Marshal"/>
      <sheetName val="GeneralInfo"/>
      <sheetName val="NERACA SESUAI PROGRAM GL MAGIC"/>
      <sheetName val="Links"/>
      <sheetName val="Lead"/>
      <sheetName val="MAIN"/>
      <sheetName val="Data Penyulang"/>
      <sheetName val="AKTIVA TETAP"/>
      <sheetName val="anal"/>
      <sheetName val="uba"/>
      <sheetName val="Galian 1"/>
      <sheetName val="KH"/>
      <sheetName val="AkumAT"/>
      <sheetName val="Daftar Tabel"/>
      <sheetName val="analhps"/>
      <sheetName val="Energi Disalurkan"/>
      <sheetName val="Umum"/>
      <sheetName val="KWH_RPJual"/>
      <sheetName val="Invoice"/>
      <sheetName val="URA E450"/>
      <sheetName val="2-JTW"/>
      <sheetName val="Konstruksi"/>
      <sheetName val="mob (2)"/>
      <sheetName val="LOADDAT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PESANTREN"/>
      <sheetName val="G"/>
      <sheetName val="Curup"/>
      <sheetName val="Prabu"/>
      <sheetName val="On Time"/>
      <sheetName val="BQ"/>
      <sheetName val="Progress"/>
      <sheetName val="Mobilisasi-pnw"/>
      <sheetName val="Land Clearing-pnw"/>
      <sheetName val="BiPinjaman(15)"/>
      <sheetName val="LabaRugi Fungsi th (t-1)(21B)"/>
      <sheetName val="LabaRugi Lainnya(20)"/>
      <sheetName val="LabaRugi Unsur th(t-1)(21A)"/>
      <sheetName val="PembelianTL(12A1)"/>
      <sheetName val="Permanent info"/>
      <sheetName val="Ex-Rate"/>
      <sheetName val="AKTIVA"/>
      <sheetName val="Bln3_4"/>
      <sheetName val="Akun"/>
      <sheetName val="DataReferensi"/>
      <sheetName val="ProdSendiri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K.6DEPOSIT"/>
      <sheetName val="Contract &amp; Assumptions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Download_Data"/>
      <sheetName val="Grf Pedp Lain2"/>
      <sheetName val="L20Keu"/>
      <sheetName val="Komposisi"/>
      <sheetName val="BBM-03"/>
      <sheetName val="Note"/>
      <sheetName val="KWH 12BL (2)"/>
      <sheetName val="Isian"/>
      <sheetName val="Gangg_PL"/>
      <sheetName val="Du_lieu"/>
      <sheetName val="daftar harga dan upah"/>
      <sheetName val="ANALISA SNI'13 "/>
      <sheetName val="Mobilisasi div-1"/>
      <sheetName val="BOQ Rekap"/>
      <sheetName val="D-Bahan &amp; Upah"/>
      <sheetName val="div-6"/>
      <sheetName val="div-7"/>
      <sheetName val="drawing"/>
      <sheetName val="AnConW"/>
      <sheetName val="AnEarthW"/>
      <sheetName val="AnLandW"/>
      <sheetName val="BasicPrice"/>
      <sheetName val="AnStoneW"/>
      <sheetName val="SWENG_Risk"/>
      <sheetName val="TRA_TS"/>
      <sheetName val="Price_List"/>
      <sheetName val="Estimate"/>
      <sheetName val="NAMES"/>
      <sheetName val="HBU"/>
      <sheetName val="Input GENERATION-DATA"/>
      <sheetName val="D2 BOQ LE TWR"/>
      <sheetName val="Ea. ANA POND"/>
      <sheetName val="UK110301"/>
      <sheetName val="ADM_TEK_TP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  <sheetName val="JAN07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antu"/>
      <sheetName val="Monitoring_Harian"/>
      <sheetName val="bantu_rec"/>
      <sheetName val="KINERJA_PMT"/>
      <sheetName val="RincianPMG"/>
      <sheetName val="Rincian HTT"/>
      <sheetName val="Rekap HTT"/>
      <sheetName val="Rincian AT"/>
      <sheetName val="Rekap AT"/>
      <sheetName val="PUNCAK-89"/>
      <sheetName val="KUMULATI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9">
          <cell r="B9" t="str">
            <v>Perkiraan HSS 2016 = harga pasar 2015 * (100% + sasaran inflasi 2016)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  <sheetName val="Assumptions (2)"/>
      <sheetName val="Usulan"/>
      <sheetName val="JAN07"/>
      <sheetName val="graf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  <sheetName val="FORM-B"/>
      <sheetName val="MASTER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  <sheetName val="Kamu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>
        <row r="2">
          <cell r="J2">
            <v>420</v>
          </cell>
        </row>
      </sheetData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6">
          <cell r="C6">
            <v>0</v>
          </cell>
        </row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67">
          <cell r="C67" t="str">
            <v>Switch Gear 20kV Maintenance</v>
          </cell>
        </row>
        <row r="68">
          <cell r="C68" t="str">
            <v>Battery 20kV Maintenance</v>
          </cell>
        </row>
        <row r="69">
          <cell r="C69" t="str">
            <v>New Connection Single Phase - Direct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48">
          <cell r="C148" t="str">
            <v>New Connection Single Phase - Direct</v>
          </cell>
        </row>
        <row r="149">
          <cell r="C149" t="str">
            <v>New Connection Single Phase - Indirect</v>
          </cell>
        </row>
        <row r="150">
          <cell r="C150" t="str">
            <v>New Connection Three Phase - Direct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53">
          <cell r="C53" t="str">
            <v>Business Volume in region</v>
          </cell>
        </row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>
        <row r="381">
          <cell r="C381">
            <v>0</v>
          </cell>
        </row>
      </sheetData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>
        <row r="7">
          <cell r="D7" t="str">
            <v>Regional Manager</v>
          </cell>
        </row>
      </sheetData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>
        <row r="8">
          <cell r="B8" t="str">
            <v>West Sumatera</v>
          </cell>
        </row>
      </sheetData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  <sheetName val="NerSubsis"/>
      <sheetName val="UPDATE 25 JANUARI 2007"/>
      <sheetName val="UshDeb00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  <sheetName val="MENU1"/>
      <sheetName val="MEMO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  <sheetName val="CashFlow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  <sheetName val="REAL-L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  <sheetName val="item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Usul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  <sheetName val="Usulan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  <sheetName val="JAN07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  <sheetName val="Uraian"/>
      <sheetName val="LK2004"/>
      <sheetName val="W-NAD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  <sheetName val="tarif_baru"/>
      <sheetName val="Rekap PMG."/>
      <sheetName val="LK2004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  <sheetName val="KAJIAN"/>
      <sheetName val="RAB"/>
      <sheetName val="TDL 2019"/>
      <sheetName val="PUNCAK-89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Asumsi &amp; Hasil"/>
      <sheetName val="Material"/>
      <sheetName val="COVER A1_A3"/>
      <sheetName val="Summary"/>
      <sheetName val="aruskas"/>
      <sheetName val="prod03"/>
      <sheetName val="JAN07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Daftar_Isi"/>
      <sheetName val="AI_(IS1)"/>
      <sheetName val="AI_(IS2)(1)"/>
      <sheetName val="AI_(IS2)_(2)"/>
      <sheetName val="REK_TRW_(IS3)"/>
      <sheetName val="REK_TRW_(IS4)"/>
      <sheetName val="RKAP_Investasi"/>
      <sheetName val="Harga_BBM_Indonesia"/>
      <sheetName val="Single_Line"/>
      <sheetName val="DATA_PENGUSAHA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  <sheetName val="Resource Plan (2)"/>
      <sheetName val="10 INDIKATOR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  <sheetName val="Smg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  <sheetName val="Harga BBM Indonesia"/>
      <sheetName val="RAB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  <sheetName val="UshDeb00"/>
      <sheetName val="Format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  <sheetName val="Format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  <sheetName val="Asumsi"/>
      <sheetName val="MATERIAL juni 05"/>
      <sheetName val="UPDATE 25 JANUARI 20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  <sheetName val="DT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  <sheetName val="UPAH 2012"/>
      <sheetName val="Daftar Harga 2012 mmk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>
        <row r="120">
          <cell r="H120">
            <v>9000</v>
          </cell>
        </row>
      </sheetData>
      <sheetData sheetId="231">
        <row r="120">
          <cell r="H120">
            <v>9000</v>
          </cell>
        </row>
      </sheetData>
      <sheetData sheetId="232">
        <row r="120">
          <cell r="H120">
            <v>9000</v>
          </cell>
        </row>
      </sheetData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>
        <row r="120">
          <cell r="H120">
            <v>9000</v>
          </cell>
        </row>
      </sheetData>
      <sheetData sheetId="238">
        <row r="120">
          <cell r="H120">
            <v>9000</v>
          </cell>
        </row>
      </sheetData>
      <sheetData sheetId="239">
        <row r="120">
          <cell r="H120">
            <v>9000</v>
          </cell>
        </row>
      </sheetData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>
        <row r="120">
          <cell r="H120">
            <v>9000</v>
          </cell>
        </row>
      </sheetData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Sudah Berjalan"/>
      <sheetName val="D2. ANALISA HS INSHAR"/>
      <sheetName val="Resume"/>
      <sheetName val="DTU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  <sheetName val="Jasa"/>
      <sheetName val="Mat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  <sheetName val="KKO"/>
      <sheetName val="PDL"/>
      <sheetName val="HARGA 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  <sheetName val="TDL 2020"/>
      <sheetName val="DATA PLG"/>
      <sheetName val="Asumsi &amp; Hasil"/>
      <sheetName val="Resource Plan (2)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  <sheetName val="Forma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  <sheetName val="Data Pelanggan TM"/>
      <sheetName val="Menu"/>
      <sheetName val="Paramete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  <sheetName val="KKO"/>
      <sheetName val="PDL"/>
      <sheetName val="INPBA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  <sheetName val="KKO"/>
      <sheetName val="PDL"/>
      <sheetName val="NerSubsis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  <sheetName val="RAB"/>
      <sheetName val="DTU"/>
      <sheetName val="aruskas"/>
      <sheetName val="Hal-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  <sheetName val="Format"/>
      <sheetName val="aruskas"/>
      <sheetName val="Hal-1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  <sheetName val="Format"/>
      <sheetName val="W-NAD"/>
      <sheetName val="Standar Konstruksi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  <sheetName val="Neraca seAPJ"/>
      <sheetName val="TABEL"/>
      <sheetName val="PkRp"/>
      <sheetName val="Forma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  <sheetName val="JAN07"/>
      <sheetName val="W1"/>
      <sheetName val="NerSubsis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  <sheetName val="JAN07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E3. ANALISA HS HAR TEK SUTM"/>
      <sheetName val="E6. ANALISA HS HAR"/>
      <sheetName val="PICKUP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  <sheetName val="E3. ANALISA HS HAR TEK SUTM"/>
      <sheetName val="E6. ANALISA HS HAR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  <sheetName val="master rab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LAIN2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  <sheetName val="harga"/>
      <sheetName val="Jatim LKAI2007  16062006 0"/>
      <sheetName val="analis"/>
      <sheetName val="Analisis"/>
      <sheetName val="AHS-JTR"/>
      <sheetName val="laporan pemakaian blangko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  <sheetName val="master 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  <sheetName val="Asumsi"/>
      <sheetName val="UshDeb00"/>
      <sheetName val="Resum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  <sheetName val="bantu"/>
      <sheetName val="Valuation"/>
      <sheetName val="FORM-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Rekap PMG."/>
      <sheetName val="aruskas"/>
      <sheetName val="Hal-1"/>
      <sheetName val="Sudah Berjalan"/>
      <sheetName val="pemel2012"/>
      <sheetName val="Submission Form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Sudah Berjalan"/>
      <sheetName val="PMT"/>
      <sheetName val="W-NAD"/>
      <sheetName val="INPBA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  <sheetName val="LR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  <sheetName val="Sudah Berjalan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  <sheetName val="ca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  <sheetName val="Cover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  <sheetName val="JURNAL"/>
      <sheetName val="BB PUSAT"/>
      <sheetName val="DTstok"/>
      <sheetName val="toip"/>
      <sheetName val="Widodo (2)"/>
      <sheetName val="Widodo"/>
      <sheetName val="HB LAMA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  <sheetName val="HB BARU"/>
      <sheetName val="Resume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  <sheetName val="Dasar Pemadaman"/>
      <sheetName val="Supl.X"/>
      <sheetName val="Harga bahan &amp; upah"/>
      <sheetName val="profil 2021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  <sheetData sheetId="180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  <sheetName val="SuMBER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  <sheetName val="bantu"/>
      <sheetName val="x"/>
      <sheetName val="HB BARU"/>
      <sheetName val="JAN07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0" t="s">
        <v>1134</v>
      </c>
      <c r="C4" s="530"/>
      <c r="D4" s="530"/>
      <c r="E4" s="530"/>
      <c r="F4" s="530"/>
      <c r="G4" s="530"/>
      <c r="H4" s="530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1" t="s">
        <v>0</v>
      </c>
      <c r="C7" s="531" t="s">
        <v>1</v>
      </c>
      <c r="D7" s="532" t="s">
        <v>42</v>
      </c>
      <c r="E7" s="532" t="s">
        <v>43</v>
      </c>
      <c r="F7" s="532" t="s">
        <v>1135</v>
      </c>
      <c r="G7" s="533" t="s">
        <v>41</v>
      </c>
      <c r="H7" s="529" t="s">
        <v>1042</v>
      </c>
      <c r="I7" s="529" t="s">
        <v>1137</v>
      </c>
      <c r="J7" s="529" t="s">
        <v>1026</v>
      </c>
      <c r="K7" s="523" t="s">
        <v>1024</v>
      </c>
      <c r="L7" s="524"/>
    </row>
    <row r="8" spans="1:12" ht="15" customHeight="1">
      <c r="B8" s="531"/>
      <c r="C8" s="531"/>
      <c r="D8" s="532"/>
      <c r="E8" s="532"/>
      <c r="F8" s="532"/>
      <c r="G8" s="533"/>
      <c r="H8" s="529"/>
      <c r="I8" s="529"/>
      <c r="J8" s="529"/>
      <c r="K8" s="525"/>
      <c r="L8" s="526"/>
    </row>
    <row r="9" spans="1:12" ht="15" customHeight="1">
      <c r="B9" s="531"/>
      <c r="C9" s="531"/>
      <c r="D9" s="532"/>
      <c r="E9" s="532"/>
      <c r="F9" s="532"/>
      <c r="G9" s="533"/>
      <c r="H9" s="529"/>
      <c r="I9" s="529"/>
      <c r="J9" s="529"/>
      <c r="K9" s="527"/>
      <c r="L9" s="528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Isolator Tarik ( Strainkap Porcelain ) 20 KV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Set</v>
      </c>
      <c r="F15" s="138">
        <f t="shared" ca="1" si="2"/>
        <v>2</v>
      </c>
      <c r="G15" s="41">
        <f ca="1">IF(ISERROR(OFFSET('HARGA SATUAN'!$I$6,MATCH(C15,'HARGA SATUAN'!$C$7:$C$1492,0),0)),"",OFFSET('HARGA SATUAN'!$I$6,MATCH(C15,'HARGA SATUAN'!$C$7:$C$1492,0),0))</f>
        <v>430000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AAAC 70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62</v>
      </c>
      <c r="G16" s="41">
        <f ca="1">IF(ISERROR(OFFSET('HARGA SATUAN'!$I$6,MATCH(C16,'HARGA SATUAN'!$C$7:$C$1492,0),0)),"",OFFSET('HARGA SATUAN'!$I$6,MATCH(C16,'HARGA SATUAN'!$C$7:$C$1492,0),0))</f>
        <v>14200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2 x 70 + N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2</v>
      </c>
      <c r="G17" s="41">
        <f ca="1">IF(ISERROR(OFFSET('HARGA SATUAN'!$I$6,MATCH(C17,'HARGA SATUAN'!$C$7:$C$1492,0),0)),"",OFFSET('HARGA SATUAN'!$I$6,MATCH(C17,'HARGA SATUAN'!$C$7:$C$1492,0),0))</f>
        <v>53300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 2 x 16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35</v>
      </c>
      <c r="G18" s="41">
        <f ca="1">IF(ISERROR(OFFSET('HARGA SATUAN'!$I$6,MATCH(C18,'HARGA SATUAN'!$C$7:$C$1492,0),0)),"",OFFSET('HARGA SATUAN'!$I$6,MATCH(C18,'HARGA SATUAN'!$C$7:$C$1492,0),0))</f>
        <v>6600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SUMIFS(RAB!$F$14:$F$123,RAB!$C$14:$C$123,C714)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SUMIFS(RAB!$F$14:$F$123,RAB!$C$14:$C$123,C715)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SUMIFS(RAB!$F$14:$F$123,RAB!$C$14:$C$123,C716)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SUMIFS(RAB!$F$14:$F$123,RAB!$C$14:$C$123,C717)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SUMIFS(RAB!$F$14:$F$123,RAB!$C$14:$C$123,C718)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SUMIFS(RAB!$F$14:$F$123,RAB!$C$14:$C$123,C719)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SUMIFS(RAB!$F$14:$F$123,RAB!$C$14:$C$123,C720)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SUMIFS(RAB!$F$14:$F$123,RAB!$C$14:$C$123,C721)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SUMIFS(RAB!$F$14:$F$123,RAB!$C$14:$C$123,C722)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SUMIFS(RAB!$F$14:$F$123,RAB!$C$14:$C$123,C723)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SUMIFS(RAB!$F$14:$F$123,RAB!$C$14:$C$123,C724)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SUMIFS(RAB!$F$14:$F$123,RAB!$C$14:$C$123,C725)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SUMIFS(RAB!$F$14:$F$123,RAB!$C$14:$C$123,C726)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SUMIFS(RAB!$F$14:$F$123,RAB!$C$14:$C$123,C727)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SUMIFS(RAB!$F$14:$F$123,RAB!$C$14:$C$123,C728)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SUMIFS(RAB!$F$14:$F$123,RAB!$C$14:$C$123,C729)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SUMIFS(RAB!$F$14:$F$123,RAB!$C$14:$C$123,C730)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SUMIFS(RAB!$F$14:$F$123,RAB!$C$14:$C$123,C731)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SUMIFS(RAB!$F$14:$F$123,RAB!$C$14:$C$123,C732)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SUMIFS(RAB!$F$14:$F$123,RAB!$C$14:$C$123,C733)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SUMIFS(RAB!$F$14:$F$123,RAB!$C$14:$C$123,C734)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SUMIFS(RAB!$F$14:$F$123,RAB!$C$14:$C$123,C735)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SUMIFS(RAB!$F$14:$F$123,RAB!$C$14:$C$123,C736)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SUMIFS(RAB!$F$14:$F$123,RAB!$C$14:$C$123,C737)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SUMIFS(RAB!$F$14:$F$123,RAB!$C$14:$C$123,C738)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SUMIFS(RAB!$F$14:$F$123,RAB!$C$14:$C$123,C739)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SUMIFS(RAB!$F$14:$F$123,RAB!$C$14:$C$123,C740)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SUMIFS(RAB!$F$14:$F$123,RAB!$C$14:$C$123,C741)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SUMIFS(RAB!$F$14:$F$123,RAB!$C$14:$C$123,C742)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SUMIFS(RAB!$F$14:$F$123,RAB!$C$14:$C$123,C743)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SUMIFS(RAB!$F$14:$F$123,RAB!$C$14:$C$123,C744)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SUMIFS(RAB!$F$14:$F$123,RAB!$C$14:$C$123,C745)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SUMIFS(RAB!$F$14:$F$123,RAB!$C$14:$C$123,C746)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SUMIFS(RAB!$F$14:$F$123,RAB!$C$14:$C$123,C747)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SUMIFS(RAB!$F$14:$F$123,RAB!$C$14:$C$123,C748)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SUMIFS(RAB!$F$14:$F$123,RAB!$C$14:$C$123,C749)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SUMIFS(RAB!$F$14:$F$123,RAB!$C$14:$C$123,C750)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SUMIFS(RAB!$F$14:$F$123,RAB!$C$14:$C$123,C751)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SUMIFS(RAB!$F$14:$F$123,RAB!$C$14:$C$123,C752)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SUMIFS(RAB!$F$14:$F$123,RAB!$C$14:$C$123,C753)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SUMIFS(RAB!$F$14:$F$123,RAB!$C$14:$C$123,C754)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SUMIFS(RAB!$F$14:$F$123,RAB!$C$14:$C$123,C755)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SUMIFS(RAB!$F$14:$F$123,RAB!$C$14:$C$123,C756)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SUMIFS(RAB!$F$14:$F$123,RAB!$C$14:$C$123,C757)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SUMIFS(RAB!$F$14:$F$123,RAB!$C$14:$C$123,C758)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SUMIFS(RAB!$F$14:$F$123,RAB!$C$14:$C$123,C759)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SUMIFS(RAB!$F$14:$F$123,RAB!$C$14:$C$123,C760)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SUMIFS(RAB!$F$14:$F$123,RAB!$C$14:$C$123,C761)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SUMIFS(RAB!$F$14:$F$123,RAB!$C$14:$C$123,C762)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SUMIFS(RAB!$F$14:$F$123,RAB!$C$14:$C$123,C763)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SUMIFS(RAB!$F$14:$F$123,RAB!$C$14:$C$123,C764)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SUMIFS(RAB!$F$14:$F$123,RAB!$C$14:$C$123,C765)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SUMIFS(RAB!$F$14:$F$123,RAB!$C$14:$C$123,C766)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SUMIFS(RAB!$F$14:$F$123,RAB!$C$14:$C$123,C767)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SUMIFS(RAB!$F$14:$F$123,RAB!$C$14:$C$123,C768)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SUMIFS(RAB!$F$14:$F$123,RAB!$C$14:$C$123,C769)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SUMIFS(RAB!$F$14:$F$123,RAB!$C$14:$C$123,C770)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SUMIFS(RAB!$F$14:$F$123,RAB!$C$14:$C$123,C771)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SUMIFS(RAB!$F$14:$F$123,RAB!$C$14:$C$123,C772)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SUMIFS(RAB!$F$14:$F$123,RAB!$C$14:$C$123,C773)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SUMIFS(RAB!$F$14:$F$123,RAB!$C$14:$C$123,C774)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SUMIFS(RAB!$F$14:$F$123,RAB!$C$14:$C$123,C775)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SUMIFS(RAB!$F$14:$F$123,RAB!$C$14:$C$123,C776)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SUMIFS(RAB!$F$14:$F$123,RAB!$C$14:$C$123,C777)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SUMIFS(RAB!$F$14:$F$123,RAB!$C$14:$C$123,C778)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SUMIFS(RAB!$F$14:$F$123,RAB!$C$14:$C$123,C779)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SUMIFS(RAB!$F$14:$F$123,RAB!$C$14:$C$123,C780)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SUMIFS(RAB!$F$14:$F$123,RAB!$C$14:$C$123,C781)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SUMIFS(RAB!$F$14:$F$123,RAB!$C$14:$C$123,C782)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SUMIFS(RAB!$F$14:$F$123,RAB!$C$14:$C$123,C783)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SUMIFS(RAB!$F$14:$F$123,RAB!$C$14:$C$123,C784)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SUMIFS(RAB!$F$14:$F$123,RAB!$C$14:$C$123,C785)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SUMIFS(RAB!$F$14:$F$123,RAB!$C$14:$C$123,C786)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SUMIFS(RAB!$F$14:$F$123,RAB!$C$14:$C$123,C787)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SUMIFS(RAB!$F$14:$F$123,RAB!$C$14:$C$123,C788)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SUMIFS(RAB!$F$14:$F$123,RAB!$C$14:$C$123,C789)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SUMIFS(RAB!$F$14:$F$123,RAB!$C$14:$C$123,C790)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SUMIFS(RAB!$F$14:$F$123,RAB!$C$14:$C$123,C791)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SUMIFS(RAB!$F$14:$F$123,RAB!$C$14:$C$123,C792)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SUMIFS(RAB!$F$14:$F$123,RAB!$C$14:$C$123,C793)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SUMIFS(RAB!$F$14:$F$123,RAB!$C$14:$C$123,C794)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SUMIFS(RAB!$F$14:$F$123,RAB!$C$14:$C$123,C795)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SUMIFS(RAB!$F$14:$F$123,RAB!$C$14:$C$123,C796)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SUMIFS(RAB!$F$14:$F$123,RAB!$C$14:$C$123,C797)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SUMIFS(RAB!$F$14:$F$123,RAB!$C$14:$C$123,C798)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SUMIFS(RAB!$F$14:$F$123,RAB!$C$14:$C$123,C799)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SUMIFS(RAB!$F$14:$F$123,RAB!$C$14:$C$123,C800)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SUMIFS(RAB!$F$14:$F$123,RAB!$C$14:$C$123,C801)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SUMIFS(RAB!$F$14:$F$123,RAB!$C$14:$C$123,C802)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SUMIFS(RAB!$F$14:$F$123,RAB!$C$14:$C$123,C803)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SUMIFS(RAB!$F$14:$F$123,RAB!$C$14:$C$123,C804)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SUMIFS(RAB!$F$14:$F$123,RAB!$C$14:$C$123,C805)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SUMIFS(RAB!$F$14:$F$123,RAB!$C$14:$C$123,C806)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SUMIFS(RAB!$F$14:$F$123,RAB!$C$14:$C$123,C807)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SUMIFS(RAB!$F$14:$F$123,RAB!$C$14:$C$123,C808)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SUMIFS(RAB!$F$14:$F$123,RAB!$C$14:$C$123,C809)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SUMIFS(RAB!$F$14:$F$123,RAB!$C$14:$C$123,C810)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SUMIFS(RAB!$F$14:$F$123,RAB!$C$14:$C$123,C811)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SUMIFS(RAB!$F$14:$F$123,RAB!$C$14:$C$123,C812)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SUMIFS(RAB!$F$14:$F$123,RAB!$C$14:$C$123,C813)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SUMIFS(RAB!$F$14:$F$123,RAB!$C$14:$C$123,C814)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SUMIFS(RAB!$F$14:$F$123,RAB!$C$14:$C$123,C815)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SUMIFS(RAB!$F$14:$F$123,RAB!$C$14:$C$123,C816)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SUMIFS(RAB!$F$14:$F$123,RAB!$C$14:$C$123,C817)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SUMIFS(RAB!$F$14:$F$123,RAB!$C$14:$C$123,C818)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SUMIFS(RAB!$F$14:$F$123,RAB!$C$14:$C$123,C819)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SUMIFS(RAB!$F$14:$F$123,RAB!$C$14:$C$123,C820)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SUMIFS(RAB!$F$14:$F$123,RAB!$C$14:$C$123,C821)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SUMIFS(RAB!$F$14:$F$123,RAB!$C$14:$C$123,C822)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SUMIFS(RAB!$F$14:$F$123,RAB!$C$14:$C$123,C823)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SUMIFS(RAB!$F$14:$F$123,RAB!$C$14:$C$123,C824)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SUMIFS(RAB!$F$14:$F$123,RAB!$C$14:$C$123,C825)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SUMIFS(RAB!$F$14:$F$123,RAB!$C$14:$C$123,C826)</f>
        <v>2</v>
      </c>
      <c r="E826" s="26">
        <f t="shared" ca="1" si="34"/>
        <v>1</v>
      </c>
      <c r="F826" s="26">
        <f ca="1">IF(D826=0,0,SUM($E$713:E826))</f>
        <v>4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SUMIFS(RAB!$F$14:$F$123,RAB!$C$14:$C$123,C827)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SUMIFS(RAB!$F$14:$F$123,RAB!$C$14:$C$123,C828)</f>
        <v>62</v>
      </c>
      <c r="E828" s="26">
        <f t="shared" ca="1" si="34"/>
        <v>1</v>
      </c>
      <c r="F828" s="26">
        <f ca="1">IF(D828=0,0,SUM($E$713:E828))</f>
        <v>5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SUMIFS(RAB!$F$14:$F$123,RAB!$C$14:$C$123,C829)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SUMIFS(RAB!$F$14:$F$123,RAB!$C$14:$C$123,C830)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SUMIFS(RAB!$F$14:$F$123,RAB!$C$14:$C$123,C831)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SUMIFS(RAB!$F$14:$F$123,RAB!$C$14:$C$123,C832)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SUMIFS(RAB!$F$14:$F$123,RAB!$C$14:$C$123,C833)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SUMIFS(RAB!$F$14:$F$123,RAB!$C$14:$C$123,C834)</f>
        <v>2</v>
      </c>
      <c r="E834" s="26">
        <f t="shared" ca="1" si="34"/>
        <v>1</v>
      </c>
      <c r="F834" s="26">
        <f ca="1">IF(D834=0,0,SUM($E$713:E834))</f>
        <v>6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SUMIFS(RAB!$F$14:$F$123,RAB!$C$14:$C$123,C835)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SUMIFS(RAB!$F$14:$F$123,RAB!$C$14:$C$123,C836)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SUMIFS(RAB!$F$14:$F$123,RAB!$C$14:$C$123,C837)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SUMIFS(RAB!$F$14:$F$123,RAB!$C$14:$C$123,C838)</f>
        <v>35</v>
      </c>
      <c r="E838" s="26">
        <f t="shared" ca="1" si="34"/>
        <v>1</v>
      </c>
      <c r="F838" s="26">
        <f ca="1">IF(D838=0,0,SUM($E$713:E838))</f>
        <v>7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SUMIFS(RAB!$F$14:$F$123,RAB!$C$14:$C$123,C839)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SUMIFS(RAB!$F$14:$F$123,RAB!$C$14:$C$123,C840)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SUMIFS(RAB!$F$14:$F$123,RAB!$C$14:$C$123,C841)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SUMIFS(RAB!$F$14:$F$123,RAB!$C$14:$C$123,C842)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SUMIFS(RAB!$F$14:$F$123,RAB!$C$14:$C$123,C843)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SUMIFS(RAB!$F$14:$F$123,RAB!$C$14:$C$123,C844)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SUMIFS(RAB!$F$14:$F$123,RAB!$C$14:$C$123,C845)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SUMIFS(RAB!$F$14:$F$123,RAB!$C$14:$C$123,C846)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SUMIFS(RAB!$F$14:$F$123,RAB!$C$14:$C$123,C847)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SUMIFS(RAB!$F$14:$F$123,RAB!$C$14:$C$123,C848)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SUMIFS(RAB!$F$14:$F$123,RAB!$C$14:$C$123,C849)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SUMIFS(RAB!$F$14:$F$123,RAB!$C$14:$C$123,C850)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SUMIFS(RAB!$F$14:$F$123,RAB!$C$14:$C$123,C851)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SUMIFS(RAB!$F$14:$F$123,RAB!$C$14:$C$123,C852)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SUMIFS(RAB!$F$14:$F$123,RAB!$C$14:$C$123,C853)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SUMIFS(RAB!$F$14:$F$123,RAB!$C$14:$C$123,C854)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SUMIFS(RAB!$F$14:$F$123,RAB!$C$14:$C$123,C855)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SUMIFS(RAB!$F$14:$F$123,RAB!$C$14:$C$123,C856)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SUMIFS(RAB!$F$14:$F$123,RAB!$C$14:$C$123,C857)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SUMIFS(RAB!$F$14:$F$123,RAB!$C$14:$C$123,C858)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SUMIFS(RAB!$F$14:$F$123,RAB!$C$14:$C$123,C859)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SUMIFS(RAB!$F$14:$F$123,RAB!$C$14:$C$123,C860)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SUMIFS(RAB!$F$14:$F$123,RAB!$C$14:$C$123,C861)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SUMIFS(RAB!$F$14:$F$123,RAB!$C$14:$C$123,C862)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SUMIFS(RAB!$F$14:$F$123,RAB!$C$14:$C$123,C863)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SUMIFS(RAB!$F$14:$F$123,RAB!$C$14:$C$123,C864)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SUMIFS(RAB!$F$14:$F$123,RAB!$C$14:$C$123,C865)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SUMIFS(RAB!$F$14:$F$123,RAB!$C$14:$C$123,C866)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SUMIFS(RAB!$F$14:$F$123,RAB!$C$14:$C$123,C867)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SUMIFS(RAB!$F$14:$F$123,RAB!$C$14:$C$123,C868)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SUMIFS(RAB!$F$14:$F$123,RAB!$C$14:$C$123,C869)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SUMIFS(RAB!$F$14:$F$123,RAB!$C$14:$C$123,C870)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SUMIFS(RAB!$F$14:$F$123,RAB!$C$14:$C$123,C871)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SUMIFS(RAB!$F$14:$F$123,RAB!$C$14:$C$123,C872)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SUMIFS(RAB!$F$14:$F$123,RAB!$C$14:$C$123,C873)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SUMIFS(RAB!$F$14:$F$123,RAB!$C$14:$C$123,C874)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SUMIFS(RAB!$F$14:$F$123,RAB!$C$14:$C$123,C875)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SUMIFS(RAB!$F$14:$F$123,RAB!$C$14:$C$123,C876)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SUMIFS(RAB!$F$14:$F$123,RAB!$C$14:$C$123,C877)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SUMIFS(RAB!$F$14:$F$123,RAB!$C$14:$C$123,C878)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SUMIFS(RAB!$F$14:$F$123,RAB!$C$14:$C$123,C879)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SUMIFS(RAB!$F$14:$F$123,RAB!$C$14:$C$123,C880)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SUMIFS(RAB!$F$14:$F$123,RAB!$C$14:$C$123,C881)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SUMIFS(RAB!$F$14:$F$123,RAB!$C$14:$C$123,C882)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SUMIFS(RAB!$F$14:$F$123,RAB!$C$14:$C$123,C883)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SUMIFS(RAB!$F$14:$F$123,RAB!$C$14:$C$123,C884)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SUMIFS(RAB!$F$14:$F$123,RAB!$C$14:$C$123,C885)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SUMIFS(RAB!$F$14:$F$123,RAB!$C$14:$C$123,C886)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SUMIFS(RAB!$F$14:$F$123,RAB!$C$14:$C$123,C887)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SUMIFS(RAB!$F$14:$F$123,RAB!$C$14:$C$123,C888)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SUMIFS(RAB!$F$14:$F$123,RAB!$C$14:$C$123,C889)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SUMIFS(RAB!$F$14:$F$123,RAB!$C$14:$C$123,C890)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SUMIFS(RAB!$F$14:$F$123,RAB!$C$14:$C$123,C891)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SUMIFS(RAB!$F$14:$F$123,RAB!$C$14:$C$123,C892)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SUMIFS(RAB!$F$14:$F$123,RAB!$C$14:$C$123,C893)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SUMIFS(RAB!$F$14:$F$123,RAB!$C$14:$C$123,C894)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SUMIFS(RAB!$F$14:$F$123,RAB!$C$14:$C$123,C895)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SUMIFS(RAB!$F$14:$F$123,RAB!$C$14:$C$123,C896)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SUMIFS(RAB!$F$14:$F$123,RAB!$C$14:$C$123,C897)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SUMIFS(RAB!$F$14:$F$123,RAB!$C$14:$C$123,C898)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SUMIFS(RAB!$F$14:$F$123,RAB!$C$14:$C$123,C899)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SUMIFS(RAB!$F$14:$F$123,RAB!$C$14:$C$123,C900)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SUMIFS(RAB!$F$14:$F$123,RAB!$C$14:$C$123,C901)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SUMIFS(RAB!$F$14:$F$123,RAB!$C$14:$C$123,C902)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SUMIFS(RAB!$F$14:$F$123,RAB!$C$14:$C$123,C903)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SUMIFS(RAB!$F$14:$F$123,RAB!$C$14:$C$123,C904)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SUMIFS(RAB!$F$14:$F$123,RAB!$C$14:$C$123,C905)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SUMIFS(RAB!$F$14:$F$123,RAB!$C$14:$C$123,C906)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SUMIFS(RAB!$F$14:$F$123,RAB!$C$14:$C$123,C907)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SUMIFS(RAB!$F$14:$F$123,RAB!$C$14:$C$123,C908)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SUMIFS(RAB!$F$14:$F$123,RAB!$C$14:$C$123,C909)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SUMIFS(RAB!$F$14:$F$123,RAB!$C$14:$C$123,C910)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SUMIFS(RAB!$F$14:$F$123,RAB!$C$14:$C$123,C911)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SUMIFS(RAB!$F$14:$F$123,RAB!$C$14:$C$123,C912)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SUMIFS(RAB!$F$14:$F$123,RAB!$C$14:$C$123,C913)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SUMIFS(RAB!$F$14:$F$123,RAB!$C$14:$C$123,C914)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SUMIFS(RAB!$F$14:$F$123,RAB!$C$14:$C$123,C915)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SUMIFS(RAB!$F$14:$F$123,RAB!$C$14:$C$123,C916)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SUMIFS(RAB!$F$14:$F$123,RAB!$C$14:$C$123,C917)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SUMIFS(RAB!$F$14:$F$123,RAB!$C$14:$C$123,C918)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SUMIFS(RAB!$F$14:$F$123,RAB!$C$14:$C$123,C919)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SUMIFS(RAB!$F$14:$F$123,RAB!$C$14:$C$123,C920)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SUMIFS(RAB!$F$14:$F$123,RAB!$C$14:$C$123,C921)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SUMIFS(RAB!$F$14:$F$123,RAB!$C$14:$C$123,C922)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SUMIFS(RAB!$F$14:$F$123,RAB!$C$14:$C$123,C923)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SUMIFS(RAB!$F$14:$F$123,RAB!$C$14:$C$123,C924)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SUMIFS(RAB!$F$14:$F$123,RAB!$C$14:$C$123,C925)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SUMIFS(RAB!$F$14:$F$123,RAB!$C$14:$C$123,C926)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SUMIFS(RAB!$F$14:$F$123,RAB!$C$14:$C$123,C927)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SUMIFS(RAB!$F$14:$F$123,RAB!$C$14:$C$123,C928)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SUMIFS(RAB!$F$14:$F$123,RAB!$C$14:$C$123,C929)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SUMIFS(RAB!$F$14:$F$123,RAB!$C$14:$C$123,C930)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SUMIFS(RAB!$F$14:$F$123,RAB!$C$14:$C$123,C931)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SUMIFS(RAB!$F$14:$F$123,RAB!$C$14:$C$123,C932)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SUMIFS(RAB!$F$14:$F$123,RAB!$C$14:$C$123,C933)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SUMIFS(RAB!$F$14:$F$123,RAB!$C$14:$C$123,C934)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SUMIFS(RAB!$F$14:$F$123,RAB!$C$14:$C$123,C935)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SUMIFS(RAB!$F$14:$F$123,RAB!$C$14:$C$123,C936)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SUMIFS(RAB!$F$14:$F$123,RAB!$C$14:$C$123,C937)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SUMIFS(RAB!$F$14:$F$123,RAB!$C$14:$C$123,C938)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SUMIFS(RAB!$F$14:$F$123,RAB!$C$14:$C$123,C939)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SUMIFS(RAB!$F$14:$F$123,RAB!$C$14:$C$123,C940)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SUMIFS(RAB!$F$14:$F$123,RAB!$C$14:$C$123,C941)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SUMIFS(RAB!$F$14:$F$123,RAB!$C$14:$C$123,C942)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SUMIFS(RAB!$F$14:$F$123,RAB!$C$14:$C$123,C943)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SUMIFS(RAB!$F$14:$F$123,RAB!$C$14:$C$123,C944)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SUMIFS(RAB!$F$14:$F$123,RAB!$C$14:$C$123,C945)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SUMIFS(RAB!$F$14:$F$123,RAB!$C$14:$C$123,C946)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SUMIFS(RAB!$F$14:$F$123,RAB!$C$14:$C$123,C947)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SUMIFS(RAB!$F$14:$F$123,RAB!$C$14:$C$123,C948)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SUMIFS(RAB!$F$14:$F$123,RAB!$C$14:$C$123,C949)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SUMIFS(RAB!$F$14:$F$123,RAB!$C$14:$C$123,C950)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SUMIFS(RAB!$F$14:$F$123,RAB!$C$14:$C$123,C951)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SUMIFS(RAB!$F$14:$F$123,RAB!$C$14:$C$123,C952)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SUMIFS(RAB!$F$14:$F$123,RAB!$C$14:$C$123,C953)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SUMIFS(RAB!$F$14:$F$123,RAB!$C$14:$C$123,C954)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SUMIFS(RAB!$F$14:$F$123,RAB!$C$14:$C$123,C955)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SUMIFS(RAB!$F$14:$F$123,RAB!$C$14:$C$123,C956)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SUMIFS(RAB!$F$14:$F$123,RAB!$C$14:$C$123,C957)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SUMIFS(RAB!$F$14:$F$123,RAB!$C$14:$C$123,C958)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SUMIFS(RAB!$F$14:$F$123,RAB!$C$14:$C$123,C959)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SUMIFS(RAB!$F$14:$F$123,RAB!$C$14:$C$123,C960)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SUMIFS(RAB!$F$14:$F$123,RAB!$C$14:$C$123,C961)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SUMIFS(RAB!$F$14:$F$123,RAB!$C$14:$C$123,C962)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SUMIFS(RAB!$F$14:$F$123,RAB!$C$14:$C$123,C963)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SUMIFS(RAB!$F$14:$F$123,RAB!$C$14:$C$123,C964)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SUMIFS(RAB!$F$14:$F$123,RAB!$C$14:$C$123,C965)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SUMIFS(RAB!$F$14:$F$123,RAB!$C$14:$C$123,C966)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SUMIFS(RAB!$F$14:$F$123,RAB!$C$14:$C$123,C967)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SUMIFS(RAB!$F$14:$F$123,RAB!$C$14:$C$123,C968)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SUMIFS(RAB!$F$14:$F$123,RAB!$C$14:$C$123,C969)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SUMIFS(RAB!$F$14:$F$123,RAB!$C$14:$C$123,C970)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SUMIFS(RAB!$F$14:$F$123,RAB!$C$14:$C$123,C971)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SUMIFS(RAB!$F$14:$F$123,RAB!$C$14:$C$123,C972)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SUMIFS(RAB!$F$14:$F$123,RAB!$C$14:$C$123,C973)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SUMIFS(RAB!$F$14:$F$123,RAB!$C$14:$C$123,C974)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SUMIFS(RAB!$F$14:$F$123,RAB!$C$14:$C$123,C975)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SUMIFS(RAB!$F$14:$F$123,RAB!$C$14:$C$123,C976)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SUMIFS(RAB!$F$14:$F$123,RAB!$C$14:$C$123,C977)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SUMIFS(RAB!$F$14:$F$123,RAB!$C$14:$C$123,C978)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SUMIFS(RAB!$F$14:$F$123,RAB!$C$14:$C$123,C979)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SUMIFS(RAB!$F$14:$F$123,RAB!$C$14:$C$123,C980)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SUMIFS(RAB!$F$14:$F$123,RAB!$C$14:$C$123,C981)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SUMIFS(RAB!$F$14:$F$123,RAB!$C$14:$C$123,C982)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SUMIFS(RAB!$F$14:$F$123,RAB!$C$14:$C$123,C983)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SUMIFS(RAB!$F$14:$F$123,RAB!$C$14:$C$123,C984)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SUMIFS(RAB!$F$14:$F$123,RAB!$C$14:$C$123,C985)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SUMIFS(RAB!$F$14:$F$123,RAB!$C$14:$C$123,C986)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SUMIFS(RAB!$F$14:$F$123,RAB!$C$14:$C$123,C987)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SUMIFS(RAB!$F$14:$F$123,RAB!$C$14:$C$123,C988)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SUMIFS(RAB!$F$14:$F$123,RAB!$C$14:$C$123,C989)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SUMIFS(RAB!$F$14:$F$123,RAB!$C$14:$C$123,C990)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SUMIFS(RAB!$F$14:$F$123,RAB!$C$14:$C$123,C991)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SUMIFS(RAB!$F$14:$F$123,RAB!$C$14:$C$123,C992)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SUMIFS(RAB!$F$14:$F$123,RAB!$C$14:$C$123,C993)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SUMIFS(RAB!$F$14:$F$123,RAB!$C$14:$C$123,C994)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SUMIFS(RAB!$F$14:$F$123,RAB!$C$14:$C$123,C995)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SUMIFS(RAB!$F$14:$F$123,RAB!$C$14:$C$123,C996)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SUMIFS(RAB!$F$14:$F$123,RAB!$C$14:$C$123,C997)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SUMIFS(RAB!$F$14:$F$123,RAB!$C$14:$C$123,C998)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SUMIFS(RAB!$F$14:$F$123,RAB!$C$14:$C$123,C999)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SUMIFS(RAB!$F$14:$F$123,RAB!$C$14:$C$123,C1000)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SUMIFS(RAB!$F$14:$F$123,RAB!$C$14:$C$123,C1001)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SUMIFS(RAB!$F$14:$F$123,RAB!$C$14:$C$123,C1002)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SUMIFS(RAB!$F$14:$F$123,RAB!$C$14:$C$123,C1003)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SUMIFS(RAB!$F$14:$F$123,RAB!$C$14:$C$123,C1004)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SUMIFS(RAB!$F$14:$F$123,RAB!$C$14:$C$123,C1005)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SUMIFS(RAB!$F$14:$F$123,RAB!$C$14:$C$123,C1006)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SUMIFS(RAB!$F$14:$F$123,RAB!$C$14:$C$123,C1007)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SUMIFS(RAB!$F$14:$F$123,RAB!$C$14:$C$123,C1008)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SUMIFS(RAB!$F$14:$F$123,RAB!$C$14:$C$123,C1009)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SUMIFS(RAB!$F$14:$F$123,RAB!$C$14:$C$123,C1010)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SUMIFS(RAB!$F$14:$F$123,RAB!$C$14:$C$123,C1011)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SUMIFS(RAB!$F$14:$F$123,RAB!$C$14:$C$123,C1012)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SUMIFS(RAB!$F$14:$F$123,RAB!$C$14:$C$123,C1013)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SUMIFS(RAB!$F$14:$F$123,RAB!$C$14:$C$123,C1014)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SUMIFS(RAB!$F$14:$F$123,RAB!$C$14:$C$123,C1015)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SUMIFS(RAB!$F$14:$F$123,RAB!$C$14:$C$123,C1016)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SUMIFS(RAB!$F$14:$F$123,RAB!$C$14:$C$123,C1017)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SUMIFS(RAB!$F$14:$F$123,RAB!$C$14:$C$123,C1018)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SUMIFS(RAB!$F$14:$F$123,RAB!$C$14:$C$123,C1019)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SUMIFS(RAB!$F$14:$F$123,RAB!$C$14:$C$123,C1020)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SUMIFS(RAB!$F$14:$F$123,RAB!$C$14:$C$123,C1021)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SUMIFS(RAB!$F$14:$F$123,RAB!$C$14:$C$123,C1022)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SUMIFS(RAB!$F$14:$F$123,RAB!$C$14:$C$123,C1023)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SUMIFS(RAB!$F$14:$F$123,RAB!$C$14:$C$123,C1024)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SUMIFS(RAB!$F$14:$F$123,RAB!$C$14:$C$123,C1025)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SUMIFS(RAB!$F$14:$F$123,RAB!$C$14:$C$123,C1026)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SUMIFS(RAB!$F$14:$F$123,RAB!$C$14:$C$123,C1027)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SUMIFS(RAB!$F$14:$F$123,RAB!$C$14:$C$123,C1028)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SUMIFS(RAB!$F$14:$F$123,RAB!$C$14:$C$123,C1029)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SUMIFS(RAB!$F$14:$F$123,RAB!$C$14:$C$123,C1030)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SUMIFS(RAB!$F$14:$F$123,RAB!$C$14:$C$123,C1031)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SUMIFS(RAB!$F$14:$F$123,RAB!$C$14:$C$123,C1032)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SUMIFS(RAB!$F$14:$F$123,RAB!$C$14:$C$123,C1033)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SUMIFS(RAB!$F$14:$F$123,RAB!$C$14:$C$123,C1034)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SUMIFS(RAB!$F$14:$F$123,RAB!$C$14:$C$123,C1035)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SUMIFS(RAB!$F$14:$F$123,RAB!$C$14:$C$123,C1036)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SUMIFS(RAB!$F$14:$F$123,RAB!$C$14:$C$123,C1037)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SUMIFS(RAB!$F$14:$F$123,RAB!$C$14:$C$123,C1038)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SUMIFS(RAB!$F$14:$F$123,RAB!$C$14:$C$123,C1039)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SUMIFS(RAB!$F$14:$F$123,RAB!$C$14:$C$123,C1040)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SUMIFS(RAB!$F$14:$F$123,RAB!$C$14:$C$123,C1041)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SUMIFS(RAB!$F$14:$F$123,RAB!$C$14:$C$123,C1042)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SUMIFS(RAB!$F$14:$F$123,RAB!$C$14:$C$123,C1043)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SUMIFS(RAB!$F$14:$F$123,RAB!$C$14:$C$123,C1044)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SUMIFS(RAB!$F$14:$F$123,RAB!$C$14:$C$123,C1045)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SUMIFS(RAB!$F$14:$F$123,RAB!$C$14:$C$123,C1046)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SUMIFS(RAB!$F$14:$F$123,RAB!$C$14:$C$123,C1047)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SUMIFS(RAB!$F$14:$F$123,RAB!$C$14:$C$123,C1048)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SUMIFS(RAB!$F$14:$F$123,RAB!$C$14:$C$123,C1049)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SUMIFS(RAB!$F$14:$F$123,RAB!$C$14:$C$123,C1050)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SUMIFS(RAB!$F$14:$F$123,RAB!$C$14:$C$123,C1051)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SUMIFS(RAB!$F$14:$F$123,RAB!$C$14:$C$123,C1052)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SUMIFS(RAB!$F$14:$F$123,RAB!$C$14:$C$123,C1053)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SUMIFS(RAB!$F$14:$F$123,RAB!$C$14:$C$123,C1054)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SUMIFS(RAB!$F$14:$F$123,RAB!$C$14:$C$123,C1055)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SUMIFS(RAB!$F$14:$F$123,RAB!$C$14:$C$123,C1056)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SUMIFS(RAB!$F$14:$F$123,RAB!$C$14:$C$123,C1057)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SUMIFS(RAB!$F$14:$F$123,RAB!$C$14:$C$123,C1058)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SUMIFS(RAB!$F$14:$F$123,RAB!$C$14:$C$123,C1059)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SUMIFS(RAB!$F$14:$F$123,RAB!$C$14:$C$123,C1060)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SUMIFS(RAB!$F$14:$F$123,RAB!$C$14:$C$123,C1061)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SUMIFS(RAB!$F$14:$F$123,RAB!$C$14:$C$123,C1062)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SUMIFS(RAB!$F$14:$F$123,RAB!$C$14:$C$123,C1063)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SUMIFS(RAB!$F$14:$F$123,RAB!$C$14:$C$123,C1064)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SUMIFS(RAB!$F$14:$F$123,RAB!$C$14:$C$123,C1065)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SUMIFS(RAB!$F$14:$F$123,RAB!$C$14:$C$123,C1066)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SUMIFS(RAB!$F$14:$F$123,RAB!$C$14:$C$123,C1067)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SUMIFS(RAB!$F$14:$F$123,RAB!$C$14:$C$123,C1068)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SUMIFS(RAB!$F$14:$F$123,RAB!$C$14:$C$123,C1069)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SUMIFS(RAB!$F$14:$F$123,RAB!$C$14:$C$123,C1070)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SUMIFS(RAB!$F$14:$F$123,RAB!$C$14:$C$123,C1071)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SUMIFS(RAB!$F$14:$F$123,RAB!$C$14:$C$123,C1072)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SUMIFS(RAB!$F$14:$F$123,RAB!$C$14:$C$123,C1073)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SUMIFS(RAB!$F$14:$F$123,RAB!$C$14:$C$123,C1074)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SUMIFS(RAB!$F$14:$F$123,RAB!$C$14:$C$123,C1075)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SUMIFS(RAB!$F$14:$F$123,RAB!$C$14:$C$123,C1076)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SUMIFS(RAB!$F$14:$F$123,RAB!$C$14:$C$123,C1077)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SUMIFS(RAB!$F$14:$F$123,RAB!$C$14:$C$123,C1078)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SUMIFS(RAB!$F$14:$F$123,RAB!$C$14:$C$123,C1079)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SUMIFS(RAB!$F$14:$F$123,RAB!$C$14:$C$123,C1080)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SUMIFS(RAB!$F$14:$F$123,RAB!$C$14:$C$123,C1081)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SUMIFS(RAB!$F$14:$F$123,RAB!$C$14:$C$123,C1082)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SUMIFS(RAB!$F$14:$F$123,RAB!$C$14:$C$123,C1083)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SUMIFS(RAB!$F$14:$F$123,RAB!$C$14:$C$123,C1084)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SUMIFS(RAB!$F$14:$F$123,RAB!$C$14:$C$123,C1085)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SUMIFS(RAB!$F$14:$F$123,RAB!$C$14:$C$123,C1086)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SUMIFS(RAB!$F$14:$F$123,RAB!$C$14:$C$123,C1087)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SUMIFS(RAB!$F$14:$F$123,RAB!$C$14:$C$123,C1088)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SUMIFS(RAB!$F$14:$F$123,RAB!$C$14:$C$123,C1089)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SUMIFS(RAB!$F$14:$F$123,RAB!$C$14:$C$123,C1090)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SUMIFS(RAB!$F$14:$F$123,RAB!$C$14:$C$123,C1091)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SUMIFS(RAB!$F$14:$F$123,RAB!$C$14:$C$123,C1092)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SUMIFS(RAB!$F$14:$F$123,RAB!$C$14:$C$123,C1093)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SUMIFS(RAB!$F$14:$F$123,RAB!$C$14:$C$123,C1094)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SUMIFS(RAB!$F$14:$F$123,RAB!$C$14:$C$123,C1095)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SUMIFS(RAB!$F$14:$F$123,RAB!$C$14:$C$123,C1096)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SUMIFS(RAB!$F$14:$F$123,RAB!$C$14:$C$123,C1097)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SUMIFS(RAB!$F$14:$F$123,RAB!$C$14:$C$123,C1098)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SUMIFS(RAB!$F$14:$F$123,RAB!$C$14:$C$123,C1099)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SUMIFS(RAB!$F$14:$F$123,RAB!$C$14:$C$123,C1100)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SUMIFS(RAB!$F$14:$F$123,RAB!$C$14:$C$123,C1101)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SUMIFS(RAB!$F$14:$F$123,RAB!$C$14:$C$123,C1102)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SUMIFS(RAB!$F$14:$F$123,RAB!$C$14:$C$123,C1103)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SUMIFS(RAB!$F$14:$F$123,RAB!$C$14:$C$123,C1104)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SUMIFS(RAB!$F$14:$F$123,RAB!$C$14:$C$123,C1105)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SUMIFS(RAB!$F$14:$F$123,RAB!$C$14:$C$123,C1106)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SUMIFS(RAB!$F$14:$F$123,RAB!$C$14:$C$123,C1107)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SUMIFS(RAB!$F$14:$F$123,RAB!$C$14:$C$123,C1108)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SUMIFS(RAB!$F$14:$F$123,RAB!$C$14:$C$123,C1109)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SUMIFS(RAB!$F$14:$F$123,RAB!$C$14:$C$123,C1110)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SUMIFS(RAB!$F$14:$F$123,RAB!$C$14:$C$123,C1111)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SUMIFS(RAB!$F$14:$F$123,RAB!$C$14:$C$123,C1112)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SUMIFS(RAB!$F$14:$F$123,RAB!$C$14:$C$123,C1113)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SUMIFS(RAB!$F$14:$F$123,RAB!$C$14:$C$123,C1114)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SUMIFS(RAB!$F$14:$F$123,RAB!$C$14:$C$123,C1115)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SUMIFS(RAB!$F$14:$F$123,RAB!$C$14:$C$123,C1116)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SUMIFS(RAB!$F$14:$F$123,RAB!$C$14:$C$123,C1117)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SUMIFS(RAB!$F$14:$F$123,RAB!$C$14:$C$123,C1118)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SUMIFS(RAB!$F$14:$F$123,RAB!$C$14:$C$123,C1119)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SUMIFS(RAB!$F$14:$F$123,RAB!$C$14:$C$123,C1120)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SUMIFS(RAB!$F$14:$F$123,RAB!$C$14:$C$123,C1121)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SUMIFS(RAB!$F$14:$F$123,RAB!$C$14:$C$123,C1122)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SUMIFS(RAB!$F$14:$F$123,RAB!$C$14:$C$123,C1123)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SUMIFS(RAB!$F$14:$F$123,RAB!$C$14:$C$123,C1124)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SUMIFS(RAB!$F$14:$F$123,RAB!$C$14:$C$123,C1125)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SUMIFS(RAB!$F$14:$F$123,RAB!$C$14:$C$123,C1126)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SUMIFS(RAB!$F$14:$F$123,RAB!$C$14:$C$123,C1127)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SUMIFS(RAB!$F$14:$F$123,RAB!$C$14:$C$123,C1128)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SUMIFS(RAB!$F$14:$F$123,RAB!$C$14:$C$123,C1129)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SUMIFS(RAB!$F$14:$F$123,RAB!$C$14:$C$123,C1130)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SUMIFS(RAB!$F$14:$F$123,RAB!$C$14:$C$123,C1131)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SUMIFS(RAB!$F$14:$F$123,RAB!$C$14:$C$123,C1132)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SUMIFS(RAB!$F$14:$F$123,RAB!$C$14:$C$123,C1133)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SUMIFS(RAB!$F$14:$F$123,RAB!$C$14:$C$123,C1134)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SUMIFS(RAB!$F$14:$F$123,RAB!$C$14:$C$123,C1135)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SUMIFS(RAB!$F$14:$F$123,RAB!$C$14:$C$123,C1136)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SUMIFS(RAB!$F$14:$F$123,RAB!$C$14:$C$123,C1137)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SUMIFS(RAB!$F$14:$F$123,RAB!$C$14:$C$123,C1138)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SUMIFS(RAB!$F$14:$F$123,RAB!$C$14:$C$123,C1139)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SUMIFS(RAB!$F$14:$F$123,RAB!$C$14:$C$123,C1140)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SUMIFS(RAB!$F$14:$F$123,RAB!$C$14:$C$123,C1141)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SUMIFS(RAB!$F$14:$F$123,RAB!$C$14:$C$123,C1142)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SUMIFS(RAB!$F$14:$F$123,RAB!$C$14:$C$123,C1143)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SUMIFS(RAB!$F$14:$F$123,RAB!$C$14:$C$123,C1144)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SUMIFS(RAB!$F$14:$F$123,RAB!$C$14:$C$123,C1145)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SUMIFS(RAB!$F$14:$F$123,RAB!$C$14:$C$123,C1146)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SUMIFS(RAB!$F$14:$F$123,RAB!$C$14:$C$123,C1147)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SUMIFS(RAB!$F$14:$F$123,RAB!$C$14:$C$123,C1148)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SUMIFS(RAB!$F$14:$F$123,RAB!$C$14:$C$123,C1149)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SUMIFS(RAB!$F$14:$F$123,RAB!$C$14:$C$123,C1150)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SUMIFS(RAB!$F$14:$F$123,RAB!$C$14:$C$123,C1151)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SUMIFS(RAB!$F$14:$F$123,RAB!$C$14:$C$123,C1152)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SUMIFS(RAB!$F$14:$F$123,RAB!$C$14:$C$123,C1153)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SUMIFS(RAB!$F$14:$F$123,RAB!$C$14:$C$123,C1154)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SUMIFS(RAB!$F$14:$F$123,RAB!$C$14:$C$123,C1155)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SUMIFS(RAB!$F$14:$F$123,RAB!$C$14:$C$123,C1156)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SUMIFS(RAB!$F$14:$F$123,RAB!$C$14:$C$123,C1157)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SUMIFS(RAB!$F$14:$F$123,RAB!$C$14:$C$123,C1158)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SUMIFS(RAB!$F$14:$F$123,RAB!$C$14:$C$123,C1159)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SUMIFS(RAB!$F$14:$F$123,RAB!$C$14:$C$123,C1160)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SUMIFS(RAB!$F$14:$F$123,RAB!$C$14:$C$123,C1161)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SUMIFS(RAB!$F$14:$F$123,RAB!$C$14:$C$123,C1162)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SUMIFS(RAB!$F$14:$F$123,RAB!$C$14:$C$123,C1163)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SUMIFS(RAB!$F$14:$F$123,RAB!$C$14:$C$123,C1164)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SUMIFS(RAB!$F$14:$F$123,RAB!$C$14:$C$123,C1165)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SUMIFS(RAB!$F$14:$F$123,RAB!$C$14:$C$123,C1166)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SUMIFS(RAB!$F$14:$F$123,RAB!$C$14:$C$123,C1167)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SUMIFS(RAB!$F$14:$F$123,RAB!$C$14:$C$123,C1168)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SUMIFS(RAB!$F$14:$F$123,RAB!$C$14:$C$123,C1169)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SUMIFS(RAB!$F$14:$F$123,RAB!$C$14:$C$123,C1170)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SUMIFS(RAB!$F$14:$F$123,RAB!$C$14:$C$123,C1171)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SUMIFS(RAB!$F$14:$F$123,RAB!$C$14:$C$123,C1172)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SUMIFS(RAB!$F$14:$F$123,RAB!$C$14:$C$123,C1173)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SUMIFS(RAB!$F$14:$F$123,RAB!$C$14:$C$123,C1174)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SUMIFS(RAB!$F$14:$F$123,RAB!$C$14:$C$123,C1175)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SUMIFS(RAB!$F$14:$F$123,RAB!$C$14:$C$123,C1176)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SUMIFS(RAB!$F$14:$F$123,RAB!$C$14:$C$123,C1177)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SUMIFS(RAB!$F$14:$F$123,RAB!$C$14:$C$123,C1178)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SUMIFS(RAB!$F$14:$F$123,RAB!$C$14:$C$123,C1179)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SUMIFS(RAB!$F$14:$F$123,RAB!$C$14:$C$123,C1180)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SUMIFS(RAB!$F$14:$F$123,RAB!$C$14:$C$123,C1181)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SUMIFS(RAB!$F$14:$F$123,RAB!$C$14:$C$123,C1182)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SUMIFS(RAB!$F$14:$F$123,RAB!$C$14:$C$123,C1183)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SUMIFS(RAB!$F$14:$F$123,RAB!$C$14:$C$123,C1184)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SUMIFS(RAB!$F$14:$F$123,RAB!$C$14:$C$123,C1185)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SUMIFS(RAB!$F$14:$F$123,RAB!$C$14:$C$123,C1186)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SUMIFS(RAB!$F$14:$F$123,RAB!$C$14:$C$123,C1187)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SUMIFS(RAB!$F$14:$F$123,RAB!$C$14:$C$123,C1188)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SUMIFS(RAB!$F$14:$F$123,RAB!$C$14:$C$123,C1189)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SUMIFS(RAB!$F$14:$F$123,RAB!$C$14:$C$123,C1190)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SUMIFS(RAB!$F$14:$F$123,RAB!$C$14:$C$123,C1191)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SUMIFS(RAB!$F$14:$F$123,RAB!$C$14:$C$123,C1192)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SUMIFS(RAB!$F$14:$F$123,RAB!$C$14:$C$123,C1193)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SUMIFS(RAB!$F$14:$F$123,RAB!$C$14:$C$123,C1194)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SUMIFS(RAB!$F$14:$F$123,RAB!$C$14:$C$123,C1195)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SUMIFS(RAB!$F$14:$F$123,RAB!$C$14:$C$123,C1196)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SUMIFS(RAB!$F$14:$F$123,RAB!$C$14:$C$123,C1197)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SUMIFS(RAB!$F$14:$F$123,RAB!$C$14:$C$123,C1198)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SUMIFS(RAB!$F$14:$F$123,RAB!$C$14:$C$123,C1199)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SUMIFS(RAB!$F$14:$F$123,RAB!$C$14:$C$123,C1200)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SUMIFS(RAB!$F$14:$F$123,RAB!$C$14:$C$123,C1201)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SUMIFS(RAB!$F$14:$F$123,RAB!$C$14:$C$123,C1202)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SUMIFS(RAB!$F$14:$F$123,RAB!$C$14:$C$123,C1203)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SUMIFS(RAB!$F$14:$F$123,RAB!$C$14:$C$123,C1204)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SUMIFS(RAB!$F$14:$F$123,RAB!$C$14:$C$123,C1205)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SUMIFS(RAB!$F$14:$F$123,RAB!$C$14:$C$123,C1206)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SUMIFS(RAB!$F$14:$F$123,RAB!$C$14:$C$123,C1207)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SUMIFS(RAB!$F$14:$F$123,RAB!$C$14:$C$123,C1208)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SUMIFS(RAB!$F$14:$F$123,RAB!$C$14:$C$123,C1209)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SUMIFS(RAB!$F$14:$F$123,RAB!$C$14:$C$123,C1210)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SUMIFS(RAB!$F$14:$F$123,RAB!$C$14:$C$123,C1211)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SUMIFS(RAB!$F$14:$F$123,RAB!$C$14:$C$123,C1212)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SUMIFS(RAB!$F$14:$F$123,RAB!$C$14:$C$123,C1213)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SUMIFS(RAB!$F$14:$F$123,RAB!$C$14:$C$123,C1214)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SUMIFS(RAB!$F$14:$F$123,RAB!$C$14:$C$123,C1215)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SUMIFS(RAB!$F$14:$F$123,RAB!$C$14:$C$123,C1216)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SUMIFS(RAB!$F$14:$F$123,RAB!$C$14:$C$123,C1217)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SUMIFS(RAB!$F$14:$F$123,RAB!$C$14:$C$123,C1218)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SUMIFS(RAB!$F$14:$F$123,RAB!$C$14:$C$123,C1219)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SUMIFS(RAB!$F$14:$F$123,RAB!$C$14:$C$123,C1220)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SUMIFS(RAB!$F$14:$F$123,RAB!$C$14:$C$123,C1221)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SUMIFS(RAB!$F$14:$F$123,RAB!$C$14:$C$123,C1222)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SUMIFS(RAB!$F$14:$F$123,RAB!$C$14:$C$123,C1223)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SUMIFS(RAB!$F$14:$F$123,RAB!$C$14:$C$123,C1224)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SUMIFS(RAB!$F$14:$F$123,RAB!$C$14:$C$123,C1225)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SUMIFS(RAB!$F$14:$F$123,RAB!$C$14:$C$123,C1226)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SUMIFS(RAB!$F$14:$F$123,RAB!$C$14:$C$123,C1227)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SUMIFS(RAB!$F$14:$F$123,RAB!$C$14:$C$123,C1228)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SUMIFS(RAB!$F$14:$F$123,RAB!$C$14:$C$123,C1229)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SUMIFS(RAB!$F$14:$F$123,RAB!$C$14:$C$123,C1230)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SUMIFS(RAB!$F$14:$F$123,RAB!$C$14:$C$123,C1231)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SUMIFS(RAB!$F$14:$F$123,RAB!$C$14:$C$123,C1232)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SUMIFS(RAB!$F$14:$F$123,RAB!$C$14:$C$123,C1233)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SUMIFS(RAB!$F$14:$F$123,RAB!$C$14:$C$123,C1234)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SUMIFS(RAB!$F$14:$F$123,RAB!$C$14:$C$123,C1235)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SUMIFS(RAB!$F$14:$F$123,RAB!$C$14:$C$123,C1236)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SUMIFS(RAB!$F$14:$F$123,RAB!$C$14:$C$123,C1237)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SUMIFS(RAB!$F$14:$F$123,RAB!$C$14:$C$123,C1238)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SUMIFS(RAB!$F$14:$F$123,RAB!$C$14:$C$123,C1239)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SUMIFS(RAB!$F$14:$F$123,RAB!$C$14:$C$123,C1240)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SUMIFS(RAB!$F$14:$F$123,RAB!$C$14:$C$123,C1241)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SUMIFS(RAB!$F$14:$F$123,RAB!$C$14:$C$123,C1242)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SUMIFS(RAB!$F$14:$F$123,RAB!$C$14:$C$123,C1243)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SUMIFS(RAB!$F$14:$F$123,RAB!$C$14:$C$123,C1244)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SUMIFS(RAB!$F$14:$F$123,RAB!$C$14:$C$123,C1245)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SUMIFS(RAB!$F$14:$F$123,RAB!$C$14:$C$123,C1246)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SUMIFS(RAB!$F$14:$F$123,RAB!$C$14:$C$123,C1247)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SUMIFS(RAB!$F$14:$F$123,RAB!$C$14:$C$123,C1248)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SUMIFS(RAB!$F$14:$F$123,RAB!$C$14:$C$123,C1249)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SUMIFS(RAB!$F$14:$F$123,RAB!$C$14:$C$123,C1250)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SUMIFS(RAB!$F$14:$F$123,RAB!$C$14:$C$123,C1251)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SUMIFS(RAB!$F$14:$F$123,RAB!$C$14:$C$123,C1252)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SUMIFS(RAB!$F$14:$F$123,RAB!$C$14:$C$123,C1253)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SUMIFS(RAB!$F$14:$F$123,RAB!$C$14:$C$123,C1254)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SUMIFS(RAB!$F$14:$F$123,RAB!$C$14:$C$123,C1255)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SUMIFS(RAB!$F$14:$F$123,RAB!$C$14:$C$123,C1256)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SUMIFS(RAB!$F$14:$F$123,RAB!$C$14:$C$123,C1257)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SUMIFS(RAB!$F$14:$F$123,RAB!$C$14:$C$123,C1258)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SUMIFS(RAB!$F$14:$F$123,RAB!$C$14:$C$123,C1259)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SUMIFS(RAB!$F$14:$F$123,RAB!$C$14:$C$123,C1260)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SUMIFS(RAB!$F$14:$F$123,RAB!$C$14:$C$123,C1261)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SUMIFS(RAB!$F$14:$F$123,RAB!$C$14:$C$123,C1262)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SUMIFS(RAB!$F$14:$F$123,RAB!$C$14:$C$123,C1263)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SUMIFS(RAB!$F$14:$F$123,RAB!$C$14:$C$123,C1264)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SUMIFS(RAB!$F$14:$F$123,RAB!$C$14:$C$123,C1265)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SUMIFS(RAB!$F$14:$F$123,RAB!$C$14:$C$123,C1266)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SUMIFS(RAB!$F$14:$F$123,RAB!$C$14:$C$123,C1267)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SUMIFS(RAB!$F$14:$F$123,RAB!$C$14:$C$123,C1268)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SUMIFS(RAB!$F$14:$F$123,RAB!$C$14:$C$123,C1269)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SUMIFS(RAB!$F$14:$F$123,RAB!$C$14:$C$123,C1270)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SUMIFS(RAB!$F$14:$F$123,RAB!$C$14:$C$123,C1271)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SUMIFS(RAB!$F$14:$F$123,RAB!$C$14:$C$123,C1272)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SUMIFS(RAB!$F$14:$F$123,RAB!$C$14:$C$123,C1273)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SUMIFS(RAB!$F$14:$F$123,RAB!$C$14:$C$123,C1274)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SUMIFS(RAB!$F$14:$F$123,RAB!$C$14:$C$123,C1275)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SUMIFS(RAB!$F$14:$F$123,RAB!$C$14:$C$123,C1276)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SUMIFS(RAB!$F$14:$F$123,RAB!$C$14:$C$123,C1277)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SUMIFS(RAB!$F$14:$F$123,RAB!$C$14:$C$123,C1278)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SUMIFS(RAB!$F$14:$F$123,RAB!$C$14:$C$123,C1279)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SUMIFS(RAB!$F$14:$F$123,RAB!$C$14:$C$123,C1280)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SUMIFS(RAB!$F$14:$F$123,RAB!$C$14:$C$123,C1281)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SUMIFS(RAB!$F$14:$F$123,RAB!$C$14:$C$123,C1282)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SUMIFS(RAB!$F$14:$F$123,RAB!$C$14:$C$123,C1283)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SUMIFS(RAB!$F$14:$F$123,RAB!$C$14:$C$123,C1284)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SUMIFS(RAB!$F$14:$F$123,RAB!$C$14:$C$123,C1285)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SUMIFS(RAB!$F$14:$F$123,RAB!$C$14:$C$123,C1286)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SUMIFS(RAB!$F$14:$F$123,RAB!$C$14:$C$123,C1287)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SUMIFS(RAB!$F$14:$F$123,RAB!$C$14:$C$123,C1288)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SUMIFS(RAB!$F$14:$F$123,RAB!$C$14:$C$123,C1289)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SUMIFS(RAB!$F$14:$F$123,RAB!$C$14:$C$123,C1290)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SUMIFS(RAB!$F$14:$F$123,RAB!$C$14:$C$123,C1291)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SUMIFS(RAB!$F$14:$F$123,RAB!$C$14:$C$123,C1292)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SUMIFS(RAB!$F$14:$F$123,RAB!$C$14:$C$123,C1293)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SUMIFS(RAB!$F$14:$F$123,RAB!$C$14:$C$123,C1294)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SUMIFS(RAB!$F$14:$F$123,RAB!$C$14:$C$123,C1295)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SUMIFS(RAB!$F$14:$F$123,RAB!$C$14:$C$123,C1296)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SUMIFS(RAB!$F$14:$F$123,RAB!$C$14:$C$123,C1297)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SUMIFS(RAB!$F$14:$F$123,RAB!$C$14:$C$123,C1298)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SUMIFS(RAB!$F$14:$F$123,RAB!$C$14:$C$123,C1299)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SUMIFS(RAB!$F$14:$F$123,RAB!$C$14:$C$123,C1300)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SUMIFS(RAB!$F$14:$F$123,RAB!$C$14:$C$123,C1301)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SUMIFS(RAB!$F$14:$F$123,RAB!$C$14:$C$123,C1302)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SUMIFS(RAB!$F$14:$F$123,RAB!$C$14:$C$123,C1303)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SUMIFS(RAB!$F$14:$F$123,RAB!$C$14:$C$123,C1304)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SUMIFS(RAB!$F$14:$F$123,RAB!$C$14:$C$123,C1305)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SUMIFS(RAB!$F$14:$F$123,RAB!$C$14:$C$123,C1306)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SUMIFS(RAB!$F$14:$F$123,RAB!$C$14:$C$123,C1307)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SUMIFS(RAB!$F$14:$F$123,RAB!$C$14:$C$123,C1308)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SUMIFS(RAB!$F$14:$F$123,RAB!$C$14:$C$123,C1309)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SUMIFS(RAB!$F$14:$F$123,RAB!$C$14:$C$123,C1310)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SUMIFS(RAB!$F$14:$F$123,RAB!$C$14:$C$123,C1311)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SUMIFS(RAB!$F$14:$F$123,RAB!$C$14:$C$123,C1312)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SUMIFS(RAB!$F$14:$F$123,RAB!$C$14:$C$123,C1313)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SUMIFS(RAB!$F$14:$F$123,RAB!$C$14:$C$123,C1314)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SUMIFS(RAB!$F$14:$F$123,RAB!$C$14:$C$123,C1315)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SUMIFS(RAB!$F$14:$F$123,RAB!$C$14:$C$123,C1316)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SUMIFS(RAB!$F$14:$F$123,RAB!$C$14:$C$123,C1317)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SUMIFS(RAB!$F$14:$F$123,RAB!$C$14:$C$123,C1318)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SUMIFS(RAB!$F$14:$F$123,RAB!$C$14:$C$123,C1319)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SUMIFS(RAB!$F$14:$F$123,RAB!$C$14:$C$123,C1320)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5" priority="5" operator="equal">
      <formula>0</formula>
    </cfRule>
  </conditionalFormatting>
  <conditionalFormatting sqref="A10:L65536">
    <cfRule type="cellIs" dxfId="54" priority="1" operator="equal">
      <formula>0</formula>
    </cfRule>
  </conditionalFormatting>
  <conditionalFormatting sqref="C12:C711">
    <cfRule type="cellIs" dxfId="53" priority="66" stopIfTrue="1" operator="equal">
      <formula>0</formula>
    </cfRule>
  </conditionalFormatting>
  <conditionalFormatting sqref="E712:E65536">
    <cfRule type="cellIs" dxfId="52" priority="16" stopIfTrue="1" operator="equal">
      <formula>0</formula>
    </cfRule>
  </conditionalFormatting>
  <conditionalFormatting sqref="G1:G11 E6:E11 E1:E3 H7 H10:H11 F10:F711 G712:G65536">
    <cfRule type="cellIs" dxfId="51" priority="69" stopIfTrue="1" operator="equal">
      <formula>0</formula>
    </cfRule>
  </conditionalFormatting>
  <conditionalFormatting sqref="G12:H711">
    <cfRule type="cellIs" dxfId="50" priority="12" stopIfTrue="1" operator="equal">
      <formula>0</formula>
    </cfRule>
  </conditionalFormatting>
  <conditionalFormatting sqref="I7:K7">
    <cfRule type="cellIs" dxfId="49" priority="4" stopIfTrue="1" operator="equal">
      <formula>0</formula>
    </cfRule>
  </conditionalFormatting>
  <conditionalFormatting sqref="I10:L711">
    <cfRule type="cellIs" dxfId="48" priority="2" stopIfTrue="1" operator="equal">
      <formula>0</formula>
    </cfRule>
  </conditionalFormatting>
  <conditionalFormatting sqref="L1:L6">
    <cfRule type="cellIs" dxfId="47" priority="10" operator="equal">
      <formula>0</formula>
    </cfRule>
  </conditionalFormatting>
  <conditionalFormatting sqref="M1:IV1048576 A8:G9">
    <cfRule type="cellIs" dxfId="4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4" t="s">
        <v>1127</v>
      </c>
      <c r="C4" s="534"/>
      <c r="D4" s="534"/>
      <c r="E4" s="534"/>
      <c r="F4" s="534"/>
      <c r="G4" s="534"/>
      <c r="H4" s="534"/>
      <c r="I4" s="534"/>
      <c r="J4" s="534"/>
      <c r="K4" s="53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8" t="str">
        <f>RAB!G6</f>
        <v>RUMAH POMPA KALISARI</v>
      </c>
      <c r="H6" s="558"/>
      <c r="I6" s="558"/>
      <c r="J6" s="558"/>
      <c r="K6" s="55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KALISARI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5" t="s">
        <v>0</v>
      </c>
      <c r="C11" s="537" t="s">
        <v>1</v>
      </c>
      <c r="D11" s="540" t="s">
        <v>42</v>
      </c>
      <c r="E11" s="540" t="s">
        <v>43</v>
      </c>
      <c r="F11" s="540" t="s">
        <v>2</v>
      </c>
      <c r="G11" s="542" t="s">
        <v>41</v>
      </c>
      <c r="H11" s="540" t="s">
        <v>3</v>
      </c>
      <c r="I11" s="540"/>
      <c r="J11" s="540"/>
      <c r="K11" s="545"/>
      <c r="M11" s="33"/>
      <c r="N11" s="33"/>
      <c r="O11" s="33"/>
      <c r="P11" s="33"/>
      <c r="R11" s="34"/>
      <c r="S11" s="74"/>
      <c r="T11" s="74"/>
    </row>
    <row r="12" spans="1:21" ht="15" customHeight="1">
      <c r="B12" s="536"/>
      <c r="C12" s="538"/>
      <c r="D12" s="541"/>
      <c r="E12" s="541"/>
      <c r="F12" s="541"/>
      <c r="G12" s="543"/>
      <c r="H12" s="549" t="s">
        <v>46</v>
      </c>
      <c r="I12" s="549" t="s">
        <v>5</v>
      </c>
      <c r="J12" s="541" t="s">
        <v>47</v>
      </c>
      <c r="K12" s="54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6"/>
      <c r="C13" s="539"/>
      <c r="D13" s="541"/>
      <c r="E13" s="541"/>
      <c r="F13" s="541"/>
      <c r="G13" s="544"/>
      <c r="H13" s="550"/>
      <c r="I13" s="550"/>
      <c r="J13" s="541"/>
      <c r="K13" s="54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11600000</v>
      </c>
      <c r="J16" s="42">
        <f t="shared" ca="1" si="3"/>
        <v>0</v>
      </c>
      <c r="K16" s="43">
        <f t="shared" ca="1" si="0"/>
        <v>11600000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9" t="s">
        <v>1008</v>
      </c>
      <c r="D38" s="559"/>
      <c r="E38" s="559"/>
      <c r="F38" s="559"/>
      <c r="G38" s="77" t="s">
        <v>9</v>
      </c>
      <c r="H38" s="55">
        <f ca="1">SUM(H14:H37)</f>
        <v>0</v>
      </c>
      <c r="I38" s="55">
        <f ca="1">SUM(I14:I37)</f>
        <v>11600000</v>
      </c>
      <c r="J38" s="55">
        <f ca="1">SUM(J14:J37)</f>
        <v>0</v>
      </c>
      <c r="K38" s="55">
        <f ca="1">SUM(K14:K37)</f>
        <v>11600000</v>
      </c>
      <c r="L38" s="44"/>
      <c r="R38" s="99"/>
      <c r="S38" s="99"/>
      <c r="T38" s="99"/>
    </row>
    <row r="39" spans="1:20" s="36" customFormat="1">
      <c r="A39" s="30"/>
      <c r="B39" s="56"/>
      <c r="C39" s="560" t="s">
        <v>462</v>
      </c>
      <c r="D39" s="560"/>
      <c r="E39" s="560"/>
      <c r="F39" s="560"/>
      <c r="G39" s="59" t="s">
        <v>9</v>
      </c>
      <c r="H39" s="60">
        <f ca="1">H38*0.1</f>
        <v>0</v>
      </c>
      <c r="I39" s="60">
        <f ca="1">I38*0.1</f>
        <v>1160000</v>
      </c>
      <c r="J39" s="60">
        <f ca="1">J38*0.1</f>
        <v>0</v>
      </c>
      <c r="K39" s="60">
        <f ca="1">K38*0.1</f>
        <v>1160000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1" t="s">
        <v>463</v>
      </c>
      <c r="D40" s="551"/>
      <c r="E40" s="551"/>
      <c r="F40" s="551"/>
      <c r="G40" s="61" t="s">
        <v>9</v>
      </c>
      <c r="H40" s="78">
        <f ca="1">SUM(H38:H39)</f>
        <v>0</v>
      </c>
      <c r="I40" s="78">
        <f ca="1">SUM(I38:I39)</f>
        <v>12760000</v>
      </c>
      <c r="J40" s="61">
        <f ca="1">SUM(J38:J39)</f>
        <v>0</v>
      </c>
      <c r="K40" s="61">
        <f ca="1">SUM(K38:K39)</f>
        <v>12760000</v>
      </c>
      <c r="L40" s="44"/>
      <c r="R40" s="99"/>
      <c r="S40" s="99"/>
      <c r="T40" s="99"/>
    </row>
    <row r="41" spans="1:20" s="36" customFormat="1">
      <c r="A41" s="30"/>
      <c r="B41" s="552" t="e">
        <f ca="1">"Terbilang : ( "&amp;L42&amp;" Rupiah )"</f>
        <v>#NAME?</v>
      </c>
      <c r="C41" s="553"/>
      <c r="D41" s="553"/>
      <c r="E41" s="553"/>
      <c r="F41" s="553"/>
      <c r="G41" s="553"/>
      <c r="H41" s="553"/>
      <c r="I41" s="553"/>
      <c r="J41" s="553"/>
      <c r="K41" s="554"/>
      <c r="L41" s="44"/>
      <c r="R41" s="58"/>
      <c r="S41" s="58"/>
      <c r="T41" s="58"/>
    </row>
    <row r="42" spans="1:20" s="36" customFormat="1">
      <c r="A42" s="30"/>
      <c r="B42" s="555"/>
      <c r="C42" s="556"/>
      <c r="D42" s="556"/>
      <c r="E42" s="556"/>
      <c r="F42" s="556"/>
      <c r="G42" s="556"/>
      <c r="H42" s="556"/>
      <c r="I42" s="556"/>
      <c r="J42" s="556"/>
      <c r="K42" s="557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6"/>
      <c r="I45" s="546"/>
      <c r="J45" s="547"/>
      <c r="K45" s="54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6"/>
      <c r="I46" s="546"/>
      <c r="J46" s="547"/>
      <c r="K46" s="54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6"/>
      <c r="I47" s="546"/>
      <c r="J47" s="547"/>
      <c r="K47" s="54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6"/>
      <c r="I52" s="546"/>
      <c r="J52" s="547"/>
      <c r="K52" s="54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SUMIFS(RAB!$F$14:$F$123,RAB!$C$14:$C$123,'REKAP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SUMIFS(RAB!$F$14:$F$123,RAB!$C$14:$C$123,'REKAP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SUMIFS(RAB!$F$14:$F$123,RAB!$C$14:$C$123,'REKAP TIANG'!C59)</f>
        <v>2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SUMIFS(RAB!$F$14:$F$123,RAB!$C$14:$C$123,'REKAP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SUMIFS(RAB!$F$14:$F$123,RAB!$C$14:$C$123,'REKAP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SUMIFS(RAB!$F$14:$F$123,RAB!$C$14:$C$123,'REKAP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SUMIFS(RAB!$F$14:$F$123,RAB!$C$14:$C$123,'REKAP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SUMIFS(RAB!$F$14:$F$123,RAB!$C$14:$C$123,'REKAP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SUMIFS(RAB!$F$14:$F$123,RAB!$C$14:$C$123,'REKAP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SUMIFS(RAB!$F$14:$F$123,RAB!$C$14:$C$123,'REKAP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SUMIFS(RAB!$F$14:$F$123,RAB!$C$14:$C$123,'REKAP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SUMIFS(RAB!$F$14:$F$123,RAB!$C$14:$C$123,'REKAP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SUMIFS(RAB!$F$14:$F$123,RAB!$C$14:$C$123,'REKAP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SUMIFS(RAB!$F$14:$F$123,RAB!$C$14:$C$123,'REKAP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SUMIFS(RAB!$F$14:$F$123,RAB!$C$14:$C$123,'REKAP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SUMIFS(RAB!$F$14:$F$123,RAB!$C$14:$C$123,'REKAP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SUMIFS(RAB!$F$14:$F$123,RAB!$C$14:$C$123,'REKAP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SUMIFS(RAB!$F$14:$F$123,RAB!$C$14:$C$123,'REKAP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SUMIFS(RAB!$F$14:$F$123,RAB!$C$14:$C$123,'REKAP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SUMIFS(RAB!$F$14:$F$123,RAB!$C$14:$C$123,'REKAP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4" t="s">
        <v>1034</v>
      </c>
      <c r="C4" s="534"/>
      <c r="D4" s="534"/>
      <c r="E4" s="534"/>
      <c r="F4" s="534"/>
      <c r="G4" s="534"/>
      <c r="H4" s="534"/>
      <c r="I4" s="534"/>
      <c r="J4" s="534"/>
      <c r="K4" s="53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8" t="str">
        <f>RAB!G6</f>
        <v>RUMAH POMPA KALISARI</v>
      </c>
      <c r="H6" s="558"/>
      <c r="I6" s="558"/>
      <c r="J6" s="558"/>
      <c r="K6" s="55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KALISARI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5" t="s">
        <v>0</v>
      </c>
      <c r="C11" s="537" t="s">
        <v>1</v>
      </c>
      <c r="D11" s="540" t="s">
        <v>42</v>
      </c>
      <c r="E11" s="540" t="s">
        <v>43</v>
      </c>
      <c r="F11" s="540" t="s">
        <v>2</v>
      </c>
      <c r="G11" s="542" t="s">
        <v>41</v>
      </c>
      <c r="H11" s="540" t="s">
        <v>3</v>
      </c>
      <c r="I11" s="540"/>
      <c r="J11" s="540"/>
      <c r="K11" s="545"/>
      <c r="M11" s="33"/>
      <c r="N11" s="33"/>
      <c r="O11" s="33"/>
      <c r="P11" s="33"/>
      <c r="R11" s="34"/>
      <c r="S11" s="74"/>
      <c r="T11" s="74"/>
    </row>
    <row r="12" spans="1:21" ht="15" customHeight="1">
      <c r="B12" s="536"/>
      <c r="C12" s="538"/>
      <c r="D12" s="541"/>
      <c r="E12" s="541"/>
      <c r="F12" s="541"/>
      <c r="G12" s="543"/>
      <c r="H12" s="549" t="s">
        <v>46</v>
      </c>
      <c r="I12" s="549" t="s">
        <v>5</v>
      </c>
      <c r="J12" s="541" t="s">
        <v>47</v>
      </c>
      <c r="K12" s="54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6"/>
      <c r="C13" s="539"/>
      <c r="D13" s="541"/>
      <c r="E13" s="541"/>
      <c r="F13" s="541"/>
      <c r="G13" s="544"/>
      <c r="H13" s="550"/>
      <c r="I13" s="550"/>
      <c r="J13" s="541"/>
      <c r="K13" s="54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Isolator Tarik ( Strainkap Porcelain ) 20 KV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Set</v>
      </c>
      <c r="F19" s="101">
        <f t="shared" ca="1" si="6"/>
        <v>2</v>
      </c>
      <c r="G19" s="41">
        <f ca="1">IF(ISERROR(OFFSET('HARGA SATUAN'!$I$6,MATCH(C19,'HARGA SATUAN'!$C$7:$C$1492,0),0)),"",OFFSET('HARGA SATUAN'!$I$6,MATCH(C19,'HARGA SATUAN'!$C$7:$C$1492,0),0))</f>
        <v>430000</v>
      </c>
      <c r="H19" s="42">
        <f t="shared" ca="1" si="1"/>
        <v>860000</v>
      </c>
      <c r="I19" s="42">
        <f t="shared" ca="1" si="2"/>
        <v>0</v>
      </c>
      <c r="J19" s="42">
        <f t="shared" ca="1" si="3"/>
        <v>0</v>
      </c>
      <c r="K19" s="43">
        <f t="shared" ca="1" si="0"/>
        <v>860000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AAAC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62</v>
      </c>
      <c r="G20" s="41">
        <f ca="1">IF(ISERROR(OFFSET('HARGA SATUAN'!$I$6,MATCH(C20,'HARGA SATUAN'!$C$7:$C$1492,0),0)),"",OFFSET('HARGA SATUAN'!$I$6,MATCH(C20,'HARGA SATUAN'!$C$7:$C$1492,0),0))</f>
        <v>14200</v>
      </c>
      <c r="H20" s="42">
        <f t="shared" ca="1" si="1"/>
        <v>880400</v>
      </c>
      <c r="I20" s="42">
        <f t="shared" ca="1" si="2"/>
        <v>0</v>
      </c>
      <c r="J20" s="42">
        <f t="shared" ca="1" si="3"/>
        <v>0</v>
      </c>
      <c r="K20" s="43">
        <f t="shared" ca="1" si="0"/>
        <v>880400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2 x 70 + N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2</v>
      </c>
      <c r="G21" s="41">
        <f ca="1">IF(ISERROR(OFFSET('HARGA SATUAN'!$I$6,MATCH(C21,'HARGA SATUAN'!$C$7:$C$1492,0),0)),"",OFFSET('HARGA SATUAN'!$I$6,MATCH(C21,'HARGA SATUAN'!$C$7:$C$1492,0),0))</f>
        <v>53300</v>
      </c>
      <c r="H21" s="42">
        <f t="shared" ca="1" si="1"/>
        <v>106600</v>
      </c>
      <c r="I21" s="42">
        <f t="shared" ca="1" si="2"/>
        <v>0</v>
      </c>
      <c r="J21" s="42">
        <f t="shared" ca="1" si="3"/>
        <v>0</v>
      </c>
      <c r="K21" s="43">
        <f t="shared" ca="1" si="0"/>
        <v>106600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 2 x 16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35</v>
      </c>
      <c r="G22" s="41">
        <f ca="1">IF(ISERROR(OFFSET('HARGA SATUAN'!$I$6,MATCH(C22,'HARGA SATUAN'!$C$7:$C$1492,0),0)),"",OFFSET('HARGA SATUAN'!$I$6,MATCH(C22,'HARGA SATUAN'!$C$7:$C$1492,0),0))</f>
        <v>6600</v>
      </c>
      <c r="H22" s="42">
        <f t="shared" ca="1" si="1"/>
        <v>231000</v>
      </c>
      <c r="I22" s="42">
        <f t="shared" ca="1" si="2"/>
        <v>0</v>
      </c>
      <c r="J22" s="42">
        <f t="shared" ca="1" si="3"/>
        <v>0</v>
      </c>
      <c r="K22" s="43">
        <f t="shared" ca="1" si="0"/>
        <v>231000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9" t="s">
        <v>1008</v>
      </c>
      <c r="D168" s="559"/>
      <c r="E168" s="559"/>
      <c r="F168" s="559"/>
      <c r="G168" s="77" t="s">
        <v>9</v>
      </c>
      <c r="H168" s="55">
        <f ca="1">SUM(H14:H167)</f>
        <v>31703150</v>
      </c>
      <c r="I168" s="55">
        <f ca="1">SUM(I14:I167)</f>
        <v>0</v>
      </c>
      <c r="J168" s="55">
        <f ca="1">SUM(J14:J167)</f>
        <v>0</v>
      </c>
      <c r="K168" s="55">
        <f ca="1">SUM(K14:K167)</f>
        <v>31703150</v>
      </c>
      <c r="L168" s="44"/>
      <c r="R168" s="99"/>
      <c r="S168" s="99"/>
      <c r="T168" s="99"/>
    </row>
    <row r="169" spans="1:20" s="36" customFormat="1">
      <c r="A169" s="30"/>
      <c r="B169" s="56"/>
      <c r="C169" s="560" t="s">
        <v>462</v>
      </c>
      <c r="D169" s="560"/>
      <c r="E169" s="560"/>
      <c r="F169" s="560"/>
      <c r="G169" s="59" t="s">
        <v>9</v>
      </c>
      <c r="H169" s="60">
        <f ca="1">H168*0.1</f>
        <v>3170315</v>
      </c>
      <c r="I169" s="60">
        <f ca="1">I168*0.1</f>
        <v>0</v>
      </c>
      <c r="J169" s="60">
        <f ca="1">J168*0.1</f>
        <v>0</v>
      </c>
      <c r="K169" s="60">
        <f ca="1">K168*0.1</f>
        <v>3170315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1" t="s">
        <v>463</v>
      </c>
      <c r="D170" s="551"/>
      <c r="E170" s="551"/>
      <c r="F170" s="551"/>
      <c r="G170" s="61" t="s">
        <v>9</v>
      </c>
      <c r="H170" s="78">
        <f ca="1">SUM(H168:H169)</f>
        <v>34873465</v>
      </c>
      <c r="I170" s="78">
        <f ca="1">SUM(I168:I169)</f>
        <v>0</v>
      </c>
      <c r="J170" s="61">
        <f ca="1">SUM(J168:J169)</f>
        <v>0</v>
      </c>
      <c r="K170" s="61">
        <f ca="1">SUM(K168:K169)</f>
        <v>34873465</v>
      </c>
      <c r="L170" s="44"/>
      <c r="R170" s="99"/>
      <c r="S170" s="99"/>
      <c r="T170" s="99"/>
    </row>
    <row r="171" spans="1:20" s="36" customFormat="1">
      <c r="A171" s="30"/>
      <c r="B171" s="552" t="e">
        <f ca="1">"Terbilang : ( "&amp;L172&amp;" Rupiah )"</f>
        <v>#NAME?</v>
      </c>
      <c r="C171" s="553"/>
      <c r="D171" s="553"/>
      <c r="E171" s="553"/>
      <c r="F171" s="553"/>
      <c r="G171" s="553"/>
      <c r="H171" s="553"/>
      <c r="I171" s="553"/>
      <c r="J171" s="553"/>
      <c r="K171" s="554"/>
      <c r="L171" s="44"/>
      <c r="R171" s="58"/>
      <c r="S171" s="58"/>
      <c r="T171" s="58"/>
    </row>
    <row r="172" spans="1:20" s="36" customFormat="1">
      <c r="A172" s="30"/>
      <c r="B172" s="555"/>
      <c r="C172" s="556"/>
      <c r="D172" s="556"/>
      <c r="E172" s="556"/>
      <c r="F172" s="556"/>
      <c r="G172" s="556"/>
      <c r="H172" s="556"/>
      <c r="I172" s="556"/>
      <c r="J172" s="556"/>
      <c r="K172" s="557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6"/>
      <c r="I175" s="546"/>
      <c r="J175" s="547"/>
      <c r="K175" s="54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6"/>
      <c r="I176" s="546"/>
      <c r="J176" s="547"/>
      <c r="K176" s="54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6"/>
      <c r="I177" s="546"/>
      <c r="J177" s="547"/>
      <c r="K177" s="54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6"/>
      <c r="I182" s="546"/>
      <c r="J182" s="547"/>
      <c r="K182" s="54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SUMIFS(RAB!$F$14:$F$123,RAB!$C$14:$C$123,C224)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SUMIFS(RAB!$F$14:$F$123,RAB!$C$14:$C$123,C225)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SUMIFS(RAB!$F$14:$F$123,RAB!$C$14:$C$123,C226)</f>
        <v>1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SUMIFS(RAB!$F$14:$F$123,RAB!$C$14:$C$123,C227)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SUMIFS(RAB!$F$14:$F$123,RAB!$C$14:$C$123,C228)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SUMIFS(RAB!$F$14:$F$123,RAB!$C$14:$C$123,C229)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SUMIFS(RAB!$F$14:$F$123,RAB!$C$14:$C$123,C230)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SUMIFS(RAB!$F$14:$F$123,RAB!$C$14:$C$123,C231)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SUMIFS(RAB!$F$14:$F$123,RAB!$C$14:$C$123,C232)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SUMIFS(RAB!$F$14:$F$123,RAB!$C$14:$C$123,C233)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SUMIFS(RAB!$F$14:$F$123,RAB!$C$14:$C$123,C234)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SUMIFS(RAB!$F$14:$F$123,RAB!$C$14:$C$123,C235)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SUMIFS(RAB!$F$14:$F$123,RAB!$C$14:$C$123,C236)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SUMIFS(RAB!$F$14:$F$123,RAB!$C$14:$C$123,C237)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SUMIFS(RAB!$F$14:$F$123,RAB!$C$14:$C$123,C238)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SUMIFS(RAB!$F$14:$F$123,RAB!$C$14:$C$123,C239)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SUMIFS(RAB!$F$14:$F$123,RAB!$C$14:$C$123,C240)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SUMIFS(RAB!$F$14:$F$123,RAB!$C$14:$C$123,C241)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SUMIFS(RAB!$F$14:$F$123,RAB!$C$14:$C$123,C242)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SUMIFS(RAB!$F$14:$F$123,RAB!$C$14:$C$123,C243)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SUMIFS(RAB!$F$14:$F$123,RAB!$C$14:$C$123,C244)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SUMIFS(RAB!$F$14:$F$123,RAB!$C$14:$C$123,C245)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SUMIFS(RAB!$F$14:$F$123,RAB!$C$14:$C$123,C246)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SUMIFS(RAB!$F$14:$F$123,RAB!$C$14:$C$123,C247)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SUMIFS(RAB!$F$14:$F$123,RAB!$C$14:$C$123,C248)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SUMIFS(RAB!$F$14:$F$123,RAB!$C$14:$C$123,C249)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SUMIFS(RAB!$F$14:$F$123,RAB!$C$14:$C$123,C250)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SUMIFS(RAB!$F$14:$F$123,RAB!$C$14:$C$123,C251)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SUMIFS(RAB!$F$14:$F$123,RAB!$C$14:$C$123,C252)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SUMIFS(RAB!$F$14:$F$123,RAB!$C$14:$C$123,C253)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SUMIFS(RAB!$F$14:$F$123,RAB!$C$14:$C$123,C254)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SUMIFS(RAB!$F$14:$F$123,RAB!$C$14:$C$123,C255)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SUMIFS(RAB!$F$14:$F$123,RAB!$C$14:$C$123,C256)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SUMIFS(RAB!$F$14:$F$123,RAB!$C$14:$C$123,C257)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SUMIFS(RAB!$F$14:$F$123,RAB!$C$14:$C$123,C258)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SUMIFS(RAB!$F$14:$F$123,RAB!$C$14:$C$123,C259)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SUMIFS(RAB!$F$14:$F$123,RAB!$C$14:$C$123,C260)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SUMIFS(RAB!$F$14:$F$123,RAB!$C$14:$C$123,C261)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SUMIFS(RAB!$F$14:$F$123,RAB!$C$14:$C$123,C262)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SUMIFS(RAB!$F$14:$F$123,RAB!$C$14:$C$123,C263)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SUMIFS(RAB!$F$14:$F$123,RAB!$C$14:$C$123,C264)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SUMIFS(RAB!$F$14:$F$123,RAB!$C$14:$C$123,C265)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SUMIFS(RAB!$F$14:$F$123,RAB!$C$14:$C$123,C266)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SUMIFS(RAB!$F$14:$F$123,RAB!$C$14:$C$123,C267)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SUMIFS(RAB!$F$14:$F$123,RAB!$C$14:$C$123,C268)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SUMIFS(RAB!$F$14:$F$123,RAB!$C$14:$C$123,C269)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SUMIFS(RAB!$F$14:$F$123,RAB!$C$14:$C$123,C270)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SUMIFS(RAB!$F$14:$F$123,RAB!$C$14:$C$123,C271)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SUMIFS(RAB!$F$14:$F$123,RAB!$C$14:$C$123,C272)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SUMIFS(RAB!$F$14:$F$123,RAB!$C$14:$C$123,C273)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SUMIFS(RAB!$F$14:$F$123,RAB!$C$14:$C$123,C274)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SUMIFS(RAB!$F$14:$F$123,RAB!$C$14:$C$123,C275)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SUMIFS(RAB!$F$14:$F$123,RAB!$C$14:$C$123,C276)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SUMIFS(RAB!$F$14:$F$123,RAB!$C$14:$C$123,C277)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SUMIFS(RAB!$F$14:$F$123,RAB!$C$14:$C$123,C278)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SUMIFS(RAB!$F$14:$F$123,RAB!$C$14:$C$123,C279)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SUMIFS(RAB!$F$14:$F$123,RAB!$C$14:$C$123,C280)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SUMIFS(RAB!$F$14:$F$123,RAB!$C$14:$C$123,C281)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SUMIFS(RAB!$F$14:$F$123,RAB!$C$14:$C$123,C282)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SUMIFS(RAB!$F$14:$F$123,RAB!$C$14:$C$123,C283)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SUMIFS(RAB!$F$14:$F$123,RAB!$C$14:$C$123,C284)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SUMIFS(RAB!$F$14:$F$123,RAB!$C$14:$C$123,C285)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SUMIFS(RAB!$F$14:$F$123,RAB!$C$14:$C$123,C286)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SUMIFS(RAB!$F$14:$F$123,RAB!$C$14:$C$123,C287)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SUMIFS(RAB!$F$14:$F$123,RAB!$C$14:$C$123,C288)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SUMIFS(RAB!$F$14:$F$123,RAB!$C$14:$C$123,C289)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SUMIFS(RAB!$F$14:$F$123,RAB!$C$14:$C$123,C290)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SUMIFS(RAB!$F$14:$F$123,RAB!$C$14:$C$123,C291)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SUMIFS(RAB!$F$14:$F$123,RAB!$C$14:$C$123,C292)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SUMIFS(RAB!$F$14:$F$123,RAB!$C$14:$C$123,C293)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SUMIFS(RAB!$F$14:$F$123,RAB!$C$14:$C$123,C294)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SUMIFS(RAB!$F$14:$F$123,RAB!$C$14:$C$123,C295)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SUMIFS(RAB!$F$14:$F$123,RAB!$C$14:$C$123,C296)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SUMIFS(RAB!$F$14:$F$123,RAB!$C$14:$C$123,C297)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SUMIFS(RAB!$F$14:$F$123,RAB!$C$14:$C$123,C298)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SUMIFS(RAB!$F$14:$F$123,RAB!$C$14:$C$123,C299)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SUMIFS(RAB!$F$14:$F$123,RAB!$C$14:$C$123,C300)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SUMIFS(RAB!$F$14:$F$123,RAB!$C$14:$C$123,C301)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SUMIFS(RAB!$F$14:$F$123,RAB!$C$14:$C$123,C302)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SUMIFS(RAB!$F$14:$F$123,RAB!$C$14:$C$123,C303)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SUMIFS(RAB!$F$14:$F$123,RAB!$C$14:$C$123,C304)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SUMIFS(RAB!$F$14:$F$123,RAB!$C$14:$C$123,C305)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SUMIFS(RAB!$F$14:$F$123,RAB!$C$14:$C$123,C306)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SUMIFS(RAB!$F$14:$F$123,RAB!$C$14:$C$123,C307)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SUMIFS(RAB!$F$14:$F$123,RAB!$C$14:$C$123,C308)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SUMIFS(RAB!$F$14:$F$123,RAB!$C$14:$C$123,C309)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SUMIFS(RAB!$F$14:$F$123,RAB!$C$14:$C$123,C310)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SUMIFS(RAB!$F$14:$F$123,RAB!$C$14:$C$123,C311)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SUMIFS(RAB!$F$14:$F$123,RAB!$C$14:$C$123,C312)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SUMIFS(RAB!$F$14:$F$123,RAB!$C$14:$C$123,C313)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SUMIFS(RAB!$F$14:$F$123,RAB!$C$14:$C$123,C314)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SUMIFS(RAB!$F$14:$F$123,RAB!$C$14:$C$123,C315)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SUMIFS(RAB!$F$14:$F$123,RAB!$C$14:$C$123,C316)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SUMIFS(RAB!$F$14:$F$123,RAB!$C$14:$C$123,C317)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SUMIFS(RAB!$F$14:$F$123,RAB!$C$14:$C$123,C318)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SUMIFS(RAB!$F$14:$F$123,RAB!$C$14:$C$123,C319)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SUMIFS(RAB!$F$14:$F$123,RAB!$C$14:$C$123,C320)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SUMIFS(RAB!$F$14:$F$123,RAB!$C$14:$C$123,C321)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SUMIFS(RAB!$F$14:$F$123,RAB!$C$14:$C$123,C322)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SUMIFS(RAB!$F$14:$F$123,RAB!$C$14:$C$123,C323)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SUMIFS(RAB!$F$14:$F$123,RAB!$C$14:$C$123,C324)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SUMIFS(RAB!$F$14:$F$123,RAB!$C$14:$C$123,C325)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SUMIFS(RAB!$F$14:$F$123,RAB!$C$14:$C$123,C326)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SUMIFS(RAB!$F$14:$F$123,RAB!$C$14:$C$123,C327)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SUMIFS(RAB!$F$14:$F$123,RAB!$C$14:$C$123,C328)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SUMIFS(RAB!$F$14:$F$123,RAB!$C$14:$C$123,C329)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SUMIFS(RAB!$F$14:$F$123,RAB!$C$14:$C$123,C330)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SUMIFS(RAB!$F$14:$F$123,RAB!$C$14:$C$123,C331)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SUMIFS(RAB!$F$14:$F$123,RAB!$C$14:$C$123,C332)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SUMIFS(RAB!$F$14:$F$123,RAB!$C$14:$C$123,C333)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SUMIFS(RAB!$F$14:$F$123,RAB!$C$14:$C$123,C334)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SUMIFS(RAB!$F$14:$F$123,RAB!$C$14:$C$123,C335)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SUMIFS(RAB!$F$14:$F$123,RAB!$C$14:$C$123,C336)</f>
        <v>2</v>
      </c>
      <c r="E336" s="24">
        <f t="shared" ca="1" si="22"/>
        <v>1</v>
      </c>
      <c r="F336" s="24">
        <f ca="1">IF(D336=0,0,SUM($E$223:E336))</f>
        <v>4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SUMIFS(RAB!$F$14:$F$123,RAB!$C$14:$C$123,C337)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SUMIFS(RAB!$F$14:$F$123,RAB!$C$14:$C$123,C338)</f>
        <v>62</v>
      </c>
      <c r="E338" s="24">
        <f t="shared" ca="1" si="22"/>
        <v>1</v>
      </c>
      <c r="F338" s="24">
        <f ca="1">IF(D338=0,0,SUM($E$223:E338))</f>
        <v>5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SUMIFS(RAB!$F$14:$F$123,RAB!$C$14:$C$123,C339)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SUMIFS(RAB!$F$14:$F$123,RAB!$C$14:$C$123,C340)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SUMIFS(RAB!$F$14:$F$123,RAB!$C$14:$C$123,C341)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SUMIFS(RAB!$F$14:$F$123,RAB!$C$14:$C$123,C342)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SUMIFS(RAB!$F$14:$F$123,RAB!$C$14:$C$123,C343)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SUMIFS(RAB!$F$14:$F$123,RAB!$C$14:$C$123,C344)</f>
        <v>2</v>
      </c>
      <c r="E344" s="24">
        <f t="shared" ca="1" si="22"/>
        <v>1</v>
      </c>
      <c r="F344" s="24">
        <f ca="1">IF(D344=0,0,SUM($E$223:E344))</f>
        <v>6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SUMIFS(RAB!$F$14:$F$123,RAB!$C$14:$C$123,C345)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SUMIFS(RAB!$F$14:$F$123,RAB!$C$14:$C$123,C346)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SUMIFS(RAB!$F$14:$F$123,RAB!$C$14:$C$123,C347)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SUMIFS(RAB!$F$14:$F$123,RAB!$C$14:$C$123,C348)</f>
        <v>35</v>
      </c>
      <c r="E348" s="24">
        <f t="shared" ca="1" si="22"/>
        <v>1</v>
      </c>
      <c r="F348" s="24">
        <f ca="1">IF(D348=0,0,SUM($E$223:E348))</f>
        <v>7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SUMIFS(RAB!$F$14:$F$123,RAB!$C$14:$C$123,C349)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SUMIFS(RAB!$F$14:$F$123,RAB!$C$14:$C$123,C350)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SUMIFS(RAB!$F$14:$F$123,RAB!$C$14:$C$123,C351)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SUMIFS(RAB!$F$14:$F$123,RAB!$C$14:$C$123,C352)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SUMIFS(RAB!$F$14:$F$123,RAB!$C$14:$C$123,C353)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SUMIFS(RAB!$F$14:$F$123,RAB!$C$14:$C$123,C354)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SUMIFS(RAB!$F$14:$F$123,RAB!$C$14:$C$123,C355)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SUMIFS(RAB!$F$14:$F$123,RAB!$C$14:$C$123,C356)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SUMIFS(RAB!$F$14:$F$123,RAB!$C$14:$C$123,C357)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SUMIFS(RAB!$F$14:$F$123,RAB!$C$14:$C$123,C358)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SUMIFS(RAB!$F$14:$F$123,RAB!$C$14:$C$123,C359)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SUMIFS(RAB!$F$14:$F$123,RAB!$C$14:$C$123,C360)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SUMIFS(RAB!$F$14:$F$123,RAB!$C$14:$C$123,C361)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SUMIFS(RAB!$F$14:$F$123,RAB!$C$14:$C$123,C362)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SUMIFS(RAB!$F$14:$F$123,RAB!$C$14:$C$123,C363)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SUMIFS(RAB!$F$14:$F$123,RAB!$C$14:$C$123,C364)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SUMIFS(RAB!$F$14:$F$123,RAB!$C$14:$C$123,C365)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SUMIFS(RAB!$F$14:$F$123,RAB!$C$14:$C$123,C366)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SUMIFS(RAB!$F$14:$F$123,RAB!$C$14:$C$123,C367)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SUMIFS(RAB!$F$14:$F$123,RAB!$C$14:$C$123,C368)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SUMIFS(RAB!$F$14:$F$123,RAB!$C$14:$C$123,C369)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SUMIFS(RAB!$F$14:$F$123,RAB!$C$14:$C$123,C370)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SUMIFS(RAB!$F$14:$F$123,RAB!$C$14:$C$123,C371)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SUMIFS(RAB!$F$14:$F$123,RAB!$C$14:$C$123,C372)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SUMIFS(RAB!$F$14:$F$123,RAB!$C$14:$C$123,C373)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3" priority="5" operator="equal">
      <formula>0</formula>
    </cfRule>
  </conditionalFormatting>
  <conditionalFormatting sqref="C16:C165">
    <cfRule type="cellIs" dxfId="42" priority="4" stopIfTrue="1" operator="equal">
      <formula>0</formula>
    </cfRule>
  </conditionalFormatting>
  <conditionalFormatting sqref="C16:E165">
    <cfRule type="cellIs" dxfId="41" priority="1" operator="equal">
      <formula>0</formula>
    </cfRule>
  </conditionalFormatting>
  <conditionalFormatting sqref="D224:F373">
    <cfRule type="cellIs" dxfId="40" priority="8" operator="equal">
      <formula>0</formula>
    </cfRule>
  </conditionalFormatting>
  <conditionalFormatting sqref="E1:E3 G1:G115 E6:E15 H12:I12 N13 F14:F15 H14:K115 E166:K166 G166:G223 E167:F167 H167:K167">
    <cfRule type="cellIs" dxfId="39" priority="43" stopIfTrue="1" operator="equal">
      <formula>0</formula>
    </cfRule>
  </conditionalFormatting>
  <conditionalFormatting sqref="E171:E65536">
    <cfRule type="cellIs" dxfId="38" priority="9" stopIfTrue="1" operator="equal">
      <formula>0</formula>
    </cfRule>
  </conditionalFormatting>
  <conditionalFormatting sqref="G224">
    <cfRule type="cellIs" dxfId="37" priority="10" operator="equal">
      <formula>0</formula>
    </cfRule>
  </conditionalFormatting>
  <conditionalFormatting sqref="G225:G65536">
    <cfRule type="cellIs" dxfId="36" priority="14" stopIfTrue="1" operator="equal">
      <formula>0</formula>
    </cfRule>
  </conditionalFormatting>
  <conditionalFormatting sqref="R14:T166 G116:K165">
    <cfRule type="cellIs" dxfId="3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74" activePane="bottomRight" state="frozen"/>
      <selection activeCell="D209" sqref="D209"/>
      <selection pane="topRight" activeCell="D209" sqref="D209"/>
      <selection pane="bottomLeft" activeCell="D209" sqref="D209"/>
      <selection pane="bottomRight" activeCell="C277" sqref="C277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2" t="s">
        <v>41</v>
      </c>
      <c r="C2" s="562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3" t="s">
        <v>23</v>
      </c>
      <c r="C4" s="564" t="s">
        <v>1012</v>
      </c>
      <c r="D4" s="564" t="s">
        <v>42</v>
      </c>
      <c r="E4" s="563" t="s">
        <v>43</v>
      </c>
      <c r="F4" s="108" t="s">
        <v>1609</v>
      </c>
      <c r="G4" s="108" t="s">
        <v>1608</v>
      </c>
      <c r="H4" s="561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3"/>
      <c r="C5" s="564"/>
      <c r="D5" s="564"/>
      <c r="E5" s="563"/>
      <c r="F5" s="93"/>
      <c r="G5" s="93"/>
      <c r="H5" s="561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4" priority="138" operator="equal">
      <formula>0</formula>
    </cfRule>
  </conditionalFormatting>
  <conditionalFormatting sqref="B8:C135">
    <cfRule type="cellIs" dxfId="33" priority="51" operator="equal">
      <formula>0</formula>
    </cfRule>
  </conditionalFormatting>
  <conditionalFormatting sqref="B150:G1493">
    <cfRule type="cellIs" dxfId="32" priority="1" operator="equal">
      <formula>0</formula>
    </cfRule>
  </conditionalFormatting>
  <conditionalFormatting sqref="C143:G149">
    <cfRule type="cellIs" dxfId="31" priority="5" operator="equal">
      <formula>0</formula>
    </cfRule>
  </conditionalFormatting>
  <conditionalFormatting sqref="D9:G142">
    <cfRule type="cellIs" dxfId="30" priority="11" operator="equal">
      <formula>0</formula>
    </cfRule>
  </conditionalFormatting>
  <conditionalFormatting sqref="D1:IV5 A1:C7 D6:K6 H1455:IV1457 H1458:XFD1485 H1486:H1493 I1486:XFD1494 A1494:H1494 A1495:XFD65536">
    <cfRule type="cellIs" dxfId="29" priority="163" operator="equal">
      <formula>0</formula>
    </cfRule>
  </conditionalFormatting>
  <conditionalFormatting sqref="D7:IV8 C136:C142 B136:B149">
    <cfRule type="cellIs" dxfId="28" priority="62" operator="equal">
      <formula>0</formula>
    </cfRule>
  </conditionalFormatting>
  <conditionalFormatting sqref="H9:H1418">
    <cfRule type="cellIs" dxfId="27" priority="129" operator="equal">
      <formula>0</formula>
    </cfRule>
  </conditionalFormatting>
  <conditionalFormatting sqref="H1419:I1454">
    <cfRule type="cellIs" dxfId="26" priority="128" operator="equal">
      <formula>0</formula>
    </cfRule>
  </conditionalFormatting>
  <conditionalFormatting sqref="I108:I1418">
    <cfRule type="cellIs" dxfId="25" priority="125" operator="equal">
      <formula>0</formula>
    </cfRule>
  </conditionalFormatting>
  <conditionalFormatting sqref="J108:IV1454">
    <cfRule type="cellIs" dxfId="24" priority="139" operator="equal">
      <formula>0</formula>
    </cfRule>
  </conditionalFormatting>
  <conditionalFormatting sqref="M6:IV6">
    <cfRule type="cellIs" dxfId="23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6" t="s">
        <v>1454</v>
      </c>
      <c r="C2" s="596"/>
      <c r="D2" s="596"/>
      <c r="E2" s="596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601" t="s">
        <v>1532</v>
      </c>
      <c r="C4" s="602"/>
      <c r="D4" s="602"/>
      <c r="E4" s="603"/>
      <c r="F4" s="442"/>
      <c r="G4" s="442"/>
      <c r="H4" s="443"/>
      <c r="I4" s="565" t="s">
        <v>1533</v>
      </c>
      <c r="J4" s="566"/>
      <c r="K4" s="566"/>
      <c r="L4" s="567"/>
    </row>
    <row r="5" spans="1:12" ht="34.5" customHeight="1">
      <c r="A5" s="204"/>
      <c r="B5" s="445" t="s">
        <v>1379</v>
      </c>
      <c r="C5" s="277" t="s">
        <v>9</v>
      </c>
      <c r="D5" s="597" t="str">
        <f>DATA!D14</f>
        <v>RUMAH POMPA KALISARI</v>
      </c>
      <c r="E5" s="598"/>
      <c r="F5" s="208"/>
      <c r="G5" s="208"/>
      <c r="I5" s="446" t="s">
        <v>1379</v>
      </c>
      <c r="J5" s="277" t="s">
        <v>9</v>
      </c>
      <c r="K5" s="568" t="str">
        <f>D5</f>
        <v>RUMAH POMPA KALISARI</v>
      </c>
      <c r="L5" s="569"/>
    </row>
    <row r="6" spans="1:12" ht="31.5" customHeight="1">
      <c r="A6" s="204"/>
      <c r="B6" s="445" t="s">
        <v>1529</v>
      </c>
      <c r="C6" s="277" t="s">
        <v>9</v>
      </c>
      <c r="D6" s="606">
        <f>DATA!D17*1000</f>
        <v>0</v>
      </c>
      <c r="E6" s="607"/>
      <c r="F6" s="208"/>
      <c r="G6" s="208"/>
      <c r="I6" s="446" t="s">
        <v>1530</v>
      </c>
      <c r="J6" s="277" t="s">
        <v>9</v>
      </c>
      <c r="K6" s="570">
        <f>DATA!D20*1000</f>
        <v>11000</v>
      </c>
      <c r="L6" s="571"/>
    </row>
    <row r="7" spans="1:12" ht="30.75" customHeight="1">
      <c r="A7" s="204"/>
      <c r="B7" s="445" t="s">
        <v>1441</v>
      </c>
      <c r="C7" s="277" t="s">
        <v>9</v>
      </c>
      <c r="D7" s="604">
        <f>DATA!D18</f>
        <v>1</v>
      </c>
      <c r="E7" s="605"/>
      <c r="F7" s="444" t="s">
        <v>1453</v>
      </c>
      <c r="I7" s="446" t="s">
        <v>1441</v>
      </c>
      <c r="J7" s="277" t="s">
        <v>9</v>
      </c>
      <c r="K7" s="572">
        <f>DATA!D21</f>
        <v>1</v>
      </c>
      <c r="L7" s="573"/>
    </row>
    <row r="8" spans="1:12" ht="51" customHeight="1">
      <c r="A8" s="204"/>
      <c r="B8" s="445" t="s">
        <v>1442</v>
      </c>
      <c r="C8" s="277" t="s">
        <v>9</v>
      </c>
      <c r="D8" s="604">
        <f>DATA!D19</f>
        <v>220</v>
      </c>
      <c r="E8" s="605"/>
      <c r="F8" s="444" t="s">
        <v>1453</v>
      </c>
      <c r="G8" s="439">
        <v>220</v>
      </c>
      <c r="I8" s="446" t="s">
        <v>1442</v>
      </c>
      <c r="J8" s="277" t="s">
        <v>9</v>
      </c>
      <c r="K8" s="572">
        <f>DATA!D22</f>
        <v>220</v>
      </c>
      <c r="L8" s="573"/>
    </row>
    <row r="9" spans="1:12" ht="30" customHeight="1" thickBot="1">
      <c r="A9" s="204"/>
      <c r="B9" s="451" t="s">
        <v>1541</v>
      </c>
      <c r="C9" s="441" t="s">
        <v>9</v>
      </c>
      <c r="D9" s="599">
        <f>IF(D7=1,D6/(380/3^0.5),(D6/(380*3^0.5)))</f>
        <v>0</v>
      </c>
      <c r="E9" s="600"/>
      <c r="F9" s="207"/>
      <c r="G9" s="440">
        <v>380</v>
      </c>
      <c r="I9" s="452" t="s">
        <v>1541</v>
      </c>
      <c r="J9" s="441" t="s">
        <v>9</v>
      </c>
      <c r="K9" s="576">
        <f>IF(K7=1,K6/(380/3^0.5),(K6/(380*3^0.5)))</f>
        <v>50.138312850678027</v>
      </c>
      <c r="L9" s="577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608"/>
      <c r="E12" s="609"/>
      <c r="F12" s="208"/>
      <c r="G12" s="208"/>
      <c r="I12" s="468" t="s">
        <v>1534</v>
      </c>
      <c r="J12" s="469" t="s">
        <v>9</v>
      </c>
      <c r="K12" s="608"/>
      <c r="L12" s="609"/>
    </row>
    <row r="13" spans="1:12" ht="31.5" customHeight="1">
      <c r="A13" s="204"/>
      <c r="B13" s="476" t="s">
        <v>1380</v>
      </c>
      <c r="C13" s="456" t="s">
        <v>9</v>
      </c>
      <c r="D13" s="574"/>
      <c r="E13" s="575"/>
      <c r="F13" s="208"/>
      <c r="G13" s="208"/>
      <c r="I13" s="470" t="s">
        <v>1380</v>
      </c>
      <c r="J13" s="456" t="s">
        <v>9</v>
      </c>
      <c r="K13" s="574"/>
      <c r="L13" s="575"/>
    </row>
    <row r="14" spans="1:12" ht="30.75" customHeight="1">
      <c r="A14" s="204"/>
      <c r="B14" s="476" t="s">
        <v>1535</v>
      </c>
      <c r="C14" s="456" t="s">
        <v>9</v>
      </c>
      <c r="D14" s="578"/>
      <c r="E14" s="579"/>
      <c r="F14" s="444" t="s">
        <v>1453</v>
      </c>
      <c r="G14" s="448">
        <v>50</v>
      </c>
      <c r="I14" s="470" t="s">
        <v>1535</v>
      </c>
      <c r="J14" s="456" t="s">
        <v>9</v>
      </c>
      <c r="K14" s="580"/>
      <c r="L14" s="581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82">
        <v>0</v>
      </c>
      <c r="E16" s="583"/>
      <c r="F16" s="444"/>
      <c r="G16" s="448">
        <v>160</v>
      </c>
      <c r="I16" s="470" t="s">
        <v>1537</v>
      </c>
      <c r="J16" s="456" t="s">
        <v>9</v>
      </c>
      <c r="K16" s="586">
        <f>K9</f>
        <v>50.138312850678027</v>
      </c>
      <c r="L16" s="587"/>
    </row>
    <row r="17" spans="1:12" ht="34.5" customHeight="1">
      <c r="A17" s="204"/>
      <c r="B17" s="476" t="s">
        <v>1538</v>
      </c>
      <c r="C17" s="456" t="s">
        <v>9</v>
      </c>
      <c r="D17" s="584">
        <f>IF(D15=1,D14/(20/3^0.5),(D14/(20*3^0.5)))</f>
        <v>0</v>
      </c>
      <c r="E17" s="585"/>
      <c r="F17" s="444" t="s">
        <v>1453</v>
      </c>
      <c r="G17" s="449">
        <v>200</v>
      </c>
      <c r="I17" s="470" t="s">
        <v>1538</v>
      </c>
      <c r="J17" s="456" t="s">
        <v>9</v>
      </c>
      <c r="K17" s="590">
        <f>IF(K15=1,K14/(20/3^0.5),(K14/(20*3^0.5)))</f>
        <v>0</v>
      </c>
      <c r="L17" s="591"/>
    </row>
    <row r="18" spans="1:12" ht="34.5" customHeight="1">
      <c r="A18" s="204"/>
      <c r="B18" s="476" t="s">
        <v>1539</v>
      </c>
      <c r="C18" s="456" t="s">
        <v>9</v>
      </c>
      <c r="D18" s="584">
        <f>IF(D15=1,D14/(380/3^0.5),(D14/(380*3^0.5)))*1000</f>
        <v>0</v>
      </c>
      <c r="E18" s="585"/>
      <c r="F18" s="444" t="s">
        <v>1453</v>
      </c>
      <c r="G18" s="449">
        <v>250</v>
      </c>
      <c r="I18" s="470" t="s">
        <v>1539</v>
      </c>
      <c r="J18" s="456" t="s">
        <v>9</v>
      </c>
      <c r="K18" s="590">
        <f>IF(K15=1,K14/(380/3^0.5),(K14/(380*3^0.5)))*1000</f>
        <v>0</v>
      </c>
      <c r="L18" s="591"/>
    </row>
    <row r="19" spans="1:12" ht="30" customHeight="1">
      <c r="A19" s="204"/>
      <c r="B19" s="477" t="s">
        <v>1531</v>
      </c>
      <c r="C19" s="455" t="s">
        <v>9</v>
      </c>
      <c r="D19" s="584">
        <f>IF(D15=1,D14/(380/3^0.5),(D14/(380*3^0.5)))</f>
        <v>0</v>
      </c>
      <c r="E19" s="585"/>
      <c r="F19" s="207"/>
      <c r="G19" s="440"/>
      <c r="I19" s="472" t="s">
        <v>1531</v>
      </c>
      <c r="J19" s="455" t="s">
        <v>9</v>
      </c>
      <c r="K19" s="590">
        <f>IF(K15=1,K14/(380/3^0.5),(K14/(380*3^0.5)))</f>
        <v>0</v>
      </c>
      <c r="L19" s="591"/>
    </row>
    <row r="20" spans="1:12" ht="30" customHeight="1" thickBot="1">
      <c r="A20" s="204"/>
      <c r="B20" s="478" t="s">
        <v>1540</v>
      </c>
      <c r="C20" s="474" t="s">
        <v>9</v>
      </c>
      <c r="D20" s="610" t="e">
        <f>D16/D18</f>
        <v>#DIV/0!</v>
      </c>
      <c r="E20" s="611"/>
      <c r="F20" s="207"/>
      <c r="G20" s="440"/>
      <c r="I20" s="473" t="s">
        <v>1531</v>
      </c>
      <c r="J20" s="474" t="s">
        <v>9</v>
      </c>
      <c r="K20" s="588" t="e">
        <f>K16/K18</f>
        <v>#DIV/0!</v>
      </c>
      <c r="L20" s="589"/>
    </row>
    <row r="21" spans="1:12" ht="9.75" customHeight="1">
      <c r="A21" s="204"/>
      <c r="B21" s="463" t="s">
        <v>1540</v>
      </c>
      <c r="C21" s="464" t="s">
        <v>9</v>
      </c>
      <c r="D21" s="595">
        <v>1</v>
      </c>
      <c r="E21" s="595"/>
      <c r="F21" s="465"/>
      <c r="G21" s="466"/>
      <c r="H21" s="467"/>
      <c r="I21" s="463" t="s">
        <v>1531</v>
      </c>
      <c r="J21" s="464" t="s">
        <v>9</v>
      </c>
      <c r="K21" s="595">
        <v>1</v>
      </c>
      <c r="L21" s="595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92"/>
      <c r="C24" s="593"/>
      <c r="D24" s="593"/>
      <c r="E24" s="594"/>
      <c r="I24" s="592"/>
      <c r="J24" s="593"/>
      <c r="K24" s="593"/>
      <c r="L24" s="594"/>
    </row>
    <row r="26" spans="1:12">
      <c r="D26" s="458"/>
    </row>
    <row r="27" spans="1:12">
      <c r="D27" s="45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2" priority="5" stopIfTrue="1" operator="greaterThan">
      <formula>0.89</formula>
    </cfRule>
    <cfRule type="cellIs" dxfId="21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360" verticalDpi="36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Normal="100" workbookViewId="0">
      <selection activeCell="I17" sqref="I17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2"/>
      <c r="C1" s="612"/>
      <c r="D1" s="612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0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10659000</v>
      </c>
    </row>
    <row r="10" spans="2:11" ht="20.100000000000001" customHeight="1">
      <c r="B10" s="291" t="s">
        <v>1446</v>
      </c>
      <c r="C10" s="292" t="s">
        <v>9</v>
      </c>
      <c r="D10" s="298">
        <f ca="1">RAB!K129</f>
        <v>57299216.612000003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1145984.3322400001</v>
      </c>
    </row>
    <row r="12" spans="2:11" ht="9" customHeight="1">
      <c r="B12" s="613"/>
      <c r="C12" s="613"/>
      <c r="D12" s="613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1636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1637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11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N16" sqref="N1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20" t="s">
        <v>1357</v>
      </c>
      <c r="C3" s="620"/>
      <c r="D3" s="620"/>
      <c r="E3" s="620"/>
      <c r="F3" s="305" t="str">
        <f>DATA!D14</f>
        <v>RUMAH POMPA KALISARI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4" t="s">
        <v>1349</v>
      </c>
      <c r="C5" s="614" t="s">
        <v>1358</v>
      </c>
      <c r="D5" s="619" t="s">
        <v>1359</v>
      </c>
      <c r="E5" s="619" t="s">
        <v>1360</v>
      </c>
      <c r="F5" s="614" t="s">
        <v>1361</v>
      </c>
      <c r="G5" s="614"/>
      <c r="H5" s="614"/>
      <c r="I5" s="614"/>
      <c r="J5" s="614"/>
      <c r="K5" s="614" t="s">
        <v>1362</v>
      </c>
      <c r="L5" s="614"/>
      <c r="M5" s="307"/>
      <c r="N5" s="617" t="s">
        <v>1363</v>
      </c>
      <c r="O5" s="619" t="s">
        <v>1364</v>
      </c>
      <c r="P5" s="619" t="s">
        <v>1365</v>
      </c>
      <c r="Q5" s="619" t="s">
        <v>1366</v>
      </c>
      <c r="R5" s="308"/>
      <c r="S5" s="309"/>
      <c r="T5" s="615" t="s">
        <v>1367</v>
      </c>
      <c r="U5" s="310"/>
    </row>
    <row r="6" spans="1:21" ht="20.100000000000001" customHeight="1">
      <c r="B6" s="614"/>
      <c r="C6" s="614"/>
      <c r="D6" s="614"/>
      <c r="E6" s="614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8"/>
      <c r="O6" s="614"/>
      <c r="P6" s="614"/>
      <c r="Q6" s="614"/>
      <c r="R6" s="308"/>
      <c r="S6" s="309"/>
      <c r="T6" s="614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3520</v>
      </c>
      <c r="D7" s="316">
        <f>C7*4/24</f>
        <v>586.66666666666663</v>
      </c>
      <c r="E7" s="316">
        <f>C7-D7</f>
        <v>2933.3333333333335</v>
      </c>
      <c r="F7" s="317">
        <f ca="1">DATA!D10/1000000</f>
        <v>57.299216612000002</v>
      </c>
      <c r="G7" s="318">
        <f ca="1">DATA!$D$11/1000000</f>
        <v>1.1459843322400001</v>
      </c>
      <c r="H7" s="318">
        <f>C7*DATA!$D$5/1000000</f>
        <v>3.816120161520776</v>
      </c>
      <c r="I7" s="318">
        <f>(C7*DATA!$D$5*DATA!$D$7)/1000000</f>
        <v>8.5862703634217455E-2</v>
      </c>
      <c r="J7" s="316">
        <f ca="1">SUM(F7:I7)</f>
        <v>62.347183809394998</v>
      </c>
      <c r="K7" s="319">
        <f>DATA!D9/1000000</f>
        <v>10.659000000000001</v>
      </c>
      <c r="L7" s="316">
        <f>((D7*DATA!$D$23)/1000000)+((E7*DATA!$D$24)/1000000)</f>
        <v>5.0853440000000001</v>
      </c>
      <c r="M7" s="316">
        <f>K7+L7</f>
        <v>15.744344000000002</v>
      </c>
      <c r="N7" s="316">
        <f ca="1">M7-J7</f>
        <v>-46.602839809394993</v>
      </c>
      <c r="O7" s="314">
        <v>1</v>
      </c>
      <c r="P7" s="316">
        <f ca="1">O7*N7</f>
        <v>-46.602839809394993</v>
      </c>
      <c r="Q7" s="316">
        <f ca="1">P7</f>
        <v>-46.602839809394993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5280</v>
      </c>
      <c r="D8" s="316">
        <f>C8*4/24</f>
        <v>880</v>
      </c>
      <c r="E8" s="316">
        <f t="shared" ref="E8:E32" si="0">C8-D8</f>
        <v>4400</v>
      </c>
      <c r="F8" s="314"/>
      <c r="G8" s="318">
        <f ca="1">DATA!$D$11/1000000</f>
        <v>1.1459843322400001</v>
      </c>
      <c r="H8" s="318">
        <f>C8*DATA!$D$5/1000000</f>
        <v>5.7241802422811636</v>
      </c>
      <c r="I8" s="318">
        <f>(C8*DATA!$D$5*DATA!$D$7)/1000000</f>
        <v>0.12879405545132619</v>
      </c>
      <c r="J8" s="316">
        <f t="shared" ref="J8:J32" ca="1" si="1">SUM(F8:I8)</f>
        <v>6.9989586299724902</v>
      </c>
      <c r="K8" s="321"/>
      <c r="L8" s="316">
        <f>((D8*DATA!$D$23)/1000000)+((E8*DATA!$D$24)/1000000)</f>
        <v>7.6280159999999997</v>
      </c>
      <c r="M8" s="316">
        <f t="shared" ref="M8:M32" si="2">K8+L8</f>
        <v>7.6280159999999997</v>
      </c>
      <c r="N8" s="316">
        <f ca="1">M8-J8</f>
        <v>0.6290573700275095</v>
      </c>
      <c r="O8" s="315">
        <f>1/(1+'[93]Asumsi I'!$C$3)^(KKF!A8)</f>
        <v>0.89285714285714279</v>
      </c>
      <c r="P8" s="316">
        <f ca="1">O8*N8</f>
        <v>0.56165836609599062</v>
      </c>
      <c r="Q8" s="316">
        <f ca="1">Q7+P8</f>
        <v>-46.041181443299003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5280</v>
      </c>
      <c r="D9" s="316">
        <f t="shared" ref="D9:D32" si="5">C9*4/24</f>
        <v>880</v>
      </c>
      <c r="E9" s="316">
        <f t="shared" si="0"/>
        <v>4400</v>
      </c>
      <c r="F9" s="314"/>
      <c r="G9" s="318">
        <f ca="1">DATA!$D$11/1000000</f>
        <v>1.1459843322400001</v>
      </c>
      <c r="H9" s="318">
        <f>C9*DATA!$D$5/1000000</f>
        <v>5.7241802422811636</v>
      </c>
      <c r="I9" s="318">
        <f>(C9*DATA!$D$5*DATA!$D$7)/1000000</f>
        <v>0.12879405545132619</v>
      </c>
      <c r="J9" s="316">
        <f t="shared" ca="1" si="1"/>
        <v>6.9989586299724902</v>
      </c>
      <c r="K9" s="316"/>
      <c r="L9" s="316">
        <f>((D9*DATA!$D$23)/1000000)+((E9*DATA!$D$24)/1000000)</f>
        <v>7.6280159999999997</v>
      </c>
      <c r="M9" s="316">
        <f t="shared" si="2"/>
        <v>7.6280159999999997</v>
      </c>
      <c r="N9" s="316">
        <f t="shared" ref="N9:N32" ca="1" si="6">M9-J9</f>
        <v>0.6290573700275095</v>
      </c>
      <c r="O9" s="322">
        <f>1/(1+'[93]Asumsi I'!$C$3)^(KKF!A9)</f>
        <v>0.79719387755102034</v>
      </c>
      <c r="P9" s="316">
        <f t="shared" ref="P9:P32" ca="1" si="7">O9*N9</f>
        <v>0.50148068401427726</v>
      </c>
      <c r="Q9" s="316">
        <f ca="1">Q8+P9</f>
        <v>-45.539700759284727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5280</v>
      </c>
      <c r="D10" s="316">
        <f t="shared" si="5"/>
        <v>880</v>
      </c>
      <c r="E10" s="316">
        <f t="shared" si="0"/>
        <v>4400</v>
      </c>
      <c r="F10" s="314"/>
      <c r="G10" s="318">
        <f ca="1">DATA!$D$11/1000000</f>
        <v>1.1459843322400001</v>
      </c>
      <c r="H10" s="318">
        <f>C10*DATA!$D$5/1000000</f>
        <v>5.7241802422811636</v>
      </c>
      <c r="I10" s="318">
        <f>(C10*DATA!$D$5*DATA!$D$7)/1000000</f>
        <v>0.12879405545132619</v>
      </c>
      <c r="J10" s="316">
        <f t="shared" ca="1" si="1"/>
        <v>6.9989586299724902</v>
      </c>
      <c r="K10" s="314"/>
      <c r="L10" s="316">
        <f>((D10*DATA!$D$23)/1000000)+((E10*DATA!$D$24)/1000000)</f>
        <v>7.6280159999999997</v>
      </c>
      <c r="M10" s="316">
        <f t="shared" si="2"/>
        <v>7.6280159999999997</v>
      </c>
      <c r="N10" s="316">
        <f t="shared" ca="1" si="6"/>
        <v>0.6290573700275095</v>
      </c>
      <c r="O10" s="315">
        <f>1/(1+'[93]Asumsi I'!$C$3)^(KKF!A10)</f>
        <v>0.71178024781341087</v>
      </c>
      <c r="P10" s="316">
        <f t="shared" ca="1" si="7"/>
        <v>0.4477506107270332</v>
      </c>
      <c r="Q10" s="316">
        <f t="shared" ref="Q10:Q30" ca="1" si="9">Q9+P10</f>
        <v>-45.091950148557693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5280</v>
      </c>
      <c r="D11" s="316">
        <f t="shared" si="5"/>
        <v>880</v>
      </c>
      <c r="E11" s="316">
        <f t="shared" si="0"/>
        <v>4400</v>
      </c>
      <c r="F11" s="314"/>
      <c r="G11" s="318">
        <f ca="1">DATA!$D$11/1000000</f>
        <v>1.1459843322400001</v>
      </c>
      <c r="H11" s="318">
        <f>C11*DATA!$D$5/1000000</f>
        <v>5.7241802422811636</v>
      </c>
      <c r="I11" s="318">
        <f>(C11*DATA!$D$5*DATA!$D$7)/1000000</f>
        <v>0.12879405545132619</v>
      </c>
      <c r="J11" s="316">
        <f t="shared" ca="1" si="1"/>
        <v>6.9989586299724902</v>
      </c>
      <c r="K11" s="314"/>
      <c r="L11" s="316">
        <f>((D11*DATA!$D$23)/1000000)+((E11*DATA!$D$24)/1000000)</f>
        <v>7.6280159999999997</v>
      </c>
      <c r="M11" s="316">
        <f t="shared" si="2"/>
        <v>7.6280159999999997</v>
      </c>
      <c r="N11" s="316">
        <f t="shared" ca="1" si="6"/>
        <v>0.6290573700275095</v>
      </c>
      <c r="O11" s="315">
        <f>1/(1+'[93]Asumsi I'!$C$3)^(KKF!A11)</f>
        <v>0.63551807840483121</v>
      </c>
      <c r="P11" s="316">
        <f t="shared" ca="1" si="7"/>
        <v>0.39977733100627971</v>
      </c>
      <c r="Q11" s="316">
        <f t="shared" ca="1" si="9"/>
        <v>-44.692172817551416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5280</v>
      </c>
      <c r="D12" s="316">
        <f t="shared" si="5"/>
        <v>880</v>
      </c>
      <c r="E12" s="316">
        <f t="shared" si="0"/>
        <v>4400</v>
      </c>
      <c r="F12" s="314"/>
      <c r="G12" s="318">
        <f ca="1">DATA!$D$11/1000000</f>
        <v>1.1459843322400001</v>
      </c>
      <c r="H12" s="318">
        <f>C12*DATA!$D$5/1000000</f>
        <v>5.7241802422811636</v>
      </c>
      <c r="I12" s="318">
        <f>(C12*DATA!$D$5*DATA!$D$7)/1000000</f>
        <v>0.12879405545132619</v>
      </c>
      <c r="J12" s="316">
        <f t="shared" ca="1" si="1"/>
        <v>6.9989586299724902</v>
      </c>
      <c r="K12" s="314"/>
      <c r="L12" s="316">
        <f>((D12*DATA!$D$23)/1000000)+((E12*DATA!$D$24)/1000000)</f>
        <v>7.6280159999999997</v>
      </c>
      <c r="M12" s="316">
        <f t="shared" si="2"/>
        <v>7.6280159999999997</v>
      </c>
      <c r="N12" s="316">
        <f t="shared" ca="1" si="6"/>
        <v>0.6290573700275095</v>
      </c>
      <c r="O12" s="315">
        <f>1/(1+'[93]Asumsi I'!$C$3)^(KKF!A12)</f>
        <v>0.56742685571859919</v>
      </c>
      <c r="P12" s="316">
        <f t="shared" ca="1" si="7"/>
        <v>0.35694404554132109</v>
      </c>
      <c r="Q12" s="316">
        <f t="shared" ca="1" si="9"/>
        <v>-44.335228772010097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5280</v>
      </c>
      <c r="D13" s="316">
        <f t="shared" si="5"/>
        <v>880</v>
      </c>
      <c r="E13" s="316">
        <f t="shared" si="0"/>
        <v>4400</v>
      </c>
      <c r="F13" s="314"/>
      <c r="G13" s="318">
        <f ca="1">DATA!$D$11/1000000</f>
        <v>1.1459843322400001</v>
      </c>
      <c r="H13" s="318">
        <f>C13*DATA!$D$5/1000000</f>
        <v>5.7241802422811636</v>
      </c>
      <c r="I13" s="318">
        <f>(C13*DATA!$D$5*DATA!$D$7)/1000000</f>
        <v>0.12879405545132619</v>
      </c>
      <c r="J13" s="316">
        <f t="shared" ca="1" si="1"/>
        <v>6.9989586299724902</v>
      </c>
      <c r="K13" s="314"/>
      <c r="L13" s="316">
        <f>((D13*DATA!$D$23)/1000000)+((E13*DATA!$D$24)/1000000)</f>
        <v>7.6280159999999997</v>
      </c>
      <c r="M13" s="316">
        <f t="shared" si="2"/>
        <v>7.6280159999999997</v>
      </c>
      <c r="N13" s="316">
        <f t="shared" ca="1" si="6"/>
        <v>0.6290573700275095</v>
      </c>
      <c r="O13" s="315">
        <f>1/(1+'[93]Asumsi I'!$C$3)^(KKF!A13)</f>
        <v>0.50663112117732068</v>
      </c>
      <c r="P13" s="316">
        <f t="shared" ca="1" si="7"/>
        <v>0.31870004066189384</v>
      </c>
      <c r="Q13" s="316">
        <f t="shared" ca="1" si="9"/>
        <v>-44.016528731348203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5280</v>
      </c>
      <c r="D14" s="316">
        <f t="shared" si="5"/>
        <v>880</v>
      </c>
      <c r="E14" s="316">
        <f t="shared" si="0"/>
        <v>4400</v>
      </c>
      <c r="F14" s="314"/>
      <c r="G14" s="318">
        <f ca="1">DATA!$D$11/1000000</f>
        <v>1.1459843322400001</v>
      </c>
      <c r="H14" s="318">
        <f>C14*DATA!$D$5/1000000</f>
        <v>5.7241802422811636</v>
      </c>
      <c r="I14" s="318">
        <f>(C14*DATA!$D$5*DATA!$D$7)/1000000</f>
        <v>0.12879405545132619</v>
      </c>
      <c r="J14" s="316">
        <f t="shared" ca="1" si="1"/>
        <v>6.9989586299724902</v>
      </c>
      <c r="K14" s="314"/>
      <c r="L14" s="316">
        <f>((D14*DATA!$D$23)/1000000)+((E14*DATA!$D$24)/1000000)</f>
        <v>7.6280159999999997</v>
      </c>
      <c r="M14" s="316">
        <f t="shared" si="2"/>
        <v>7.6280159999999997</v>
      </c>
      <c r="N14" s="316">
        <f t="shared" ca="1" si="6"/>
        <v>0.6290573700275095</v>
      </c>
      <c r="O14" s="315">
        <f>1/(1+'[93]Asumsi I'!$C$3)^(KKF!A14)</f>
        <v>0.45234921533689343</v>
      </c>
      <c r="P14" s="316">
        <f t="shared" ca="1" si="7"/>
        <v>0.28455360773383376</v>
      </c>
      <c r="Q14" s="316">
        <f t="shared" ca="1" si="9"/>
        <v>-43.731975123614369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5280</v>
      </c>
      <c r="D15" s="316">
        <f t="shared" si="5"/>
        <v>880</v>
      </c>
      <c r="E15" s="316">
        <f t="shared" si="0"/>
        <v>4400</v>
      </c>
      <c r="F15" s="314"/>
      <c r="G15" s="318">
        <f ca="1">DATA!$D$11/1000000</f>
        <v>1.1459843322400001</v>
      </c>
      <c r="H15" s="318">
        <f>C15*DATA!$D$5/1000000</f>
        <v>5.7241802422811636</v>
      </c>
      <c r="I15" s="318">
        <f>(C15*DATA!$D$5*DATA!$D$7)/1000000</f>
        <v>0.12879405545132619</v>
      </c>
      <c r="J15" s="316">
        <f t="shared" ca="1" si="1"/>
        <v>6.9989586299724902</v>
      </c>
      <c r="K15" s="314"/>
      <c r="L15" s="316">
        <f>((D15*DATA!$D$23)/1000000)+((E15*DATA!$D$24)/1000000)</f>
        <v>7.6280159999999997</v>
      </c>
      <c r="M15" s="316">
        <f t="shared" si="2"/>
        <v>7.6280159999999997</v>
      </c>
      <c r="N15" s="316">
        <f t="shared" ca="1" si="6"/>
        <v>0.6290573700275095</v>
      </c>
      <c r="O15" s="315">
        <f>1/(1+'[93]Asumsi I'!$C$3)^(KKF!A15)</f>
        <v>0.4038832279793691</v>
      </c>
      <c r="P15" s="316">
        <f t="shared" ca="1" si="7"/>
        <v>0.25406572119092297</v>
      </c>
      <c r="Q15" s="316">
        <f t="shared" ca="1" si="9"/>
        <v>-43.477909402423442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5280</v>
      </c>
      <c r="D16" s="316">
        <f t="shared" si="5"/>
        <v>880</v>
      </c>
      <c r="E16" s="316">
        <f t="shared" si="0"/>
        <v>4400</v>
      </c>
      <c r="F16" s="314"/>
      <c r="G16" s="318">
        <f ca="1">DATA!$D$11/1000000</f>
        <v>1.1459843322400001</v>
      </c>
      <c r="H16" s="318">
        <f>C16*DATA!$D$5/1000000</f>
        <v>5.7241802422811636</v>
      </c>
      <c r="I16" s="318">
        <f>(C16*DATA!$D$5*DATA!$D$7)/1000000</f>
        <v>0.12879405545132619</v>
      </c>
      <c r="J16" s="316">
        <f t="shared" ca="1" si="1"/>
        <v>6.9989586299724902</v>
      </c>
      <c r="K16" s="314"/>
      <c r="L16" s="316">
        <f>((D16*DATA!$D$23)/1000000)+((E16*DATA!$D$24)/1000000)</f>
        <v>7.6280159999999997</v>
      </c>
      <c r="M16" s="316">
        <f t="shared" si="2"/>
        <v>7.6280159999999997</v>
      </c>
      <c r="N16" s="316">
        <f t="shared" ca="1" si="6"/>
        <v>0.6290573700275095</v>
      </c>
      <c r="O16" s="315">
        <f>1/(1+'[93]Asumsi I'!$C$3)^(KKF!A16)</f>
        <v>0.36061002498157957</v>
      </c>
      <c r="P16" s="316">
        <f t="shared" ca="1" si="7"/>
        <v>0.22684439392046693</v>
      </c>
      <c r="Q16" s="316">
        <f t="shared" ca="1" si="9"/>
        <v>-43.251065008502977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5280</v>
      </c>
      <c r="D17" s="316">
        <f t="shared" si="5"/>
        <v>880</v>
      </c>
      <c r="E17" s="316">
        <f t="shared" si="0"/>
        <v>4400</v>
      </c>
      <c r="F17" s="314"/>
      <c r="G17" s="318">
        <f ca="1">DATA!$D$11/1000000</f>
        <v>1.1459843322400001</v>
      </c>
      <c r="H17" s="318">
        <f>C17*DATA!$D$5/1000000</f>
        <v>5.7241802422811636</v>
      </c>
      <c r="I17" s="318">
        <f>(C17*DATA!$D$5*DATA!$D$7)/1000000</f>
        <v>0.12879405545132619</v>
      </c>
      <c r="J17" s="316">
        <f t="shared" ca="1" si="1"/>
        <v>6.9989586299724902</v>
      </c>
      <c r="K17" s="314"/>
      <c r="L17" s="316">
        <f>((D17*DATA!$D$23)/1000000)+((E17*DATA!$D$24)/1000000)</f>
        <v>7.6280159999999997</v>
      </c>
      <c r="M17" s="316">
        <f t="shared" si="2"/>
        <v>7.6280159999999997</v>
      </c>
      <c r="N17" s="316">
        <f t="shared" ca="1" si="6"/>
        <v>0.6290573700275095</v>
      </c>
      <c r="O17" s="315">
        <f>1/(1+'[93]Asumsi I'!$C$3)^(KKF!A17)</f>
        <v>0.32197323659069599</v>
      </c>
      <c r="P17" s="316">
        <f t="shared" ca="1" si="7"/>
        <v>0.20253963742898831</v>
      </c>
      <c r="Q17" s="316">
        <f t="shared" ca="1" si="9"/>
        <v>-43.048525371073985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5280</v>
      </c>
      <c r="D18" s="316">
        <f t="shared" si="5"/>
        <v>880</v>
      </c>
      <c r="E18" s="316">
        <f t="shared" si="0"/>
        <v>4400</v>
      </c>
      <c r="F18" s="314"/>
      <c r="G18" s="318">
        <f ca="1">DATA!$D$11/1000000</f>
        <v>1.1459843322400001</v>
      </c>
      <c r="H18" s="318">
        <f>C18*DATA!$D$5/1000000</f>
        <v>5.7241802422811636</v>
      </c>
      <c r="I18" s="318">
        <f>(C18*DATA!$D$5*DATA!$D$7)/1000000</f>
        <v>0.12879405545132619</v>
      </c>
      <c r="J18" s="316">
        <f t="shared" ca="1" si="1"/>
        <v>6.9989586299724902</v>
      </c>
      <c r="K18" s="314"/>
      <c r="L18" s="316">
        <f>((D18*DATA!$D$23)/1000000)+((E18*DATA!$D$24)/1000000)</f>
        <v>7.6280159999999997</v>
      </c>
      <c r="M18" s="316">
        <f t="shared" si="2"/>
        <v>7.6280159999999997</v>
      </c>
      <c r="N18" s="316">
        <f t="shared" ca="1" si="6"/>
        <v>0.6290573700275095</v>
      </c>
      <c r="O18" s="315">
        <f>1/(1+'[93]Asumsi I'!$C$3)^(KKF!A18)</f>
        <v>0.28747610409883567</v>
      </c>
      <c r="P18" s="316">
        <f t="shared" ca="1" si="7"/>
        <v>0.18083896199016811</v>
      </c>
      <c r="Q18" s="316">
        <f t="shared" ca="1" si="9"/>
        <v>-42.867686409083817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5280</v>
      </c>
      <c r="D19" s="316">
        <f t="shared" si="5"/>
        <v>880</v>
      </c>
      <c r="E19" s="316">
        <f t="shared" si="0"/>
        <v>4400</v>
      </c>
      <c r="F19" s="314"/>
      <c r="G19" s="318">
        <f ca="1">DATA!$D$11/1000000</f>
        <v>1.1459843322400001</v>
      </c>
      <c r="H19" s="318">
        <f>C19*DATA!$D$5/1000000</f>
        <v>5.7241802422811636</v>
      </c>
      <c r="I19" s="318">
        <f>(C19*DATA!$D$5*DATA!$D$7)/1000000</f>
        <v>0.12879405545132619</v>
      </c>
      <c r="J19" s="316">
        <f t="shared" ca="1" si="1"/>
        <v>6.9989586299724902</v>
      </c>
      <c r="K19" s="314"/>
      <c r="L19" s="316">
        <f>((D19*DATA!$D$23)/1000000)+((E19*DATA!$D$24)/1000000)</f>
        <v>7.6280159999999997</v>
      </c>
      <c r="M19" s="316">
        <f t="shared" si="2"/>
        <v>7.6280159999999997</v>
      </c>
      <c r="N19" s="316">
        <f t="shared" ca="1" si="6"/>
        <v>0.6290573700275095</v>
      </c>
      <c r="O19" s="315">
        <f>1/(1+'[93]Asumsi I'!$C$3)^(KKF!A19)</f>
        <v>0.25667509294538904</v>
      </c>
      <c r="P19" s="316">
        <f t="shared" ca="1" si="7"/>
        <v>0.16146335891979299</v>
      </c>
      <c r="Q19" s="316">
        <f t="shared" ca="1" si="9"/>
        <v>-42.70622305016402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5280</v>
      </c>
      <c r="D20" s="316">
        <f t="shared" si="5"/>
        <v>880</v>
      </c>
      <c r="E20" s="316">
        <f t="shared" si="0"/>
        <v>4400</v>
      </c>
      <c r="F20" s="314"/>
      <c r="G20" s="318">
        <f ca="1">DATA!$D$11/1000000</f>
        <v>1.1459843322400001</v>
      </c>
      <c r="H20" s="318">
        <f>C20*DATA!$D$5/1000000</f>
        <v>5.7241802422811636</v>
      </c>
      <c r="I20" s="318">
        <f>(C20*DATA!$D$5*DATA!$D$7)/1000000</f>
        <v>0.12879405545132619</v>
      </c>
      <c r="J20" s="316">
        <f t="shared" ca="1" si="1"/>
        <v>6.9989586299724902</v>
      </c>
      <c r="K20" s="314"/>
      <c r="L20" s="316">
        <f>((D20*DATA!$D$23)/1000000)+((E20*DATA!$D$24)/1000000)</f>
        <v>7.6280159999999997</v>
      </c>
      <c r="M20" s="316">
        <f t="shared" si="2"/>
        <v>7.6280159999999997</v>
      </c>
      <c r="N20" s="316">
        <f t="shared" ca="1" si="6"/>
        <v>0.6290573700275095</v>
      </c>
      <c r="O20" s="315">
        <f>1/(1+'[93]Asumsi I'!$C$3)^(KKF!A20)</f>
        <v>0.22917419012981158</v>
      </c>
      <c r="P20" s="316">
        <f t="shared" ca="1" si="7"/>
        <v>0.1441637133212437</v>
      </c>
      <c r="Q20" s="316">
        <f t="shared" ca="1" si="9"/>
        <v>-42.562059336842779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5280</v>
      </c>
      <c r="D21" s="316">
        <f t="shared" si="5"/>
        <v>880</v>
      </c>
      <c r="E21" s="316">
        <f t="shared" si="0"/>
        <v>4400</v>
      </c>
      <c r="F21" s="314"/>
      <c r="G21" s="318">
        <f ca="1">DATA!$D$11/1000000</f>
        <v>1.1459843322400001</v>
      </c>
      <c r="H21" s="318">
        <f>C21*DATA!$D$5/1000000</f>
        <v>5.7241802422811636</v>
      </c>
      <c r="I21" s="318">
        <f>(C21*DATA!$D$5*DATA!$D$7)/1000000</f>
        <v>0.12879405545132619</v>
      </c>
      <c r="J21" s="316">
        <f t="shared" ca="1" si="1"/>
        <v>6.9989586299724902</v>
      </c>
      <c r="K21" s="314"/>
      <c r="L21" s="316">
        <f>((D21*DATA!$D$23)/1000000)+((E21*DATA!$D$24)/1000000)</f>
        <v>7.6280159999999997</v>
      </c>
      <c r="M21" s="316">
        <f t="shared" si="2"/>
        <v>7.6280159999999997</v>
      </c>
      <c r="N21" s="316">
        <f t="shared" ca="1" si="6"/>
        <v>0.6290573700275095</v>
      </c>
      <c r="O21" s="315">
        <f>1/(1+'[93]Asumsi I'!$C$3)^(KKF!A21)</f>
        <v>0.20461981261590317</v>
      </c>
      <c r="P21" s="316">
        <f t="shared" ca="1" si="7"/>
        <v>0.12871760117968187</v>
      </c>
      <c r="Q21" s="316">
        <f t="shared" ca="1" si="9"/>
        <v>-42.433341735663099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5280</v>
      </c>
      <c r="D22" s="316">
        <f t="shared" si="5"/>
        <v>880</v>
      </c>
      <c r="E22" s="316">
        <f t="shared" si="0"/>
        <v>4400</v>
      </c>
      <c r="F22" s="314"/>
      <c r="G22" s="318">
        <f ca="1">DATA!$D$11/1000000</f>
        <v>1.1459843322400001</v>
      </c>
      <c r="H22" s="318">
        <f>C22*DATA!$D$5/1000000</f>
        <v>5.7241802422811636</v>
      </c>
      <c r="I22" s="318">
        <f>(C22*DATA!$D$5*DATA!$D$7)/1000000</f>
        <v>0.12879405545132619</v>
      </c>
      <c r="J22" s="316">
        <f t="shared" ca="1" si="1"/>
        <v>6.9989586299724902</v>
      </c>
      <c r="K22" s="314"/>
      <c r="L22" s="316">
        <f>((D22*DATA!$D$23)/1000000)+((E22*DATA!$D$24)/1000000)</f>
        <v>7.6280159999999997</v>
      </c>
      <c r="M22" s="316">
        <f t="shared" si="2"/>
        <v>7.6280159999999997</v>
      </c>
      <c r="N22" s="316">
        <f t="shared" ca="1" si="6"/>
        <v>0.6290573700275095</v>
      </c>
      <c r="O22" s="315">
        <f>1/(1+'[93]Asumsi I'!$C$3)^(KKF!A22)</f>
        <v>0.18269626126419927</v>
      </c>
      <c r="P22" s="316">
        <f t="shared" ca="1" si="7"/>
        <v>0.11492642962471596</v>
      </c>
      <c r="Q22" s="316">
        <f t="shared" ca="1" si="9"/>
        <v>-42.318415306038382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5280</v>
      </c>
      <c r="D23" s="316">
        <f t="shared" si="5"/>
        <v>880</v>
      </c>
      <c r="E23" s="316">
        <f t="shared" si="0"/>
        <v>4400</v>
      </c>
      <c r="F23" s="314"/>
      <c r="G23" s="318">
        <f ca="1">DATA!$D$11/1000000</f>
        <v>1.1459843322400001</v>
      </c>
      <c r="H23" s="318">
        <f>C23*DATA!$D$5/1000000</f>
        <v>5.7241802422811636</v>
      </c>
      <c r="I23" s="318">
        <f>(C23*DATA!$D$5*DATA!$D$7)/1000000</f>
        <v>0.12879405545132619</v>
      </c>
      <c r="J23" s="316">
        <f t="shared" ca="1" si="1"/>
        <v>6.9989586299724902</v>
      </c>
      <c r="K23" s="314"/>
      <c r="L23" s="316">
        <f>((D23*DATA!$D$23)/1000000)+((E23*DATA!$D$24)/1000000)</f>
        <v>7.6280159999999997</v>
      </c>
      <c r="M23" s="316">
        <f t="shared" si="2"/>
        <v>7.6280159999999997</v>
      </c>
      <c r="N23" s="316">
        <f t="shared" ca="1" si="6"/>
        <v>0.6290573700275095</v>
      </c>
      <c r="O23" s="315">
        <f>1/(1+'[93]Asumsi I'!$C$3)^(KKF!A23)</f>
        <v>0.16312166184303503</v>
      </c>
      <c r="P23" s="316">
        <f t="shared" ca="1" si="7"/>
        <v>0.10261288359349637</v>
      </c>
      <c r="Q23" s="316">
        <f t="shared" ca="1" si="9"/>
        <v>-42.215802422444888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5280</v>
      </c>
      <c r="D24" s="316">
        <f t="shared" si="5"/>
        <v>880</v>
      </c>
      <c r="E24" s="316">
        <f t="shared" si="0"/>
        <v>4400</v>
      </c>
      <c r="F24" s="314"/>
      <c r="G24" s="318">
        <f ca="1">DATA!$D$11/1000000</f>
        <v>1.1459843322400001</v>
      </c>
      <c r="H24" s="318">
        <f>C24*DATA!$D$5/1000000</f>
        <v>5.7241802422811636</v>
      </c>
      <c r="I24" s="318">
        <f>(C24*DATA!$D$5*DATA!$D$7)/1000000</f>
        <v>0.12879405545132619</v>
      </c>
      <c r="J24" s="316">
        <f t="shared" ca="1" si="1"/>
        <v>6.9989586299724902</v>
      </c>
      <c r="K24" s="314"/>
      <c r="L24" s="316">
        <f>((D24*DATA!$D$23)/1000000)+((E24*DATA!$D$24)/1000000)</f>
        <v>7.6280159999999997</v>
      </c>
      <c r="M24" s="316">
        <f t="shared" si="2"/>
        <v>7.6280159999999997</v>
      </c>
      <c r="N24" s="316">
        <f t="shared" ca="1" si="6"/>
        <v>0.6290573700275095</v>
      </c>
      <c r="O24" s="315">
        <f>1/(1+'[93]Asumsi I'!$C$3)^(KKF!A24)</f>
        <v>0.14564434093128129</v>
      </c>
      <c r="P24" s="316">
        <f t="shared" ca="1" si="7"/>
        <v>9.1618646065621756E-2</v>
      </c>
      <c r="Q24" s="316">
        <f t="shared" ca="1" si="9"/>
        <v>-42.124183776379269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5280</v>
      </c>
      <c r="D25" s="316">
        <f t="shared" si="5"/>
        <v>880</v>
      </c>
      <c r="E25" s="316">
        <f t="shared" si="0"/>
        <v>4400</v>
      </c>
      <c r="F25" s="314"/>
      <c r="G25" s="318">
        <f ca="1">DATA!$D$11/1000000</f>
        <v>1.1459843322400001</v>
      </c>
      <c r="H25" s="318">
        <f>C25*DATA!$D$5/1000000</f>
        <v>5.7241802422811636</v>
      </c>
      <c r="I25" s="318">
        <f>(C25*DATA!$D$5*DATA!$D$7)/1000000</f>
        <v>0.12879405545132619</v>
      </c>
      <c r="J25" s="316">
        <f t="shared" ca="1" si="1"/>
        <v>6.9989586299724902</v>
      </c>
      <c r="K25" s="314"/>
      <c r="L25" s="316">
        <f>((D25*DATA!$D$23)/1000000)+((E25*DATA!$D$24)/1000000)</f>
        <v>7.6280159999999997</v>
      </c>
      <c r="M25" s="316">
        <f t="shared" si="2"/>
        <v>7.6280159999999997</v>
      </c>
      <c r="N25" s="316">
        <f t="shared" ca="1" si="6"/>
        <v>0.6290573700275095</v>
      </c>
      <c r="O25" s="315">
        <f>1/(1+'[93]Asumsi I'!$C$3)^(KKF!A25)</f>
        <v>0.13003959011721541</v>
      </c>
      <c r="P25" s="316">
        <f t="shared" ca="1" si="7"/>
        <v>8.1802362558590844E-2</v>
      </c>
      <c r="Q25" s="316">
        <f t="shared" ca="1" si="9"/>
        <v>-42.042381413820678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5280</v>
      </c>
      <c r="D26" s="316">
        <f t="shared" si="5"/>
        <v>880</v>
      </c>
      <c r="E26" s="316">
        <f t="shared" si="0"/>
        <v>4400</v>
      </c>
      <c r="F26" s="314"/>
      <c r="G26" s="318">
        <f ca="1">DATA!$D$11/1000000</f>
        <v>1.1459843322400001</v>
      </c>
      <c r="H26" s="318">
        <f>C26*DATA!$D$5/1000000</f>
        <v>5.7241802422811636</v>
      </c>
      <c r="I26" s="318">
        <f>(C26*DATA!$D$5*DATA!$D$7)/1000000</f>
        <v>0.12879405545132619</v>
      </c>
      <c r="J26" s="316">
        <f t="shared" ca="1" si="1"/>
        <v>6.9989586299724902</v>
      </c>
      <c r="K26" s="314"/>
      <c r="L26" s="316">
        <f>((D26*DATA!$D$23)/1000000)+((E26*DATA!$D$24)/1000000)</f>
        <v>7.6280159999999997</v>
      </c>
      <c r="M26" s="316">
        <f t="shared" si="2"/>
        <v>7.6280159999999997</v>
      </c>
      <c r="N26" s="316">
        <f t="shared" ca="1" si="6"/>
        <v>0.6290573700275095</v>
      </c>
      <c r="O26" s="315">
        <f>1/(1+'[93]Asumsi I'!$C$3)^(KKF!A26)</f>
        <v>0.1161067768903709</v>
      </c>
      <c r="P26" s="316">
        <f t="shared" ca="1" si="7"/>
        <v>7.3037823713027528E-2</v>
      </c>
      <c r="Q26" s="316">
        <f t="shared" ca="1" si="9"/>
        <v>-41.969343590107648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5280</v>
      </c>
      <c r="D27" s="316">
        <f t="shared" si="5"/>
        <v>880</v>
      </c>
      <c r="E27" s="316">
        <f t="shared" si="0"/>
        <v>4400</v>
      </c>
      <c r="F27" s="314"/>
      <c r="G27" s="318">
        <f ca="1">DATA!$D$11/1000000</f>
        <v>1.1459843322400001</v>
      </c>
      <c r="H27" s="318">
        <f>C27*DATA!$D$5/1000000</f>
        <v>5.7241802422811636</v>
      </c>
      <c r="I27" s="318">
        <f>(C27*DATA!$D$5*DATA!$D$7)/1000000</f>
        <v>0.12879405545132619</v>
      </c>
      <c r="J27" s="316">
        <f t="shared" ca="1" si="1"/>
        <v>6.9989586299724902</v>
      </c>
      <c r="K27" s="314"/>
      <c r="L27" s="316">
        <f>((D27*DATA!$D$23)/1000000)+((E27*DATA!$D$24)/1000000)</f>
        <v>7.6280159999999997</v>
      </c>
      <c r="M27" s="316">
        <f t="shared" si="2"/>
        <v>7.6280159999999997</v>
      </c>
      <c r="N27" s="316">
        <f t="shared" ca="1" si="6"/>
        <v>0.6290573700275095</v>
      </c>
      <c r="O27" s="315">
        <f>1/(1+'[93]Asumsi I'!$C$3)^(KKF!A27)</f>
        <v>0.1036667650806883</v>
      </c>
      <c r="P27" s="316">
        <f t="shared" ca="1" si="7"/>
        <v>6.5212342600917433E-2</v>
      </c>
      <c r="Q27" s="316">
        <f t="shared" ca="1" si="9"/>
        <v>-41.904131247506733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5280</v>
      </c>
      <c r="D28" s="316">
        <f t="shared" si="5"/>
        <v>880</v>
      </c>
      <c r="E28" s="316">
        <f t="shared" si="0"/>
        <v>4400</v>
      </c>
      <c r="F28" s="314"/>
      <c r="G28" s="318">
        <f ca="1">DATA!$D$11/1000000</f>
        <v>1.1459843322400001</v>
      </c>
      <c r="H28" s="318">
        <f>C28*DATA!$D$5/1000000</f>
        <v>5.7241802422811636</v>
      </c>
      <c r="I28" s="318">
        <f>(C28*DATA!$D$5*DATA!$D$7)/1000000</f>
        <v>0.12879405545132619</v>
      </c>
      <c r="J28" s="316">
        <f t="shared" ca="1" si="1"/>
        <v>6.9989586299724902</v>
      </c>
      <c r="K28" s="314"/>
      <c r="L28" s="316">
        <f>((D28*DATA!$D$23)/1000000)+((E28*DATA!$D$24)/1000000)</f>
        <v>7.6280159999999997</v>
      </c>
      <c r="M28" s="316">
        <f t="shared" si="2"/>
        <v>7.6280159999999997</v>
      </c>
      <c r="N28" s="316">
        <f t="shared" ca="1" si="6"/>
        <v>0.6290573700275095</v>
      </c>
      <c r="O28" s="315">
        <f>1/(1+'[93]Asumsi I'!$C$3)^(KKF!A28)</f>
        <v>9.2559611679185971E-2</v>
      </c>
      <c r="P28" s="316">
        <f t="shared" ca="1" si="7"/>
        <v>5.8225305893676277E-2</v>
      </c>
      <c r="Q28" s="316">
        <f t="shared" ca="1" si="9"/>
        <v>-41.845905941613054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5280</v>
      </c>
      <c r="D29" s="316">
        <f t="shared" si="5"/>
        <v>880</v>
      </c>
      <c r="E29" s="316">
        <f t="shared" si="0"/>
        <v>4400</v>
      </c>
      <c r="F29" s="314"/>
      <c r="G29" s="318">
        <f ca="1">DATA!$D$11/1000000</f>
        <v>1.1459843322400001</v>
      </c>
      <c r="H29" s="318">
        <f>C29*DATA!$D$5/1000000</f>
        <v>5.7241802422811636</v>
      </c>
      <c r="I29" s="318">
        <f>(C29*DATA!$D$5*DATA!$D$7)/1000000</f>
        <v>0.12879405545132619</v>
      </c>
      <c r="J29" s="316">
        <f t="shared" ca="1" si="1"/>
        <v>6.9989586299724902</v>
      </c>
      <c r="K29" s="314"/>
      <c r="L29" s="316">
        <f>((D29*DATA!$D$23)/1000000)+((E29*DATA!$D$24)/1000000)</f>
        <v>7.6280159999999997</v>
      </c>
      <c r="M29" s="316">
        <f t="shared" si="2"/>
        <v>7.6280159999999997</v>
      </c>
      <c r="N29" s="316">
        <f t="shared" ca="1" si="6"/>
        <v>0.6290573700275095</v>
      </c>
      <c r="O29" s="315">
        <f>1/(1+'[93]Asumsi I'!$C$3)^(KKF!A29)</f>
        <v>8.2642510427844609E-2</v>
      </c>
      <c r="P29" s="316">
        <f t="shared" ca="1" si="7"/>
        <v>5.198688026221096E-2</v>
      </c>
      <c r="Q29" s="316">
        <f t="shared" ca="1" si="9"/>
        <v>-41.793919061350842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5280</v>
      </c>
      <c r="D30" s="316">
        <f t="shared" si="5"/>
        <v>880</v>
      </c>
      <c r="E30" s="316">
        <f t="shared" si="0"/>
        <v>4400</v>
      </c>
      <c r="F30" s="314"/>
      <c r="G30" s="318">
        <f ca="1">DATA!$D$11/1000000</f>
        <v>1.1459843322400001</v>
      </c>
      <c r="H30" s="318">
        <f>C30*DATA!$D$5/1000000</f>
        <v>5.7241802422811636</v>
      </c>
      <c r="I30" s="318">
        <f>(C30*DATA!$D$5*DATA!$D$7)/1000000</f>
        <v>0.12879405545132619</v>
      </c>
      <c r="J30" s="316">
        <f t="shared" ca="1" si="1"/>
        <v>6.9989586299724902</v>
      </c>
      <c r="K30" s="314"/>
      <c r="L30" s="316">
        <f>((D30*DATA!$D$23)/1000000)+((E30*DATA!$D$24)/1000000)</f>
        <v>7.6280159999999997</v>
      </c>
      <c r="M30" s="316">
        <f t="shared" si="2"/>
        <v>7.6280159999999997</v>
      </c>
      <c r="N30" s="316">
        <f t="shared" ca="1" si="6"/>
        <v>0.6290573700275095</v>
      </c>
      <c r="O30" s="315">
        <f>1/(1+'[93]Asumsi I'!$C$3)^(KKF!A30)</f>
        <v>7.3787955739146982E-2</v>
      </c>
      <c r="P30" s="316">
        <f t="shared" ca="1" si="7"/>
        <v>4.6416857376974076E-2</v>
      </c>
      <c r="Q30" s="316">
        <f t="shared" ca="1" si="9"/>
        <v>-41.747502203973866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5280</v>
      </c>
      <c r="D31" s="316">
        <f t="shared" si="5"/>
        <v>880</v>
      </c>
      <c r="E31" s="316">
        <f t="shared" si="0"/>
        <v>4400</v>
      </c>
      <c r="F31" s="314"/>
      <c r="G31" s="318">
        <f ca="1">DATA!$D$11/1000000</f>
        <v>1.1459843322400001</v>
      </c>
      <c r="H31" s="318">
        <f>C31*DATA!$D$5/1000000</f>
        <v>5.7241802422811636</v>
      </c>
      <c r="I31" s="318">
        <f>(C31*DATA!$D$5*DATA!$D$7)/1000000</f>
        <v>0.12879405545132619</v>
      </c>
      <c r="J31" s="316">
        <f t="shared" ca="1" si="1"/>
        <v>6.9989586299724902</v>
      </c>
      <c r="K31" s="314"/>
      <c r="L31" s="316">
        <f>((D31*DATA!$D$23)/1000000)+((E31*DATA!$D$24)/1000000)</f>
        <v>7.6280159999999997</v>
      </c>
      <c r="M31" s="316">
        <f t="shared" si="2"/>
        <v>7.6280159999999997</v>
      </c>
      <c r="N31" s="316">
        <f t="shared" ca="1" si="6"/>
        <v>0.6290573700275095</v>
      </c>
      <c r="O31" s="315">
        <f>1/(1+'[93]Asumsi I'!$C$3)^(KKF!A31)</f>
        <v>6.5882103338524081E-2</v>
      </c>
      <c r="P31" s="316">
        <f t="shared" ca="1" si="7"/>
        <v>4.1443622658012561E-2</v>
      </c>
      <c r="Q31" s="316">
        <f ca="1">Q30+P31</f>
        <v>-41.706058581315851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5280</v>
      </c>
      <c r="D32" s="316">
        <f t="shared" si="5"/>
        <v>880</v>
      </c>
      <c r="E32" s="316">
        <f t="shared" si="0"/>
        <v>4400</v>
      </c>
      <c r="F32" s="314"/>
      <c r="G32" s="318">
        <f ca="1">DATA!$D$11/1000000</f>
        <v>1.1459843322400001</v>
      </c>
      <c r="H32" s="318">
        <f>C32*DATA!$D$5/1000000</f>
        <v>5.7241802422811636</v>
      </c>
      <c r="I32" s="318">
        <f>(C32*DATA!$D$5*DATA!$D$7)/1000000</f>
        <v>0.12879405545132619</v>
      </c>
      <c r="J32" s="316">
        <f t="shared" ca="1" si="1"/>
        <v>6.9989586299724902</v>
      </c>
      <c r="K32" s="314"/>
      <c r="L32" s="316">
        <f>((D32*DATA!$D$23)/1000000)+((E32*DATA!$D$24)/1000000)</f>
        <v>7.6280159999999997</v>
      </c>
      <c r="M32" s="316">
        <f t="shared" si="2"/>
        <v>7.6280159999999997</v>
      </c>
      <c r="N32" s="316">
        <f t="shared" ca="1" si="6"/>
        <v>0.6290573700275095</v>
      </c>
      <c r="O32" s="315">
        <f>1/(1+'[93]Asumsi I'!$C$3)^(KKF!A32)</f>
        <v>5.8823306552253637E-2</v>
      </c>
      <c r="P32" s="316">
        <f t="shared" ca="1" si="7"/>
        <v>3.7003234516082638E-2</v>
      </c>
      <c r="Q32" s="316">
        <f ca="1">Q31+P32</f>
        <v>-41.669055346799766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6" t="s">
        <v>1374</v>
      </c>
      <c r="G33" s="616"/>
      <c r="H33" s="616"/>
      <c r="I33" s="324"/>
      <c r="J33" s="325">
        <f ca="1">SUM(J7:J32)</f>
        <v>237.32114955870728</v>
      </c>
      <c r="K33" s="616" t="s">
        <v>1375</v>
      </c>
      <c r="L33" s="616"/>
      <c r="M33" s="325">
        <f>SUM(M7:M32)</f>
        <v>206.44474400000004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99.112079088539218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0.86989610653698102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-37.204513702499796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-7.0534902839069047E-2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0" priority="1" stopIfTrue="1" operator="greaterThanOrEqual">
      <formula>$F$7</formula>
    </cfRule>
    <cfRule type="cellIs" dxfId="19" priority="2" stopIfTrue="1" operator="lessThan">
      <formula>$F$7</formula>
    </cfRule>
  </conditionalFormatting>
  <conditionalFormatting sqref="Q7:Q32">
    <cfRule type="cellIs" dxfId="18" priority="3" operator="lessThan">
      <formula>0</formula>
    </cfRule>
    <cfRule type="cellIs" dxfId="17" priority="4" operator="lessThan">
      <formula>0</formula>
    </cfRule>
    <cfRule type="cellIs" dxfId="16" priority="5" operator="lessThan">
      <formula>-6395.81</formula>
    </cfRule>
    <cfRule type="cellIs" dxfId="15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44"/>
  <sheetViews>
    <sheetView showGridLines="0" tabSelected="1" zoomScale="70" zoomScaleNormal="70" zoomScaleSheetLayoutView="70" workbookViewId="0">
      <pane ySplit="13" topLeftCell="A55" activePane="bottomLeft" state="frozen"/>
      <selection activeCell="H1093" sqref="H1093"/>
      <selection pane="bottomLeft" activeCell="D5" sqref="D5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9" t="s">
        <v>1036</v>
      </c>
      <c r="P3" s="639"/>
      <c r="Q3" s="346"/>
      <c r="T3" s="344"/>
      <c r="U3" s="345" t="s">
        <v>1041</v>
      </c>
      <c r="V3" s="344"/>
    </row>
    <row r="4" spans="1:22" ht="15.75" customHeight="1">
      <c r="B4" s="640" t="s">
        <v>1023</v>
      </c>
      <c r="C4" s="640"/>
      <c r="D4" s="640"/>
      <c r="E4" s="640"/>
      <c r="F4" s="640"/>
      <c r="G4" s="640"/>
      <c r="H4" s="640"/>
      <c r="I4" s="640"/>
      <c r="J4" s="640"/>
      <c r="K4" s="640"/>
      <c r="O4" s="639"/>
      <c r="P4" s="639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3" t="str">
        <f>DATA!D14</f>
        <v>RUMAH POMPA KALISARI</v>
      </c>
      <c r="H6" s="623"/>
      <c r="I6" s="623"/>
      <c r="J6" s="623"/>
      <c r="K6" s="623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1642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42" t="s">
        <v>0</v>
      </c>
      <c r="C11" s="644" t="s">
        <v>1</v>
      </c>
      <c r="D11" s="633" t="s">
        <v>42</v>
      </c>
      <c r="E11" s="633" t="s">
        <v>43</v>
      </c>
      <c r="F11" s="633" t="s">
        <v>2</v>
      </c>
      <c r="G11" s="647" t="s">
        <v>41</v>
      </c>
      <c r="H11" s="633" t="s">
        <v>3</v>
      </c>
      <c r="I11" s="633"/>
      <c r="J11" s="633"/>
      <c r="K11" s="634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43"/>
      <c r="C12" s="645"/>
      <c r="D12" s="637"/>
      <c r="E12" s="637"/>
      <c r="F12" s="637"/>
      <c r="G12" s="648"/>
      <c r="H12" s="635" t="s">
        <v>46</v>
      </c>
      <c r="I12" s="635" t="s">
        <v>5</v>
      </c>
      <c r="J12" s="637" t="s">
        <v>47</v>
      </c>
      <c r="K12" s="638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43"/>
      <c r="C13" s="646"/>
      <c r="D13" s="637"/>
      <c r="E13" s="637"/>
      <c r="F13" s="637"/>
      <c r="G13" s="649"/>
      <c r="H13" s="636"/>
      <c r="I13" s="636"/>
      <c r="J13" s="637"/>
      <c r="K13" s="638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2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11600000</v>
      </c>
      <c r="J17" s="361">
        <f t="shared" ref="J17" ca="1" si="10">IF(D17="JASA",G17*F17,0)</f>
        <v>0</v>
      </c>
      <c r="K17" s="362">
        <f t="shared" ref="K17" ca="1" si="11">SUM(H17:J17)</f>
        <v>11600000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2</v>
      </c>
      <c r="C18" s="109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v>2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ref="H18:H30" ca="1" si="12">IF(OR(D18="MDU",D18="MDU-KD"),(IF($O$3="RAB NON MDU","PLN KD",G18*F18)),0)</f>
        <v>0</v>
      </c>
      <c r="I18" s="361">
        <f t="shared" ref="I18:I30" ca="1" si="13">IF(D18="HDW",G18*F18,0)</f>
        <v>0</v>
      </c>
      <c r="J18" s="361">
        <f t="shared" ref="J18:J30" ca="1" si="14">IF(D18="JASA",G18*F18,0)</f>
        <v>20133.333333333336</v>
      </c>
      <c r="K18" s="362">
        <f t="shared" ref="K18:K30" ca="1" si="15">SUM(H18:J18)</f>
        <v>20133.333333333336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>
        <v>3</v>
      </c>
      <c r="C19" s="109" t="s">
        <v>461</v>
      </c>
      <c r="D19" s="358" t="str">
        <f ca="1">IF(ISERROR(OFFSET('HARGA SATUAN'!$D$6,MATCH(RAB!C19,'HARGA SATUAN'!$C$7:$C$1492,0),0)),"",OFFSET('HARGA SATUAN'!$D$6,MATCH(RAB!C19,'HARGA SATUAN'!$C$7:$C$1492,0),0))</f>
        <v>HDW</v>
      </c>
      <c r="E19" s="359" t="str">
        <f ca="1">IF(B19="+","Unit",IF(ISERROR(OFFSET('HARGA SATUAN'!$E$6,MATCH(RAB!C19,'HARGA SATUAN'!$C$7:$C$1492,0),0)),"",OFFSET('HARGA SATUAN'!$E$6,MATCH(RAB!C19,'HARGA SATUAN'!$C$7:$C$1492,0),0)))</f>
        <v>Set</v>
      </c>
      <c r="F19" s="368">
        <v>1</v>
      </c>
      <c r="G19" s="360">
        <f ca="1">IF(ISERROR(OFFSET('HARGA SATUAN'!$I$6,MATCH(RAB!C19,'HARGA SATUAN'!$C$7:$C$1492,0),0)),0,OFFSET('HARGA SATUAN'!$I$6,MATCH(RAB!C19,'HARGA SATUAN'!$C$7:$C$1492,0),0))</f>
        <v>200000</v>
      </c>
      <c r="H19" s="361">
        <f t="shared" ca="1" si="12"/>
        <v>0</v>
      </c>
      <c r="I19" s="361">
        <f t="shared" ca="1" si="13"/>
        <v>200000</v>
      </c>
      <c r="J19" s="361">
        <f t="shared" ca="1" si="14"/>
        <v>0</v>
      </c>
      <c r="K19" s="362">
        <f t="shared" ca="1" si="15"/>
        <v>200000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71"/>
      <c r="C20" s="109"/>
      <c r="D20" s="358"/>
      <c r="E20" s="359"/>
      <c r="F20" s="368"/>
      <c r="G20" s="360"/>
      <c r="H20" s="361"/>
      <c r="I20" s="361"/>
      <c r="J20" s="361"/>
      <c r="K20" s="362"/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66" t="s">
        <v>1613</v>
      </c>
      <c r="C21" s="367" t="s">
        <v>1629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2"/>
        <v>0</v>
      </c>
      <c r="I21" s="361">
        <f t="shared" ca="1" si="13"/>
        <v>0</v>
      </c>
      <c r="J21" s="361">
        <f t="shared" ca="1" si="14"/>
        <v>0</v>
      </c>
      <c r="K21" s="362">
        <f t="shared" ca="1" si="15"/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65" customFormat="1">
      <c r="A22" s="336"/>
      <c r="B22" s="506"/>
      <c r="C22" s="507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12"/>
        <v>0</v>
      </c>
      <c r="I22" s="361">
        <f t="shared" ca="1" si="13"/>
        <v>0</v>
      </c>
      <c r="J22" s="361">
        <f t="shared" ca="1" si="14"/>
        <v>0</v>
      </c>
      <c r="K22" s="362">
        <f t="shared" ca="1" si="15"/>
        <v>0</v>
      </c>
      <c r="L22" s="342"/>
      <c r="M22" s="342"/>
      <c r="N22" s="369"/>
      <c r="O22" s="344"/>
      <c r="P22" s="397"/>
      <c r="Q22" s="344"/>
    </row>
    <row r="23" spans="1:22" s="365" customFormat="1">
      <c r="A23" s="336"/>
      <c r="B23" s="513" t="s">
        <v>1035</v>
      </c>
      <c r="C23" s="514" t="s">
        <v>1634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>Unit</v>
      </c>
      <c r="F23" s="519">
        <v>1</v>
      </c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2"/>
        <v>0</v>
      </c>
      <c r="I23" s="361">
        <f t="shared" ca="1" si="13"/>
        <v>0</v>
      </c>
      <c r="J23" s="361">
        <f t="shared" ca="1" si="14"/>
        <v>0</v>
      </c>
      <c r="K23" s="362">
        <f t="shared" ca="1" si="15"/>
        <v>0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513">
        <v>1</v>
      </c>
      <c r="C24" s="109" t="s">
        <v>1565</v>
      </c>
      <c r="D24" s="358" t="str">
        <f ca="1">IF(ISERROR(OFFSET('HARGA SATUAN'!$D$6,MATCH(RAB!C24,'HARGA SATUAN'!$C$7:$C$1492,0),0)),"",OFFSET('HARGA SATUAN'!$D$6,MATCH(RAB!C24,'HARGA SATUAN'!$C$7:$C$1492,0),0))</f>
        <v>MDU-KD</v>
      </c>
      <c r="E24" s="359" t="str">
        <f ca="1">IF(B24="+","Unit",IF(ISERROR(OFFSET('HARGA SATUAN'!$E$6,MATCH(RAB!C24,'HARGA SATUAN'!$C$7:$C$1492,0),0)),"",OFFSET('HARGA SATUAN'!$E$6,MATCH(RAB!C24,'HARGA SATUAN'!$C$7:$C$1492,0),0)))</f>
        <v>Set</v>
      </c>
      <c r="F24" s="519">
        <f>F23*1</f>
        <v>1</v>
      </c>
      <c r="G24" s="360">
        <f ca="1">IF(ISERROR(OFFSET('HARGA SATUAN'!$I$6,MATCH(RAB!C24,'HARGA SATUAN'!$C$7:$C$1492,0),0)),0,OFFSET('HARGA SATUAN'!$I$6,MATCH(RAB!C24,'HARGA SATUAN'!$C$7:$C$1492,0),0))</f>
        <v>430000</v>
      </c>
      <c r="H24" s="361">
        <f t="shared" ca="1" si="12"/>
        <v>430000</v>
      </c>
      <c r="I24" s="361">
        <f t="shared" ca="1" si="13"/>
        <v>0</v>
      </c>
      <c r="J24" s="361">
        <f t="shared" ca="1" si="14"/>
        <v>0</v>
      </c>
      <c r="K24" s="362">
        <f t="shared" ca="1" si="15"/>
        <v>430000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513">
        <v>2</v>
      </c>
      <c r="C25" s="514" t="s">
        <v>152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Mtr</v>
      </c>
      <c r="F25" s="519">
        <f>F23*2</f>
        <v>2</v>
      </c>
      <c r="G25" s="360">
        <f ca="1">IF(ISERROR(OFFSET('HARGA SATUAN'!$I$6,MATCH(RAB!C25,'HARGA SATUAN'!$C$7:$C$1492,0),0)),0,OFFSET('HARGA SATUAN'!$I$6,MATCH(RAB!C25,'HARGA SATUAN'!$C$7:$C$1492,0),0))</f>
        <v>7789</v>
      </c>
      <c r="H25" s="361">
        <f t="shared" ca="1" si="12"/>
        <v>0</v>
      </c>
      <c r="I25" s="361">
        <f t="shared" ca="1" si="13"/>
        <v>15578</v>
      </c>
      <c r="J25" s="361">
        <f t="shared" ca="1" si="14"/>
        <v>0</v>
      </c>
      <c r="K25" s="362">
        <f t="shared" ca="1" si="15"/>
        <v>15578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513">
        <v>3</v>
      </c>
      <c r="C26" s="514" t="s">
        <v>179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0">
        <f>F23*1</f>
        <v>1</v>
      </c>
      <c r="G26" s="360">
        <f ca="1">IF(ISERROR(OFFSET('HARGA SATUAN'!$I$6,MATCH(RAB!C26,'HARGA SATUAN'!$C$7:$C$1492,0),0)),0,OFFSET('HARGA SATUAN'!$I$6,MATCH(RAB!C26,'HARGA SATUAN'!$C$7:$C$1492,0),0))</f>
        <v>15500</v>
      </c>
      <c r="H26" s="361">
        <f t="shared" ca="1" si="12"/>
        <v>0</v>
      </c>
      <c r="I26" s="361">
        <f t="shared" ca="1" si="13"/>
        <v>15500</v>
      </c>
      <c r="J26" s="361">
        <f t="shared" ca="1" si="14"/>
        <v>0</v>
      </c>
      <c r="K26" s="362">
        <f t="shared" ca="1" si="15"/>
        <v>15500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513">
        <v>4</v>
      </c>
      <c r="C27" s="514" t="s">
        <v>184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0">
        <f>F23*2</f>
        <v>2</v>
      </c>
      <c r="G27" s="360">
        <f ca="1">IF(ISERROR(OFFSET('HARGA SATUAN'!$I$6,MATCH(RAB!C27,'HARGA SATUAN'!$C$7:$C$1492,0),0)),0,OFFSET('HARGA SATUAN'!$I$6,MATCH(RAB!C27,'HARGA SATUAN'!$C$7:$C$1492,0),0))</f>
        <v>15900</v>
      </c>
      <c r="H27" s="361">
        <f t="shared" ca="1" si="12"/>
        <v>0</v>
      </c>
      <c r="I27" s="361">
        <f t="shared" ca="1" si="13"/>
        <v>31800</v>
      </c>
      <c r="J27" s="361">
        <f t="shared" ca="1" si="14"/>
        <v>0</v>
      </c>
      <c r="K27" s="362">
        <f t="shared" ca="1" si="15"/>
        <v>31800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513">
        <v>5</v>
      </c>
      <c r="C28" s="514" t="s">
        <v>217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500">
        <f>F23*1</f>
        <v>1</v>
      </c>
      <c r="G28" s="360">
        <f ca="1">IF(ISERROR(OFFSET('HARGA SATUAN'!$I$6,MATCH(RAB!C28,'HARGA SATUAN'!$C$7:$C$1492,0),0)),0,OFFSET('HARGA SATUAN'!$I$6,MATCH(RAB!C28,'HARGA SATUAN'!$C$7:$C$1492,0),0))</f>
        <v>11400</v>
      </c>
      <c r="H28" s="361">
        <f t="shared" ca="1" si="12"/>
        <v>0</v>
      </c>
      <c r="I28" s="361">
        <f t="shared" ca="1" si="13"/>
        <v>11400</v>
      </c>
      <c r="J28" s="361">
        <f t="shared" ca="1" si="14"/>
        <v>0</v>
      </c>
      <c r="K28" s="362">
        <f t="shared" ca="1" si="15"/>
        <v>11400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513">
        <v>6</v>
      </c>
      <c r="C29" s="514" t="s">
        <v>218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500">
        <f>F23*1</f>
        <v>1</v>
      </c>
      <c r="G29" s="360">
        <f ca="1">IF(ISERROR(OFFSET('HARGA SATUAN'!$I$6,MATCH(RAB!C29,'HARGA SATUAN'!$C$7:$C$1492,0),0)),0,OFFSET('HARGA SATUAN'!$I$6,MATCH(RAB!C29,'HARGA SATUAN'!$C$7:$C$1492,0),0))</f>
        <v>29600</v>
      </c>
      <c r="H29" s="361">
        <f t="shared" ca="1" si="12"/>
        <v>0</v>
      </c>
      <c r="I29" s="361">
        <f t="shared" ca="1" si="13"/>
        <v>29600</v>
      </c>
      <c r="J29" s="361">
        <f t="shared" ca="1" si="14"/>
        <v>0</v>
      </c>
      <c r="K29" s="362">
        <f t="shared" ca="1" si="15"/>
        <v>29600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515">
        <v>7</v>
      </c>
      <c r="C30" s="516" t="s">
        <v>223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0">
        <f>2.6*F23</f>
        <v>2.6</v>
      </c>
      <c r="G30" s="360">
        <f ca="1">IF(ISERROR(OFFSET('HARGA SATUAN'!$I$6,MATCH(RAB!C30,'HARGA SATUAN'!$C$7:$C$1492,0),0)),0,OFFSET('HARGA SATUAN'!$I$6,MATCH(RAB!C30,'HARGA SATUAN'!$C$7:$C$1492,0),0))</f>
        <v>27815</v>
      </c>
      <c r="H30" s="361">
        <f t="shared" ca="1" si="12"/>
        <v>0</v>
      </c>
      <c r="I30" s="361">
        <f t="shared" ca="1" si="13"/>
        <v>72319</v>
      </c>
      <c r="J30" s="361">
        <f t="shared" ca="1" si="14"/>
        <v>0</v>
      </c>
      <c r="K30" s="362">
        <f t="shared" ca="1" si="15"/>
        <v>72319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513">
        <v>8</v>
      </c>
      <c r="C31" s="514" t="s">
        <v>25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19">
        <v>5</v>
      </c>
      <c r="G31" s="360">
        <f ca="1">IF(ISERROR(OFFSET('HARGA SATUAN'!$I$6,MATCH(RAB!C31,'HARGA SATUAN'!$C$7:$C$1492,0),0)),0,OFFSET('HARGA SATUAN'!$I$6,MATCH(RAB!C31,'HARGA SATUAN'!$C$7:$C$1492,0),0))</f>
        <v>23936</v>
      </c>
      <c r="H31" s="361">
        <f t="shared" ref="H31:H49" ca="1" si="16">IF(OR(D31="MDU",D31="MDU-KD"),(IF($O$3="RAB NON MDU","PLN KD",G31*F31)),0)</f>
        <v>0</v>
      </c>
      <c r="I31" s="361">
        <f t="shared" ref="I31:I49" ca="1" si="17">IF(D31="HDW",G31*F31,0)</f>
        <v>119680</v>
      </c>
      <c r="J31" s="361">
        <f t="shared" ref="J31:J49" ca="1" si="18">IF(D31="JASA",G31*F31,0)</f>
        <v>0</v>
      </c>
      <c r="K31" s="362">
        <f t="shared" ref="K31:K49" ca="1" si="19">SUM(H31:J31)</f>
        <v>119680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513">
        <v>9</v>
      </c>
      <c r="C32" s="109" t="s">
        <v>247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19">
        <f>F31*1</f>
        <v>5</v>
      </c>
      <c r="G32" s="360">
        <f ca="1">IF(ISERROR(OFFSET('HARGA SATUAN'!$I$6,MATCH(RAB!C32,'HARGA SATUAN'!$C$7:$C$1492,0),0)),0,OFFSET('HARGA SATUAN'!$I$6,MATCH(RAB!C32,'HARGA SATUAN'!$C$7:$C$1492,0),0))</f>
        <v>57690</v>
      </c>
      <c r="H32" s="361">
        <f t="shared" ca="1" si="16"/>
        <v>0</v>
      </c>
      <c r="I32" s="361">
        <f t="shared" ca="1" si="17"/>
        <v>288450</v>
      </c>
      <c r="J32" s="361">
        <f t="shared" ca="1" si="18"/>
        <v>0</v>
      </c>
      <c r="K32" s="362">
        <f t="shared" ca="1" si="19"/>
        <v>288450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513">
        <v>10</v>
      </c>
      <c r="C33" s="514" t="s">
        <v>27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19">
        <f>F31*2</f>
        <v>10</v>
      </c>
      <c r="G33" s="360">
        <f ca="1">IF(ISERROR(OFFSET('HARGA SATUAN'!$I$6,MATCH(RAB!C33,'HARGA SATUAN'!$C$7:$C$1492,0),0)),0,OFFSET('HARGA SATUAN'!$I$6,MATCH(RAB!C33,'HARGA SATUAN'!$C$7:$C$1492,0),0))</f>
        <v>16000</v>
      </c>
      <c r="H33" s="361">
        <f t="shared" ca="1" si="16"/>
        <v>0</v>
      </c>
      <c r="I33" s="361">
        <f t="shared" ca="1" si="17"/>
        <v>160000</v>
      </c>
      <c r="J33" s="361">
        <f t="shared" ca="1" si="18"/>
        <v>0</v>
      </c>
      <c r="K33" s="362">
        <f t="shared" ca="1" si="19"/>
        <v>160000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513">
        <v>11</v>
      </c>
      <c r="C34" s="514" t="s">
        <v>265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0">
        <f>F31*1</f>
        <v>5</v>
      </c>
      <c r="G34" s="360">
        <f ca="1">IF(ISERROR(OFFSET('HARGA SATUAN'!$I$6,MATCH(RAB!C34,'HARGA SATUAN'!$C$7:$C$1492,0),0)),0,OFFSET('HARGA SATUAN'!$I$6,MATCH(RAB!C34,'HARGA SATUAN'!$C$7:$C$1492,0),0))</f>
        <v>33501.866666666669</v>
      </c>
      <c r="H34" s="361">
        <f t="shared" ca="1" si="16"/>
        <v>0</v>
      </c>
      <c r="I34" s="361">
        <f t="shared" ca="1" si="17"/>
        <v>167509.33333333334</v>
      </c>
      <c r="J34" s="361">
        <f t="shared" ca="1" si="18"/>
        <v>0</v>
      </c>
      <c r="K34" s="362">
        <f t="shared" ca="1" si="19"/>
        <v>167509.33333333334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513">
        <v>12</v>
      </c>
      <c r="C35" s="514" t="s">
        <v>26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500">
        <f>F31*2</f>
        <v>10</v>
      </c>
      <c r="G35" s="360">
        <f ca="1">IF(ISERROR(OFFSET('HARGA SATUAN'!$I$6,MATCH(RAB!C35,'HARGA SATUAN'!$C$7:$C$1492,0),0)),0,OFFSET('HARGA SATUAN'!$I$6,MATCH(RAB!C35,'HARGA SATUAN'!$C$7:$C$1492,0),0))</f>
        <v>2500</v>
      </c>
      <c r="H35" s="361">
        <f t="shared" ca="1" si="16"/>
        <v>0</v>
      </c>
      <c r="I35" s="361">
        <f t="shared" ca="1" si="17"/>
        <v>25000</v>
      </c>
      <c r="J35" s="361">
        <f t="shared" ca="1" si="18"/>
        <v>0</v>
      </c>
      <c r="K35" s="362">
        <f t="shared" ca="1" si="19"/>
        <v>25000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513">
        <v>13</v>
      </c>
      <c r="C36" s="514" t="s">
        <v>652</v>
      </c>
      <c r="D36" s="358" t="str">
        <f ca="1">IF(ISERROR(OFFSET('HARGA SATUAN'!$D$6,MATCH(RAB!C36,'HARGA SATUAN'!$C$7:$C$1492,0),0)),"",OFFSET('HARGA SATUAN'!$D$6,MATCH(RAB!C36,'HARGA SATUAN'!$C$7:$C$1492,0),0))</f>
        <v>JASA</v>
      </c>
      <c r="E36" s="359" t="str">
        <f ca="1">IF(B36="+","Unit",IF(ISERROR(OFFSET('HARGA SATUAN'!$E$6,MATCH(RAB!C36,'HARGA SATUAN'!$C$7:$C$1492,0),0)),"",OFFSET('HARGA SATUAN'!$E$6,MATCH(RAB!C36,'HARGA SATUAN'!$C$7:$C$1492,0),0)))</f>
        <v>Unit</v>
      </c>
      <c r="F36" s="500">
        <f>F31*1</f>
        <v>5</v>
      </c>
      <c r="G36" s="360">
        <f ca="1">IF(ISERROR(OFFSET('HARGA SATUAN'!$I$6,MATCH(RAB!C36,'HARGA SATUAN'!$C$7:$C$1492,0),0)),0,OFFSET('HARGA SATUAN'!$I$6,MATCH(RAB!C36,'HARGA SATUAN'!$C$7:$C$1492,0),0))</f>
        <v>85800</v>
      </c>
      <c r="H36" s="361">
        <f t="shared" ca="1" si="16"/>
        <v>0</v>
      </c>
      <c r="I36" s="361">
        <f t="shared" ca="1" si="17"/>
        <v>0</v>
      </c>
      <c r="J36" s="361">
        <f t="shared" ca="1" si="18"/>
        <v>429000</v>
      </c>
      <c r="K36" s="362">
        <f t="shared" ca="1" si="19"/>
        <v>429000</v>
      </c>
      <c r="L36" s="342"/>
      <c r="M36" s="342"/>
      <c r="N36" s="369"/>
      <c r="O36" s="344"/>
      <c r="P36" s="397"/>
      <c r="Q36" s="344"/>
    </row>
    <row r="37" spans="1:17" s="365" customFormat="1">
      <c r="A37" s="336"/>
      <c r="B37" s="506"/>
      <c r="C37" s="507"/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368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ca="1" si="16"/>
        <v>0</v>
      </c>
      <c r="I37" s="361">
        <f t="shared" ca="1" si="17"/>
        <v>0</v>
      </c>
      <c r="J37" s="361">
        <f t="shared" ca="1" si="18"/>
        <v>0</v>
      </c>
      <c r="K37" s="362">
        <f t="shared" ca="1" si="19"/>
        <v>0</v>
      </c>
      <c r="L37" s="342"/>
      <c r="M37" s="342"/>
      <c r="N37" s="369"/>
      <c r="O37" s="344"/>
      <c r="P37" s="397"/>
      <c r="Q37" s="344"/>
    </row>
    <row r="38" spans="1:17" s="365" customFormat="1">
      <c r="A38" s="336"/>
      <c r="B38" s="513" t="s">
        <v>1035</v>
      </c>
      <c r="C38" s="518" t="s">
        <v>1627</v>
      </c>
      <c r="D38" s="358" t="str">
        <f ca="1">IF(ISERROR(OFFSET('HARGA SATUAN'!$D$6,MATCH(RAB!C38,'HARGA SATUAN'!$C$7:$C$1492,0),0)),"",OFFSET('HARGA SATUAN'!$D$6,MATCH(RAB!C38,'HARGA SATUAN'!$C$7:$C$1492,0),0))</f>
        <v/>
      </c>
      <c r="E38" s="359" t="str">
        <f ca="1">IF(B38="+","Unit",IF(ISERROR(OFFSET('HARGA SATUAN'!$E$6,MATCH(RAB!C38,'HARGA SATUAN'!$C$7:$C$1492,0),0)),"",OFFSET('HARGA SATUAN'!$E$6,MATCH(RAB!C38,'HARGA SATUAN'!$C$7:$C$1492,0),0)))</f>
        <v>Unit</v>
      </c>
      <c r="F38" s="519">
        <v>1</v>
      </c>
      <c r="G38" s="360">
        <f ca="1">IF(ISERROR(OFFSET('HARGA SATUAN'!$I$6,MATCH(RAB!C38,'HARGA SATUAN'!$C$7:$C$1492,0),0)),0,OFFSET('HARGA SATUAN'!$I$6,MATCH(RAB!C38,'HARGA SATUAN'!$C$7:$C$1492,0),0))</f>
        <v>0</v>
      </c>
      <c r="H38" s="361">
        <f t="shared" ca="1" si="16"/>
        <v>0</v>
      </c>
      <c r="I38" s="361">
        <f t="shared" ca="1" si="17"/>
        <v>0</v>
      </c>
      <c r="J38" s="361">
        <f t="shared" ca="1" si="18"/>
        <v>0</v>
      </c>
      <c r="K38" s="362">
        <f t="shared" ca="1" si="19"/>
        <v>0</v>
      </c>
      <c r="L38" s="342"/>
      <c r="M38" s="342"/>
      <c r="N38" s="369"/>
      <c r="O38" s="344"/>
      <c r="P38" s="397"/>
      <c r="Q38" s="344"/>
    </row>
    <row r="39" spans="1:17" s="365" customFormat="1">
      <c r="A39" s="336"/>
      <c r="B39" s="513">
        <v>1</v>
      </c>
      <c r="C39" s="109" t="s">
        <v>1565</v>
      </c>
      <c r="D39" s="358" t="str">
        <f ca="1">IF(ISERROR(OFFSET('HARGA SATUAN'!$D$6,MATCH(RAB!C39,'HARGA SATUAN'!$C$7:$C$1492,0),0)),"",OFFSET('HARGA SATUAN'!$D$6,MATCH(RAB!C39,'HARGA SATUAN'!$C$7:$C$1492,0),0))</f>
        <v>MDU-KD</v>
      </c>
      <c r="E39" s="359" t="str">
        <f ca="1">IF(B39="+","Unit",IF(ISERROR(OFFSET('HARGA SATUAN'!$E$6,MATCH(RAB!C39,'HARGA SATUAN'!$C$7:$C$1492,0),0)),"",OFFSET('HARGA SATUAN'!$E$6,MATCH(RAB!C39,'HARGA SATUAN'!$C$7:$C$1492,0),0)))</f>
        <v>Set</v>
      </c>
      <c r="F39" s="519">
        <f>F38*1</f>
        <v>1</v>
      </c>
      <c r="G39" s="360">
        <f ca="1">IF(ISERROR(OFFSET('HARGA SATUAN'!$I$6,MATCH(RAB!C39,'HARGA SATUAN'!$C$7:$C$1492,0),0)),0,OFFSET('HARGA SATUAN'!$I$6,MATCH(RAB!C39,'HARGA SATUAN'!$C$7:$C$1492,0),0))</f>
        <v>430000</v>
      </c>
      <c r="H39" s="361">
        <f t="shared" ca="1" si="16"/>
        <v>430000</v>
      </c>
      <c r="I39" s="361">
        <f t="shared" ca="1" si="17"/>
        <v>0</v>
      </c>
      <c r="J39" s="361">
        <f t="shared" ca="1" si="18"/>
        <v>0</v>
      </c>
      <c r="K39" s="362">
        <f t="shared" ca="1" si="19"/>
        <v>430000</v>
      </c>
      <c r="L39" s="342"/>
      <c r="M39" s="342"/>
      <c r="N39" s="369"/>
      <c r="O39" s="344"/>
      <c r="P39" s="397"/>
      <c r="Q39" s="344"/>
    </row>
    <row r="40" spans="1:17" s="365" customFormat="1">
      <c r="A40" s="336"/>
      <c r="B40" s="513">
        <v>2</v>
      </c>
      <c r="C40" s="518" t="s">
        <v>152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Mtr</v>
      </c>
      <c r="F40" s="519">
        <f>F38*1</f>
        <v>1</v>
      </c>
      <c r="G40" s="360">
        <f ca="1">IF(ISERROR(OFFSET('HARGA SATUAN'!$I$6,MATCH(RAB!C40,'HARGA SATUAN'!$C$7:$C$1492,0),0)),0,OFFSET('HARGA SATUAN'!$I$6,MATCH(RAB!C40,'HARGA SATUAN'!$C$7:$C$1492,0),0))</f>
        <v>7789</v>
      </c>
      <c r="H40" s="361">
        <f t="shared" ca="1" si="16"/>
        <v>0</v>
      </c>
      <c r="I40" s="361">
        <f t="shared" ca="1" si="17"/>
        <v>7789</v>
      </c>
      <c r="J40" s="361">
        <f t="shared" ca="1" si="18"/>
        <v>0</v>
      </c>
      <c r="K40" s="362">
        <f t="shared" ca="1" si="19"/>
        <v>7789</v>
      </c>
      <c r="L40" s="342"/>
      <c r="M40" s="342"/>
      <c r="N40" s="369"/>
      <c r="O40" s="344"/>
      <c r="P40" s="397"/>
      <c r="Q40" s="344"/>
    </row>
    <row r="41" spans="1:17" s="365" customFormat="1">
      <c r="A41" s="336"/>
      <c r="B41" s="513">
        <v>3</v>
      </c>
      <c r="C41" s="518" t="s">
        <v>179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519">
        <f>F38*1</f>
        <v>1</v>
      </c>
      <c r="G41" s="360">
        <f ca="1">IF(ISERROR(OFFSET('HARGA SATUAN'!$I$6,MATCH(RAB!C41,'HARGA SATUAN'!$C$7:$C$1492,0),0)),0,OFFSET('HARGA SATUAN'!$I$6,MATCH(RAB!C41,'HARGA SATUAN'!$C$7:$C$1492,0),0))</f>
        <v>15500</v>
      </c>
      <c r="H41" s="361">
        <f t="shared" ca="1" si="16"/>
        <v>0</v>
      </c>
      <c r="I41" s="361">
        <f t="shared" ca="1" si="17"/>
        <v>15500</v>
      </c>
      <c r="J41" s="361">
        <f t="shared" ca="1" si="18"/>
        <v>0</v>
      </c>
      <c r="K41" s="362">
        <f t="shared" ca="1" si="19"/>
        <v>15500</v>
      </c>
      <c r="L41" s="342"/>
      <c r="M41" s="342"/>
      <c r="N41" s="369"/>
      <c r="O41" s="344"/>
      <c r="P41" s="397"/>
      <c r="Q41" s="344"/>
    </row>
    <row r="42" spans="1:17" s="365" customFormat="1">
      <c r="A42" s="336"/>
      <c r="B42" s="513">
        <v>4</v>
      </c>
      <c r="C42" s="518" t="s">
        <v>217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19">
        <f>F38*2</f>
        <v>2</v>
      </c>
      <c r="G42" s="360">
        <f ca="1">IF(ISERROR(OFFSET('HARGA SATUAN'!$I$6,MATCH(RAB!C42,'HARGA SATUAN'!$C$7:$C$1492,0),0)),0,OFFSET('HARGA SATUAN'!$I$6,MATCH(RAB!C42,'HARGA SATUAN'!$C$7:$C$1492,0),0))</f>
        <v>11400</v>
      </c>
      <c r="H42" s="361">
        <f t="shared" ca="1" si="16"/>
        <v>0</v>
      </c>
      <c r="I42" s="361">
        <f t="shared" ca="1" si="17"/>
        <v>22800</v>
      </c>
      <c r="J42" s="361">
        <f t="shared" ca="1" si="18"/>
        <v>0</v>
      </c>
      <c r="K42" s="362">
        <f t="shared" ca="1" si="19"/>
        <v>22800</v>
      </c>
      <c r="L42" s="342"/>
      <c r="M42" s="342"/>
      <c r="N42" s="369"/>
      <c r="O42" s="344"/>
      <c r="P42" s="397"/>
      <c r="Q42" s="344"/>
    </row>
    <row r="43" spans="1:17" s="365" customFormat="1">
      <c r="A43" s="336"/>
      <c r="B43" s="513">
        <v>5</v>
      </c>
      <c r="C43" s="518" t="s">
        <v>218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19">
        <f>F38*2</f>
        <v>2</v>
      </c>
      <c r="G43" s="360">
        <f ca="1">IF(ISERROR(OFFSET('HARGA SATUAN'!$I$6,MATCH(RAB!C43,'HARGA SATUAN'!$C$7:$C$1492,0),0)),0,OFFSET('HARGA SATUAN'!$I$6,MATCH(RAB!C43,'HARGA SATUAN'!$C$7:$C$1492,0),0))</f>
        <v>29600</v>
      </c>
      <c r="H43" s="361">
        <f t="shared" ca="1" si="16"/>
        <v>0</v>
      </c>
      <c r="I43" s="361">
        <f t="shared" ca="1" si="17"/>
        <v>59200</v>
      </c>
      <c r="J43" s="361">
        <f t="shared" ca="1" si="18"/>
        <v>0</v>
      </c>
      <c r="K43" s="362">
        <f t="shared" ca="1" si="19"/>
        <v>59200</v>
      </c>
      <c r="L43" s="342"/>
      <c r="M43" s="342"/>
      <c r="N43" s="369"/>
      <c r="O43" s="344"/>
      <c r="P43" s="397"/>
      <c r="Q43" s="344"/>
    </row>
    <row r="44" spans="1:17" s="365" customFormat="1">
      <c r="A44" s="336"/>
      <c r="B44" s="513">
        <v>6</v>
      </c>
      <c r="C44" s="518" t="s">
        <v>223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19">
        <f>F38*2</f>
        <v>2</v>
      </c>
      <c r="G44" s="360">
        <f ca="1">IF(ISERROR(OFFSET('HARGA SATUAN'!$I$6,MATCH(RAB!C44,'HARGA SATUAN'!$C$7:$C$1492,0),0)),0,OFFSET('HARGA SATUAN'!$I$6,MATCH(RAB!C44,'HARGA SATUAN'!$C$7:$C$1492,0),0))</f>
        <v>27815</v>
      </c>
      <c r="H44" s="361">
        <f t="shared" ca="1" si="16"/>
        <v>0</v>
      </c>
      <c r="I44" s="361">
        <f t="shared" ca="1" si="17"/>
        <v>55630</v>
      </c>
      <c r="J44" s="361">
        <f t="shared" ca="1" si="18"/>
        <v>0</v>
      </c>
      <c r="K44" s="362">
        <f t="shared" ca="1" si="19"/>
        <v>55630</v>
      </c>
      <c r="L44" s="342"/>
      <c r="M44" s="342"/>
      <c r="N44" s="369"/>
      <c r="O44" s="344"/>
      <c r="P44" s="397"/>
      <c r="Q44" s="344"/>
    </row>
    <row r="45" spans="1:17" s="365" customFormat="1">
      <c r="A45" s="336"/>
      <c r="B45" s="513">
        <v>7</v>
      </c>
      <c r="C45" s="518" t="s">
        <v>27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19">
        <f>F38*1</f>
        <v>1</v>
      </c>
      <c r="G45" s="360">
        <f ca="1">IF(ISERROR(OFFSET('HARGA SATUAN'!$I$6,MATCH(RAB!C45,'HARGA SATUAN'!$C$7:$C$1492,0),0)),0,OFFSET('HARGA SATUAN'!$I$6,MATCH(RAB!C45,'HARGA SATUAN'!$C$7:$C$1492,0),0))</f>
        <v>16000</v>
      </c>
      <c r="H45" s="361">
        <f t="shared" ca="1" si="16"/>
        <v>0</v>
      </c>
      <c r="I45" s="361">
        <f t="shared" ca="1" si="17"/>
        <v>16000</v>
      </c>
      <c r="J45" s="361">
        <f t="shared" ca="1" si="18"/>
        <v>0</v>
      </c>
      <c r="K45" s="362">
        <f t="shared" ca="1" si="19"/>
        <v>16000</v>
      </c>
      <c r="L45" s="342"/>
      <c r="M45" s="342"/>
      <c r="N45" s="369"/>
      <c r="O45" s="344"/>
      <c r="P45" s="397"/>
      <c r="Q45" s="344"/>
    </row>
    <row r="46" spans="1:17" s="365" customFormat="1">
      <c r="A46" s="336"/>
      <c r="B46" s="513">
        <v>8</v>
      </c>
      <c r="C46" s="518" t="s">
        <v>265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19">
        <f>F38*1</f>
        <v>1</v>
      </c>
      <c r="G46" s="360">
        <f ca="1">IF(ISERROR(OFFSET('HARGA SATUAN'!$I$6,MATCH(RAB!C46,'HARGA SATUAN'!$C$7:$C$1492,0),0)),0,OFFSET('HARGA SATUAN'!$I$6,MATCH(RAB!C46,'HARGA SATUAN'!$C$7:$C$1492,0),0))</f>
        <v>33501.866666666669</v>
      </c>
      <c r="H46" s="361">
        <f t="shared" ca="1" si="16"/>
        <v>0</v>
      </c>
      <c r="I46" s="361">
        <f t="shared" ca="1" si="17"/>
        <v>33501.866666666669</v>
      </c>
      <c r="J46" s="361">
        <f t="shared" ca="1" si="18"/>
        <v>0</v>
      </c>
      <c r="K46" s="362">
        <f t="shared" ca="1" si="19"/>
        <v>33501.866666666669</v>
      </c>
      <c r="L46" s="342"/>
      <c r="M46" s="342"/>
      <c r="N46" s="369"/>
      <c r="O46" s="344"/>
      <c r="P46" s="397"/>
      <c r="Q46" s="344"/>
    </row>
    <row r="47" spans="1:17" s="365" customFormat="1">
      <c r="A47" s="336"/>
      <c r="B47" s="513">
        <v>9</v>
      </c>
      <c r="C47" s="518" t="s">
        <v>26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19">
        <f>F38*2</f>
        <v>2</v>
      </c>
      <c r="G47" s="360">
        <f ca="1">IF(ISERROR(OFFSET('HARGA SATUAN'!$I$6,MATCH(RAB!C47,'HARGA SATUAN'!$C$7:$C$1492,0),0)),0,OFFSET('HARGA SATUAN'!$I$6,MATCH(RAB!C47,'HARGA SATUAN'!$C$7:$C$1492,0),0))</f>
        <v>2500</v>
      </c>
      <c r="H47" s="361">
        <f t="shared" ca="1" si="16"/>
        <v>0</v>
      </c>
      <c r="I47" s="361">
        <f t="shared" ca="1" si="17"/>
        <v>5000</v>
      </c>
      <c r="J47" s="361">
        <f t="shared" ca="1" si="18"/>
        <v>0</v>
      </c>
      <c r="K47" s="362">
        <f t="shared" ca="1" si="19"/>
        <v>5000</v>
      </c>
      <c r="L47" s="342"/>
      <c r="M47" s="342"/>
      <c r="N47" s="369"/>
      <c r="O47" s="344"/>
      <c r="P47" s="397"/>
      <c r="Q47" s="344"/>
    </row>
    <row r="48" spans="1:17" s="365" customFormat="1">
      <c r="A48" s="336"/>
      <c r="B48" s="513">
        <v>10</v>
      </c>
      <c r="C48" s="518" t="s">
        <v>655</v>
      </c>
      <c r="D48" s="358" t="str">
        <f ca="1">IF(ISERROR(OFFSET('HARGA SATUAN'!$D$6,MATCH(RAB!C48,'HARGA SATUAN'!$C$7:$C$1492,0),0)),"",OFFSET('HARGA SATUAN'!$D$6,MATCH(RAB!C48,'HARGA SATUAN'!$C$7:$C$1492,0),0))</f>
        <v>JASA</v>
      </c>
      <c r="E48" s="359" t="str">
        <f ca="1">IF(B48="+","Unit",IF(ISERROR(OFFSET('HARGA SATUAN'!$E$6,MATCH(RAB!C48,'HARGA SATUAN'!$C$7:$C$1492,0),0)),"",OFFSET('HARGA SATUAN'!$E$6,MATCH(RAB!C48,'HARGA SATUAN'!$C$7:$C$1492,0),0)))</f>
        <v>Unit</v>
      </c>
      <c r="F48" s="519">
        <f>F38*1</f>
        <v>1</v>
      </c>
      <c r="G48" s="360">
        <f ca="1">IF(ISERROR(OFFSET('HARGA SATUAN'!$I$6,MATCH(RAB!C48,'HARGA SATUAN'!$C$7:$C$1492,0),0)),0,OFFSET('HARGA SATUAN'!$I$6,MATCH(RAB!C48,'HARGA SATUAN'!$C$7:$C$1492,0),0))</f>
        <v>50100</v>
      </c>
      <c r="H48" s="361">
        <f t="shared" ca="1" si="16"/>
        <v>0</v>
      </c>
      <c r="I48" s="361">
        <f t="shared" ca="1" si="17"/>
        <v>0</v>
      </c>
      <c r="J48" s="361">
        <f t="shared" ca="1" si="18"/>
        <v>50100</v>
      </c>
      <c r="K48" s="362">
        <f t="shared" ca="1" si="19"/>
        <v>50100</v>
      </c>
      <c r="L48" s="342"/>
      <c r="M48" s="342"/>
      <c r="N48" s="369"/>
      <c r="O48" s="344"/>
      <c r="P48" s="397"/>
      <c r="Q48" s="344"/>
    </row>
    <row r="49" spans="1:17" s="365" customFormat="1">
      <c r="A49" s="336"/>
      <c r="B49" s="506"/>
      <c r="C49" s="507"/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/>
      </c>
      <c r="F49" s="368"/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ca="1" si="16"/>
        <v>0</v>
      </c>
      <c r="I49" s="361">
        <f t="shared" ca="1" si="17"/>
        <v>0</v>
      </c>
      <c r="J49" s="361">
        <f t="shared" ca="1" si="18"/>
        <v>0</v>
      </c>
      <c r="K49" s="362">
        <f t="shared" ca="1" si="19"/>
        <v>0</v>
      </c>
      <c r="L49" s="342"/>
      <c r="M49" s="342"/>
      <c r="N49" s="369"/>
      <c r="O49" s="344"/>
      <c r="P49" s="397"/>
      <c r="Q49" s="344"/>
    </row>
    <row r="50" spans="1:17" s="365" customFormat="1">
      <c r="A50" s="336"/>
      <c r="B50" s="512"/>
      <c r="C50" s="502" t="s">
        <v>1626</v>
      </c>
      <c r="D50" s="358" t="str">
        <f ca="1">IF(ISERROR(OFFSET('HARGA SATUAN'!$D$6,MATCH(RAB!C50,'HARGA SATUAN'!$C$7:$C$1492,0),0)),"",OFFSET('HARGA SATUAN'!$D$6,MATCH(RAB!C50,'HARGA SATUAN'!$C$7:$C$1492,0),0))</f>
        <v/>
      </c>
      <c r="E50" s="359" t="str">
        <f ca="1">IF(B50="+","Unit",IF(ISERROR(OFFSET('HARGA SATUAN'!$E$6,MATCH(RAB!C50,'HARGA SATUAN'!$C$7:$C$1492,0),0)),"",OFFSET('HARGA SATUAN'!$E$6,MATCH(RAB!C50,'HARGA SATUAN'!$C$7:$C$1492,0),0)))</f>
        <v/>
      </c>
      <c r="F50" s="500"/>
      <c r="G50" s="360">
        <f ca="1">IF(ISERROR(OFFSET('HARGA SATUAN'!$I$6,MATCH(RAB!C50,'HARGA SATUAN'!$C$7:$C$1492,0),0)),0,OFFSET('HARGA SATUAN'!$I$6,MATCH(RAB!C50,'HARGA SATUAN'!$C$7:$C$1492,0),0))</f>
        <v>0</v>
      </c>
      <c r="H50" s="361">
        <f t="shared" ref="H50" ca="1" si="20">IF(OR(D50="MDU",D50="MDU-KD"),(IF($O$3="RAB NON MDU","PLN KD",G50*F50)),0)</f>
        <v>0</v>
      </c>
      <c r="I50" s="361">
        <f t="shared" ref="I50" ca="1" si="21">IF(D50="HDW",G50*F50,0)</f>
        <v>0</v>
      </c>
      <c r="J50" s="361">
        <f t="shared" ref="J50" ca="1" si="22">IF(D50="JASA",G50*F50,0)</f>
        <v>0</v>
      </c>
      <c r="K50" s="362">
        <f t="shared" ref="K50" ca="1" si="23">SUM(H50:J50)</f>
        <v>0</v>
      </c>
      <c r="L50" s="342"/>
      <c r="M50" s="342"/>
      <c r="N50" s="369"/>
      <c r="O50" s="344"/>
      <c r="P50" s="397"/>
      <c r="Q50" s="344"/>
    </row>
    <row r="51" spans="1:17" s="365" customFormat="1">
      <c r="A51" s="336"/>
      <c r="B51" s="509" t="s">
        <v>1035</v>
      </c>
      <c r="C51" s="510" t="s">
        <v>1623</v>
      </c>
      <c r="D51" s="358" t="str">
        <f ca="1">IF(ISERROR(OFFSET('HARGA SATUAN'!$D$6,MATCH(RAB!C51,'HARGA SATUAN'!$C$7:$C$1492,0),0)),"",OFFSET('HARGA SATUAN'!$D$6,MATCH(RAB!C51,'HARGA SATUAN'!$C$7:$C$1492,0),0))</f>
        <v/>
      </c>
      <c r="E51" s="359" t="str">
        <f ca="1">IF(B51="+","Unit",IF(ISERROR(OFFSET('HARGA SATUAN'!$E$6,MATCH(RAB!C51,'HARGA SATUAN'!$C$7:$C$1492,0),0)),"",OFFSET('HARGA SATUAN'!$E$6,MATCH(RAB!C51,'HARGA SATUAN'!$C$7:$C$1492,0),0)))</f>
        <v>Unit</v>
      </c>
      <c r="F51" s="500">
        <v>2</v>
      </c>
      <c r="G51" s="360">
        <f ca="1">IF(ISERROR(OFFSET('HARGA SATUAN'!$I$6,MATCH(RAB!C51,'HARGA SATUAN'!$C$7:$C$1492,0),0)),0,OFFSET('HARGA SATUAN'!$I$6,MATCH(RAB!C51,'HARGA SATUAN'!$C$7:$C$1492,0),0))</f>
        <v>0</v>
      </c>
      <c r="H51" s="361">
        <f t="shared" ref="H51:H70" ca="1" si="24">IF(OR(D51="MDU",D51="MDU-KD"),(IF($O$3="RAB NON MDU","PLN KD",G51*F51)),0)</f>
        <v>0</v>
      </c>
      <c r="I51" s="361">
        <f t="shared" ref="I51:I70" ca="1" si="25">IF(D51="HDW",G51*F51,0)</f>
        <v>0</v>
      </c>
      <c r="J51" s="361">
        <f t="shared" ref="J51:J70" ca="1" si="26">IF(D51="JASA",G51*F51,0)</f>
        <v>0</v>
      </c>
      <c r="K51" s="362">
        <f t="shared" ref="K51:K70" ca="1" si="27">SUM(H51:J51)</f>
        <v>0</v>
      </c>
      <c r="L51" s="342"/>
      <c r="M51" s="342"/>
      <c r="N51" s="369"/>
      <c r="O51" s="344"/>
      <c r="P51" s="397"/>
      <c r="Q51" s="344"/>
    </row>
    <row r="52" spans="1:17" s="365" customFormat="1">
      <c r="A52" s="336"/>
      <c r="B52" s="509">
        <v>1</v>
      </c>
      <c r="C52" s="510" t="s">
        <v>28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0">
        <f>F51*1</f>
        <v>2</v>
      </c>
      <c r="G52" s="360">
        <f ca="1">IF(ISERROR(OFFSET('HARGA SATUAN'!$I$6,MATCH(RAB!C52,'HARGA SATUAN'!$C$7:$C$1492,0),0)),0,OFFSET('HARGA SATUAN'!$I$6,MATCH(RAB!C52,'HARGA SATUAN'!$C$7:$C$1492,0),0))</f>
        <v>26500</v>
      </c>
      <c r="H52" s="361">
        <f t="shared" ca="1" si="24"/>
        <v>0</v>
      </c>
      <c r="I52" s="361">
        <f t="shared" ca="1" si="25"/>
        <v>53000</v>
      </c>
      <c r="J52" s="361">
        <f t="shared" ca="1" si="26"/>
        <v>0</v>
      </c>
      <c r="K52" s="362">
        <f t="shared" ca="1" si="27"/>
        <v>53000</v>
      </c>
      <c r="L52" s="342"/>
      <c r="M52" s="342"/>
      <c r="N52" s="369"/>
      <c r="O52" s="344"/>
      <c r="P52" s="397"/>
      <c r="Q52" s="344"/>
    </row>
    <row r="53" spans="1:17" s="365" customFormat="1">
      <c r="A53" s="336"/>
      <c r="B53" s="509">
        <v>2</v>
      </c>
      <c r="C53" s="510" t="s">
        <v>203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00">
        <f>F51*1</f>
        <v>2</v>
      </c>
      <c r="G53" s="360">
        <f ca="1">IF(ISERROR(OFFSET('HARGA SATUAN'!$I$6,MATCH(RAB!C53,'HARGA SATUAN'!$C$7:$C$1492,0),0)),0,OFFSET('HARGA SATUAN'!$I$6,MATCH(RAB!C53,'HARGA SATUAN'!$C$7:$C$1492,0),0))</f>
        <v>12500</v>
      </c>
      <c r="H53" s="361">
        <f t="shared" ca="1" si="24"/>
        <v>0</v>
      </c>
      <c r="I53" s="361">
        <f t="shared" ca="1" si="25"/>
        <v>25000</v>
      </c>
      <c r="J53" s="361">
        <f t="shared" ca="1" si="26"/>
        <v>0</v>
      </c>
      <c r="K53" s="362">
        <f t="shared" ca="1" si="27"/>
        <v>25000</v>
      </c>
      <c r="L53" s="342"/>
      <c r="M53" s="342"/>
      <c r="N53" s="369"/>
      <c r="O53" s="344"/>
      <c r="P53" s="397"/>
      <c r="Q53" s="344"/>
    </row>
    <row r="54" spans="1:17" s="365" customFormat="1">
      <c r="A54" s="336"/>
      <c r="B54" s="509">
        <v>3</v>
      </c>
      <c r="C54" s="510" t="s">
        <v>206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Mtr</v>
      </c>
      <c r="F54" s="500">
        <f>F51*12</f>
        <v>24</v>
      </c>
      <c r="G54" s="360">
        <f ca="1">IF(ISERROR(OFFSET('HARGA SATUAN'!$I$6,MATCH(RAB!C54,'HARGA SATUAN'!$C$7:$C$1492,0),0)),0,OFFSET('HARGA SATUAN'!$I$6,MATCH(RAB!C54,'HARGA SATUAN'!$C$7:$C$1492,0),0))</f>
        <v>39204</v>
      </c>
      <c r="H54" s="361">
        <f t="shared" ca="1" si="24"/>
        <v>0</v>
      </c>
      <c r="I54" s="361">
        <f t="shared" ca="1" si="25"/>
        <v>940896</v>
      </c>
      <c r="J54" s="361">
        <f t="shared" ca="1" si="26"/>
        <v>0</v>
      </c>
      <c r="K54" s="362">
        <f t="shared" ca="1" si="27"/>
        <v>940896</v>
      </c>
      <c r="L54" s="342"/>
      <c r="M54" s="342"/>
      <c r="N54" s="369"/>
      <c r="O54" s="344"/>
      <c r="P54" s="397"/>
      <c r="Q54" s="344"/>
    </row>
    <row r="55" spans="1:17" s="365" customFormat="1">
      <c r="A55" s="336"/>
      <c r="B55" s="509">
        <v>4</v>
      </c>
      <c r="C55" s="510" t="s">
        <v>287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00">
        <f>F51*2</f>
        <v>4</v>
      </c>
      <c r="G55" s="360">
        <f ca="1">IF(ISERROR(OFFSET('HARGA SATUAN'!$I$6,MATCH(RAB!C55,'HARGA SATUAN'!$C$7:$C$1492,0),0)),0,OFFSET('HARGA SATUAN'!$I$6,MATCH(RAB!C55,'HARGA SATUAN'!$C$7:$C$1492,0),0))</f>
        <v>40000</v>
      </c>
      <c r="H55" s="361">
        <f t="shared" ca="1" si="24"/>
        <v>0</v>
      </c>
      <c r="I55" s="361">
        <f t="shared" ca="1" si="25"/>
        <v>160000</v>
      </c>
      <c r="J55" s="361">
        <f t="shared" ca="1" si="26"/>
        <v>0</v>
      </c>
      <c r="K55" s="362">
        <f t="shared" ca="1" si="27"/>
        <v>160000</v>
      </c>
      <c r="L55" s="342"/>
      <c r="M55" s="342"/>
      <c r="N55" s="369"/>
      <c r="O55" s="344"/>
      <c r="P55" s="397"/>
      <c r="Q55" s="344"/>
    </row>
    <row r="56" spans="1:17" s="365" customFormat="1">
      <c r="A56" s="336"/>
      <c r="B56" s="509">
        <v>5</v>
      </c>
      <c r="C56" s="510" t="s">
        <v>26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00">
        <f>F51*1</f>
        <v>2</v>
      </c>
      <c r="G56" s="360">
        <f ca="1">IF(ISERROR(OFFSET('HARGA SATUAN'!$I$6,MATCH(RAB!C56,'HARGA SATUAN'!$C$7:$C$1492,0),0)),0,OFFSET('HARGA SATUAN'!$I$6,MATCH(RAB!C56,'HARGA SATUAN'!$C$7:$C$1492,0),0))</f>
        <v>2500</v>
      </c>
      <c r="H56" s="361">
        <f t="shared" ca="1" si="24"/>
        <v>0</v>
      </c>
      <c r="I56" s="361">
        <f t="shared" ca="1" si="25"/>
        <v>5000</v>
      </c>
      <c r="J56" s="361">
        <f t="shared" ca="1" si="26"/>
        <v>0</v>
      </c>
      <c r="K56" s="362">
        <f t="shared" ca="1" si="27"/>
        <v>5000</v>
      </c>
      <c r="L56" s="342"/>
      <c r="M56" s="342"/>
      <c r="N56" s="369"/>
      <c r="O56" s="344"/>
      <c r="P56" s="397"/>
      <c r="Q56" s="344"/>
    </row>
    <row r="57" spans="1:17" s="365" customFormat="1">
      <c r="A57" s="336"/>
      <c r="B57" s="509">
        <v>6</v>
      </c>
      <c r="C57" s="510" t="s">
        <v>760</v>
      </c>
      <c r="D57" s="358" t="str">
        <f ca="1">IF(ISERROR(OFFSET('HARGA SATUAN'!$D$6,MATCH(RAB!C57,'HARGA SATUAN'!$C$7:$C$1492,0),0)),"",OFFSET('HARGA SATUAN'!$D$6,MATCH(RAB!C57,'HARGA SATUAN'!$C$7:$C$1492,0),0))</f>
        <v>JASA</v>
      </c>
      <c r="E57" s="359" t="str">
        <f ca="1">IF(B57="+","Unit",IF(ISERROR(OFFSET('HARGA SATUAN'!$E$6,MATCH(RAB!C57,'HARGA SATUAN'!$C$7:$C$1492,0),0)),"",OFFSET('HARGA SATUAN'!$E$6,MATCH(RAB!C57,'HARGA SATUAN'!$C$7:$C$1492,0),0)))</f>
        <v>Unit</v>
      </c>
      <c r="F57" s="500">
        <f>F51*1</f>
        <v>2</v>
      </c>
      <c r="G57" s="360">
        <f ca="1">IF(ISERROR(OFFSET('HARGA SATUAN'!$I$6,MATCH(RAB!C57,'HARGA SATUAN'!$C$7:$C$1492,0),0)),0,OFFSET('HARGA SATUAN'!$I$6,MATCH(RAB!C57,'HARGA SATUAN'!$C$7:$C$1492,0),0))</f>
        <v>36600</v>
      </c>
      <c r="H57" s="361">
        <f t="shared" ca="1" si="24"/>
        <v>0</v>
      </c>
      <c r="I57" s="361">
        <f t="shared" ca="1" si="25"/>
        <v>0</v>
      </c>
      <c r="J57" s="361">
        <f t="shared" ca="1" si="26"/>
        <v>73200</v>
      </c>
      <c r="K57" s="362">
        <f t="shared" ca="1" si="27"/>
        <v>73200</v>
      </c>
      <c r="L57" s="342"/>
      <c r="M57" s="342"/>
      <c r="N57" s="369"/>
      <c r="O57" s="344"/>
      <c r="P57" s="397"/>
      <c r="Q57" s="344"/>
    </row>
    <row r="58" spans="1:17" s="365" customFormat="1">
      <c r="A58" s="336"/>
      <c r="B58" s="509"/>
      <c r="C58" s="510"/>
      <c r="D58" s="358" t="str">
        <f ca="1">IF(ISERROR(OFFSET('HARGA SATUAN'!$D$6,MATCH(RAB!C58,'HARGA SATUAN'!$C$7:$C$1492,0),0)),"",OFFSET('HARGA SATUAN'!$D$6,MATCH(RAB!C58,'HARGA SATUAN'!$C$7:$C$1492,0),0))</f>
        <v/>
      </c>
      <c r="E58" s="359" t="str">
        <f ca="1">IF(B58="+","Unit",IF(ISERROR(OFFSET('HARGA SATUAN'!$E$6,MATCH(RAB!C58,'HARGA SATUAN'!$C$7:$C$1492,0),0)),"",OFFSET('HARGA SATUAN'!$E$6,MATCH(RAB!C58,'HARGA SATUAN'!$C$7:$C$1492,0),0)))</f>
        <v/>
      </c>
      <c r="F58" s="511"/>
      <c r="G58" s="360">
        <f ca="1">IF(ISERROR(OFFSET('HARGA SATUAN'!$I$6,MATCH(RAB!C58,'HARGA SATUAN'!$C$7:$C$1492,0),0)),0,OFFSET('HARGA SATUAN'!$I$6,MATCH(RAB!C58,'HARGA SATUAN'!$C$7:$C$1492,0),0))</f>
        <v>0</v>
      </c>
      <c r="H58" s="361">
        <f t="shared" ca="1" si="24"/>
        <v>0</v>
      </c>
      <c r="I58" s="361">
        <f t="shared" ca="1" si="25"/>
        <v>0</v>
      </c>
      <c r="J58" s="361">
        <f t="shared" ca="1" si="26"/>
        <v>0</v>
      </c>
      <c r="K58" s="362">
        <f t="shared" ca="1" si="27"/>
        <v>0</v>
      </c>
      <c r="L58" s="342"/>
      <c r="M58" s="342"/>
      <c r="N58" s="369"/>
      <c r="O58" s="344"/>
      <c r="P58" s="397"/>
      <c r="Q58" s="344"/>
    </row>
    <row r="59" spans="1:17" s="365" customFormat="1">
      <c r="A59" s="336"/>
      <c r="B59" s="509" t="s">
        <v>1035</v>
      </c>
      <c r="C59" s="510" t="s">
        <v>1624</v>
      </c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>Unit</v>
      </c>
      <c r="F59" s="500">
        <f>F51</f>
        <v>2</v>
      </c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24"/>
        <v>0</v>
      </c>
      <c r="I59" s="361">
        <f t="shared" ca="1" si="25"/>
        <v>0</v>
      </c>
      <c r="J59" s="361">
        <f t="shared" ca="1" si="26"/>
        <v>0</v>
      </c>
      <c r="K59" s="362">
        <f t="shared" ca="1" si="27"/>
        <v>0</v>
      </c>
      <c r="L59" s="342"/>
      <c r="M59" s="342"/>
      <c r="N59" s="369"/>
      <c r="O59" s="344"/>
      <c r="P59" s="397"/>
      <c r="Q59" s="344"/>
    </row>
    <row r="60" spans="1:17" s="365" customFormat="1">
      <c r="A60" s="336"/>
      <c r="B60" s="509">
        <v>1</v>
      </c>
      <c r="C60" s="510" t="s">
        <v>597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500">
        <f>F59*1</f>
        <v>2</v>
      </c>
      <c r="G60" s="360">
        <f ca="1">IF(ISERROR(OFFSET('HARGA SATUAN'!$I$6,MATCH(RAB!C60,'HARGA SATUAN'!$C$7:$C$1492,0),0)),0,OFFSET('HARGA SATUAN'!$I$6,MATCH(RAB!C60,'HARGA SATUAN'!$C$7:$C$1492,0),0))</f>
        <v>120900</v>
      </c>
      <c r="H60" s="361">
        <f t="shared" ca="1" si="24"/>
        <v>0</v>
      </c>
      <c r="I60" s="361">
        <f t="shared" ca="1" si="25"/>
        <v>241800</v>
      </c>
      <c r="J60" s="361">
        <f t="shared" ca="1" si="26"/>
        <v>0</v>
      </c>
      <c r="K60" s="362">
        <f t="shared" ca="1" si="27"/>
        <v>241800</v>
      </c>
      <c r="L60" s="342"/>
      <c r="M60" s="342"/>
      <c r="N60" s="369"/>
      <c r="O60" s="344"/>
      <c r="P60" s="397"/>
      <c r="Q60" s="344"/>
    </row>
    <row r="61" spans="1:17" s="365" customFormat="1">
      <c r="A61" s="336"/>
      <c r="B61" s="509">
        <v>2</v>
      </c>
      <c r="C61" s="510" t="s">
        <v>261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500">
        <f>F59*1</f>
        <v>2</v>
      </c>
      <c r="G61" s="360">
        <f ca="1">IF(ISERROR(OFFSET('HARGA SATUAN'!$I$6,MATCH(RAB!C61,'HARGA SATUAN'!$C$7:$C$1492,0),0)),0,OFFSET('HARGA SATUAN'!$I$6,MATCH(RAB!C61,'HARGA SATUAN'!$C$7:$C$1492,0),0))</f>
        <v>135800</v>
      </c>
      <c r="H61" s="361">
        <f t="shared" ca="1" si="24"/>
        <v>0</v>
      </c>
      <c r="I61" s="361">
        <f t="shared" ca="1" si="25"/>
        <v>271600</v>
      </c>
      <c r="J61" s="361">
        <f t="shared" ca="1" si="26"/>
        <v>0</v>
      </c>
      <c r="K61" s="362">
        <f t="shared" ca="1" si="27"/>
        <v>271600</v>
      </c>
      <c r="L61" s="342"/>
      <c r="M61" s="342"/>
      <c r="N61" s="369"/>
      <c r="O61" s="344"/>
      <c r="P61" s="397"/>
      <c r="Q61" s="344"/>
    </row>
    <row r="62" spans="1:17" s="365" customFormat="1">
      <c r="A62" s="336"/>
      <c r="B62" s="509">
        <v>3</v>
      </c>
      <c r="C62" s="510" t="s">
        <v>214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11">
        <f>F59*1</f>
        <v>2</v>
      </c>
      <c r="G62" s="360">
        <f ca="1">IF(ISERROR(OFFSET('HARGA SATUAN'!$I$6,MATCH(RAB!C62,'HARGA SATUAN'!$C$7:$C$1492,0),0)),0,OFFSET('HARGA SATUAN'!$I$6,MATCH(RAB!C62,'HARGA SATUAN'!$C$7:$C$1492,0),0))</f>
        <v>4500</v>
      </c>
      <c r="H62" s="361">
        <f t="shared" ca="1" si="24"/>
        <v>0</v>
      </c>
      <c r="I62" s="361">
        <f t="shared" ca="1" si="25"/>
        <v>9000</v>
      </c>
      <c r="J62" s="361">
        <f t="shared" ca="1" si="26"/>
        <v>0</v>
      </c>
      <c r="K62" s="362">
        <f t="shared" ca="1" si="27"/>
        <v>9000</v>
      </c>
      <c r="L62" s="342"/>
      <c r="M62" s="342"/>
      <c r="N62" s="369"/>
      <c r="O62" s="344"/>
      <c r="P62" s="397"/>
      <c r="Q62" s="344"/>
    </row>
    <row r="63" spans="1:17" s="365" customFormat="1">
      <c r="A63" s="336"/>
      <c r="B63" s="509">
        <v>4</v>
      </c>
      <c r="C63" s="510" t="s">
        <v>768</v>
      </c>
      <c r="D63" s="358" t="str">
        <f ca="1">IF(ISERROR(OFFSET('HARGA SATUAN'!$D$6,MATCH(RAB!C63,'HARGA SATUAN'!$C$7:$C$1492,0),0)),"",OFFSET('HARGA SATUAN'!$D$6,MATCH(RAB!C63,'HARGA SATUAN'!$C$7:$C$1492,0),0))</f>
        <v>JASA</v>
      </c>
      <c r="E63" s="359" t="str">
        <f ca="1">IF(B63="+","Unit",IF(ISERROR(OFFSET('HARGA SATUAN'!$E$6,MATCH(RAB!C63,'HARGA SATUAN'!$C$7:$C$1492,0),0)),"",OFFSET('HARGA SATUAN'!$E$6,MATCH(RAB!C63,'HARGA SATUAN'!$C$7:$C$1492,0),0)))</f>
        <v>Unit</v>
      </c>
      <c r="F63" s="500">
        <f>F59*1</f>
        <v>2</v>
      </c>
      <c r="G63" s="360">
        <f ca="1">IF(ISERROR(OFFSET('HARGA SATUAN'!$I$6,MATCH(RAB!C63,'HARGA SATUAN'!$C$7:$C$1492,0),0)),0,OFFSET('HARGA SATUAN'!$I$6,MATCH(RAB!C63,'HARGA SATUAN'!$C$7:$C$1492,0),0))</f>
        <v>55500</v>
      </c>
      <c r="H63" s="361">
        <f t="shared" ca="1" si="24"/>
        <v>0</v>
      </c>
      <c r="I63" s="361">
        <f t="shared" ca="1" si="25"/>
        <v>0</v>
      </c>
      <c r="J63" s="361">
        <f t="shared" ca="1" si="26"/>
        <v>111000</v>
      </c>
      <c r="K63" s="362">
        <f t="shared" ca="1" si="27"/>
        <v>111000</v>
      </c>
      <c r="L63" s="342"/>
      <c r="M63" s="342"/>
      <c r="N63" s="369"/>
      <c r="O63" s="344"/>
      <c r="P63" s="397"/>
      <c r="Q63" s="344"/>
    </row>
    <row r="64" spans="1:17" s="365" customFormat="1">
      <c r="A64" s="336"/>
      <c r="B64" s="509"/>
      <c r="C64" s="510"/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IF(B64="+","Unit",IF(ISERROR(OFFSET('HARGA SATUAN'!$E$6,MATCH(RAB!C64,'HARGA SATUAN'!$C$7:$C$1492,0),0)),"",OFFSET('HARGA SATUAN'!$E$6,MATCH(RAB!C64,'HARGA SATUAN'!$C$7:$C$1492,0),0)))</f>
        <v/>
      </c>
      <c r="F64" s="511"/>
      <c r="G64" s="360">
        <f ca="1">IF(ISERROR(OFFSET('HARGA SATUAN'!$I$6,MATCH(RAB!C64,'HARGA SATUAN'!$C$7:$C$1492,0),0)),0,OFFSET('HARGA SATUAN'!$I$6,MATCH(RAB!C64,'HARGA SATUAN'!$C$7:$C$1492,0),0))</f>
        <v>0</v>
      </c>
      <c r="H64" s="361">
        <f t="shared" ca="1" si="24"/>
        <v>0</v>
      </c>
      <c r="I64" s="361">
        <f t="shared" ca="1" si="25"/>
        <v>0</v>
      </c>
      <c r="J64" s="361">
        <f t="shared" ca="1" si="26"/>
        <v>0</v>
      </c>
      <c r="K64" s="362">
        <f t="shared" ca="1" si="27"/>
        <v>0</v>
      </c>
      <c r="L64" s="342"/>
      <c r="M64" s="342"/>
      <c r="N64" s="369"/>
      <c r="O64" s="344"/>
      <c r="P64" s="397"/>
      <c r="Q64" s="344"/>
    </row>
    <row r="65" spans="1:17" s="365" customFormat="1">
      <c r="A65" s="336"/>
      <c r="B65" s="509" t="s">
        <v>1035</v>
      </c>
      <c r="C65" s="510" t="s">
        <v>1625</v>
      </c>
      <c r="D65" s="358" t="str">
        <f ca="1">IF(ISERROR(OFFSET('HARGA SATUAN'!$D$6,MATCH(RAB!C65,'HARGA SATUAN'!$C$7:$C$1492,0),0)),"",OFFSET('HARGA SATUAN'!$D$6,MATCH(RAB!C65,'HARGA SATUAN'!$C$7:$C$1492,0),0))</f>
        <v/>
      </c>
      <c r="E65" s="359" t="str">
        <f ca="1">IF(B65="+","Unit",IF(ISERROR(OFFSET('HARGA SATUAN'!$E$6,MATCH(RAB!C65,'HARGA SATUAN'!$C$7:$C$1492,0),0)),"",OFFSET('HARGA SATUAN'!$E$6,MATCH(RAB!C65,'HARGA SATUAN'!$C$7:$C$1492,0),0)))</f>
        <v>Unit</v>
      </c>
      <c r="F65" s="500">
        <f>F51</f>
        <v>2</v>
      </c>
      <c r="G65" s="360">
        <f ca="1">IF(ISERROR(OFFSET('HARGA SATUAN'!$I$6,MATCH(RAB!C65,'HARGA SATUAN'!$C$7:$C$1492,0),0)),0,OFFSET('HARGA SATUAN'!$I$6,MATCH(RAB!C65,'HARGA SATUAN'!$C$7:$C$1492,0),0))</f>
        <v>0</v>
      </c>
      <c r="H65" s="361">
        <f t="shared" ca="1" si="24"/>
        <v>0</v>
      </c>
      <c r="I65" s="361">
        <f t="shared" ca="1" si="25"/>
        <v>0</v>
      </c>
      <c r="J65" s="361">
        <f t="shared" ca="1" si="26"/>
        <v>0</v>
      </c>
      <c r="K65" s="362">
        <f t="shared" ca="1" si="27"/>
        <v>0</v>
      </c>
      <c r="L65" s="342"/>
      <c r="M65" s="342"/>
      <c r="N65" s="369"/>
      <c r="O65" s="344"/>
      <c r="P65" s="397"/>
      <c r="Q65" s="344"/>
    </row>
    <row r="66" spans="1:17" s="365" customFormat="1">
      <c r="A66" s="336"/>
      <c r="B66" s="509">
        <v>1</v>
      </c>
      <c r="C66" s="510" t="s">
        <v>30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00">
        <f>F65*1</f>
        <v>2</v>
      </c>
      <c r="G66" s="360">
        <f ca="1">IF(ISERROR(OFFSET('HARGA SATUAN'!$I$6,MATCH(RAB!C66,'HARGA SATUAN'!$C$7:$C$1492,0),0)),0,OFFSET('HARGA SATUAN'!$I$6,MATCH(RAB!C66,'HARGA SATUAN'!$C$7:$C$1492,0),0))</f>
        <v>47459</v>
      </c>
      <c r="H66" s="361">
        <f t="shared" ca="1" si="24"/>
        <v>0</v>
      </c>
      <c r="I66" s="361">
        <f t="shared" ca="1" si="25"/>
        <v>94918</v>
      </c>
      <c r="J66" s="361">
        <f t="shared" ca="1" si="26"/>
        <v>0</v>
      </c>
      <c r="K66" s="362">
        <f t="shared" ca="1" si="27"/>
        <v>94918</v>
      </c>
      <c r="L66" s="342"/>
      <c r="M66" s="342"/>
      <c r="N66" s="369"/>
      <c r="O66" s="344"/>
      <c r="P66" s="397"/>
      <c r="Q66" s="344"/>
    </row>
    <row r="67" spans="1:17" s="365" customFormat="1">
      <c r="A67" s="336"/>
      <c r="B67" s="509">
        <v>2</v>
      </c>
      <c r="C67" s="510" t="s">
        <v>32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Mtr</v>
      </c>
      <c r="F67" s="500">
        <f>F65*0.8</f>
        <v>1.6</v>
      </c>
      <c r="G67" s="360">
        <f ca="1">IF(ISERROR(OFFSET('HARGA SATUAN'!$I$6,MATCH(RAB!C67,'HARGA SATUAN'!$C$7:$C$1492,0),0)),0,OFFSET('HARGA SATUAN'!$I$6,MATCH(RAB!C67,'HARGA SATUAN'!$C$7:$C$1492,0),0))</f>
        <v>30000</v>
      </c>
      <c r="H67" s="361">
        <f t="shared" ca="1" si="24"/>
        <v>0</v>
      </c>
      <c r="I67" s="361">
        <f t="shared" ca="1" si="25"/>
        <v>48000</v>
      </c>
      <c r="J67" s="361">
        <f t="shared" ca="1" si="26"/>
        <v>0</v>
      </c>
      <c r="K67" s="362">
        <f t="shared" ca="1" si="27"/>
        <v>48000</v>
      </c>
      <c r="L67" s="342"/>
      <c r="M67" s="342"/>
      <c r="N67" s="369"/>
      <c r="O67" s="344"/>
      <c r="P67" s="397"/>
      <c r="Q67" s="344"/>
    </row>
    <row r="68" spans="1:17" s="365" customFormat="1">
      <c r="A68" s="336"/>
      <c r="B68" s="509">
        <v>3</v>
      </c>
      <c r="C68" s="510" t="s">
        <v>33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Bh</v>
      </c>
      <c r="F68" s="500">
        <f>F65*1</f>
        <v>2</v>
      </c>
      <c r="G68" s="360">
        <f ca="1">IF(ISERROR(OFFSET('HARGA SATUAN'!$I$6,MATCH(RAB!C68,'HARGA SATUAN'!$C$7:$C$1492,0),0)),0,OFFSET('HARGA SATUAN'!$I$6,MATCH(RAB!C68,'HARGA SATUAN'!$C$7:$C$1492,0),0))</f>
        <v>9500</v>
      </c>
      <c r="H68" s="361">
        <f t="shared" ca="1" si="24"/>
        <v>0</v>
      </c>
      <c r="I68" s="361">
        <f t="shared" ca="1" si="25"/>
        <v>19000</v>
      </c>
      <c r="J68" s="361">
        <f t="shared" ca="1" si="26"/>
        <v>0</v>
      </c>
      <c r="K68" s="362">
        <f t="shared" ca="1" si="27"/>
        <v>19000</v>
      </c>
      <c r="L68" s="342"/>
      <c r="M68" s="342"/>
      <c r="N68" s="369"/>
      <c r="O68" s="344"/>
      <c r="P68" s="397"/>
      <c r="Q68" s="344"/>
    </row>
    <row r="69" spans="1:17" s="365" customFormat="1">
      <c r="A69" s="336"/>
      <c r="B69" s="509">
        <v>4</v>
      </c>
      <c r="C69" s="510" t="s">
        <v>738</v>
      </c>
      <c r="D69" s="358" t="str">
        <f ca="1">IF(ISERROR(OFFSET('HARGA SATUAN'!$D$6,MATCH(RAB!C69,'HARGA SATUAN'!$C$7:$C$1492,0),0)),"",OFFSET('HARGA SATUAN'!$D$6,MATCH(RAB!C69,'HARGA SATUAN'!$C$7:$C$1492,0),0))</f>
        <v>JASA</v>
      </c>
      <c r="E69" s="359" t="str">
        <f ca="1">IF(B69="+","Unit",IF(ISERROR(OFFSET('HARGA SATUAN'!$E$6,MATCH(RAB!C69,'HARGA SATUAN'!$C$7:$C$1492,0),0)),"",OFFSET('HARGA SATUAN'!$E$6,MATCH(RAB!C69,'HARGA SATUAN'!$C$7:$C$1492,0),0)))</f>
        <v>Unit</v>
      </c>
      <c r="F69" s="500">
        <f>F65*1</f>
        <v>2</v>
      </c>
      <c r="G69" s="360">
        <f ca="1">IF(ISERROR(OFFSET('HARGA SATUAN'!$I$6,MATCH(RAB!C69,'HARGA SATUAN'!$C$7:$C$1492,0),0)),0,OFFSET('HARGA SATUAN'!$I$6,MATCH(RAB!C69,'HARGA SATUAN'!$C$7:$C$1492,0),0))</f>
        <v>21200</v>
      </c>
      <c r="H69" s="361">
        <f t="shared" ca="1" si="24"/>
        <v>0</v>
      </c>
      <c r="I69" s="361">
        <f t="shared" ca="1" si="25"/>
        <v>0</v>
      </c>
      <c r="J69" s="361">
        <f t="shared" ca="1" si="26"/>
        <v>42400</v>
      </c>
      <c r="K69" s="362">
        <f t="shared" ca="1" si="27"/>
        <v>42400</v>
      </c>
      <c r="L69" s="342"/>
      <c r="M69" s="342"/>
      <c r="N69" s="369"/>
      <c r="O69" s="344"/>
      <c r="P69" s="397"/>
      <c r="Q69" s="344"/>
    </row>
    <row r="70" spans="1:17" s="365" customFormat="1">
      <c r="A70" s="336"/>
      <c r="B70" s="506"/>
      <c r="C70" s="507"/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/>
      </c>
      <c r="F70" s="500"/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ca="1" si="24"/>
        <v>0</v>
      </c>
      <c r="I70" s="361">
        <f t="shared" ca="1" si="25"/>
        <v>0</v>
      </c>
      <c r="J70" s="361">
        <f t="shared" ca="1" si="26"/>
        <v>0</v>
      </c>
      <c r="K70" s="362">
        <f t="shared" ca="1" si="27"/>
        <v>0</v>
      </c>
      <c r="L70" s="342"/>
      <c r="M70" s="342"/>
      <c r="N70" s="369"/>
      <c r="O70" s="344"/>
      <c r="P70" s="397"/>
      <c r="Q70" s="344"/>
    </row>
    <row r="71" spans="1:17" s="365" customFormat="1">
      <c r="A71" s="336"/>
      <c r="B71" s="497"/>
      <c r="C71" s="502" t="s">
        <v>1620</v>
      </c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/>
      </c>
      <c r="F71" s="500"/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ref="H71:H74" ca="1" si="28">IF(OR(D71="MDU",D71="MDU-KD"),(IF($O$3="RAB NON MDU","PLN KD",G71*F71)),0)</f>
        <v>0</v>
      </c>
      <c r="I71" s="361">
        <f t="shared" ref="I71:I74" ca="1" si="29">IF(D71="HDW",G71*F71,0)</f>
        <v>0</v>
      </c>
      <c r="J71" s="361">
        <f t="shared" ref="J71:J74" ca="1" si="30">IF(D71="JASA",G71*F71,0)</f>
        <v>0</v>
      </c>
      <c r="K71" s="362">
        <f t="shared" ref="K71:K74" ca="1" si="31">SUM(H71:J71)</f>
        <v>0</v>
      </c>
      <c r="L71" s="342"/>
      <c r="M71" s="342"/>
      <c r="N71" s="369"/>
      <c r="O71" s="344"/>
      <c r="P71" s="397"/>
      <c r="Q71" s="344"/>
    </row>
    <row r="72" spans="1:17" s="365" customFormat="1">
      <c r="A72" s="336"/>
      <c r="B72" s="497"/>
      <c r="C72" s="499"/>
      <c r="D72" s="358" t="str">
        <f ca="1">IF(ISERROR(OFFSET('HARGA SATUAN'!$D$6,MATCH(RAB!C72,'HARGA SATUAN'!$C$7:$C$1492,0),0)),"",OFFSET('HARGA SATUAN'!$D$6,MATCH(RAB!C72,'HARGA SATUAN'!$C$7:$C$1492,0),0))</f>
        <v/>
      </c>
      <c r="E72" s="359" t="str">
        <f ca="1">IF(B72="+","Unit",IF(ISERROR(OFFSET('HARGA SATUAN'!$E$6,MATCH(RAB!C72,'HARGA SATUAN'!$C$7:$C$1492,0),0)),"",OFFSET('HARGA SATUAN'!$E$6,MATCH(RAB!C72,'HARGA SATUAN'!$C$7:$C$1492,0),0)))</f>
        <v/>
      </c>
      <c r="F72" s="500"/>
      <c r="G72" s="360">
        <f ca="1">IF(ISERROR(OFFSET('HARGA SATUAN'!$I$6,MATCH(RAB!C72,'HARGA SATUAN'!$C$7:$C$1492,0),0)),0,OFFSET('HARGA SATUAN'!$I$6,MATCH(RAB!C72,'HARGA SATUAN'!$C$7:$C$1492,0),0))</f>
        <v>0</v>
      </c>
      <c r="H72" s="361">
        <f t="shared" ca="1" si="28"/>
        <v>0</v>
      </c>
      <c r="I72" s="361">
        <f t="shared" ca="1" si="29"/>
        <v>0</v>
      </c>
      <c r="J72" s="361">
        <f t="shared" ca="1" si="30"/>
        <v>0</v>
      </c>
      <c r="K72" s="362">
        <f t="shared" ca="1" si="31"/>
        <v>0</v>
      </c>
      <c r="L72" s="342"/>
      <c r="M72" s="342"/>
      <c r="N72" s="369"/>
      <c r="O72" s="344"/>
      <c r="P72" s="397"/>
      <c r="Q72" s="344"/>
    </row>
    <row r="73" spans="1:17" s="365" customFormat="1">
      <c r="A73" s="336"/>
      <c r="B73" s="497">
        <v>1</v>
      </c>
      <c r="C73" s="109" t="s">
        <v>65</v>
      </c>
      <c r="D73" s="358" t="str">
        <f ca="1">IF(ISERROR(OFFSET('HARGA SATUAN'!$D$6,MATCH(RAB!C73,'HARGA SATUAN'!$C$7:$C$1492,0),0)),"",OFFSET('HARGA SATUAN'!$D$6,MATCH(RAB!C73,'HARGA SATUAN'!$C$7:$C$1492,0),0))</f>
        <v>MDU-KD</v>
      </c>
      <c r="E73" s="359" t="str">
        <f ca="1">IF(B73="+","Unit",IF(ISERROR(OFFSET('HARGA SATUAN'!$E$6,MATCH(RAB!C73,'HARGA SATUAN'!$C$7:$C$1492,0),0)),"",OFFSET('HARGA SATUAN'!$E$6,MATCH(RAB!C73,'HARGA SATUAN'!$C$7:$C$1492,0),0)))</f>
        <v>Mtr</v>
      </c>
      <c r="F73" s="500">
        <v>60</v>
      </c>
      <c r="G73" s="360">
        <f ca="1">IF(ISERROR(OFFSET('HARGA SATUAN'!$I$6,MATCH(RAB!C73,'HARGA SATUAN'!$C$7:$C$1492,0),0)),0,OFFSET('HARGA SATUAN'!$I$6,MATCH(RAB!C73,'HARGA SATUAN'!$C$7:$C$1492,0),0))</f>
        <v>14200</v>
      </c>
      <c r="H73" s="361">
        <f t="shared" ca="1" si="28"/>
        <v>852000</v>
      </c>
      <c r="I73" s="361">
        <f t="shared" ca="1" si="29"/>
        <v>0</v>
      </c>
      <c r="J73" s="361">
        <f t="shared" ca="1" si="30"/>
        <v>0</v>
      </c>
      <c r="K73" s="362">
        <f t="shared" ca="1" si="31"/>
        <v>852000</v>
      </c>
      <c r="L73" s="342"/>
      <c r="M73" s="342"/>
      <c r="N73" s="369"/>
      <c r="O73" s="344"/>
      <c r="P73" s="397"/>
      <c r="Q73" s="344"/>
    </row>
    <row r="74" spans="1:17" s="365" customFormat="1">
      <c r="A74" s="336"/>
      <c r="B74" s="497">
        <v>2</v>
      </c>
      <c r="C74" s="109" t="s">
        <v>316</v>
      </c>
      <c r="D74" s="358" t="str">
        <f ca="1">IF(ISERROR(OFFSET('HARGA SATUAN'!$D$6,MATCH(RAB!C74,'HARGA SATUAN'!$C$7:$C$1492,0),0)),"",OFFSET('HARGA SATUAN'!$D$6,MATCH(RAB!C74,'HARGA SATUAN'!$C$7:$C$1492,0),0))</f>
        <v>JASA</v>
      </c>
      <c r="E74" s="359" t="str">
        <f ca="1">IF(B74="+","Unit",IF(ISERROR(OFFSET('HARGA SATUAN'!$E$6,MATCH(RAB!C74,'HARGA SATUAN'!$C$7:$C$1492,0),0)),"",OFFSET('HARGA SATUAN'!$E$6,MATCH(RAB!C74,'HARGA SATUAN'!$C$7:$C$1492,0),0)))</f>
        <v>Per 50 m</v>
      </c>
      <c r="F74" s="500">
        <f>F73/100</f>
        <v>0.6</v>
      </c>
      <c r="G74" s="360">
        <f ca="1">IF(ISERROR(OFFSET('HARGA SATUAN'!$I$6,MATCH(RAB!C74,'HARGA SATUAN'!$C$7:$C$1492,0),0)),0,OFFSET('HARGA SATUAN'!$I$6,MATCH(RAB!C74,'HARGA SATUAN'!$C$7:$C$1492,0),0))</f>
        <v>179300</v>
      </c>
      <c r="H74" s="361">
        <f t="shared" ca="1" si="28"/>
        <v>0</v>
      </c>
      <c r="I74" s="361">
        <f t="shared" ca="1" si="29"/>
        <v>0</v>
      </c>
      <c r="J74" s="361">
        <f t="shared" ca="1" si="30"/>
        <v>107580</v>
      </c>
      <c r="K74" s="362">
        <f t="shared" ca="1" si="31"/>
        <v>107580</v>
      </c>
      <c r="L74" s="342"/>
      <c r="M74" s="342"/>
      <c r="N74" s="369"/>
      <c r="O74" s="344"/>
      <c r="P74" s="397"/>
      <c r="Q74" s="344"/>
    </row>
    <row r="75" spans="1:17" s="365" customFormat="1">
      <c r="A75" s="336"/>
      <c r="B75" s="497"/>
      <c r="C75" s="498"/>
      <c r="D75" s="358" t="str">
        <f ca="1">IF(ISERROR(OFFSET('HARGA SATUAN'!$D$6,MATCH(RAB!C75,'HARGA SATUAN'!$C$7:$C$1492,0),0)),"",OFFSET('HARGA SATUAN'!$D$6,MATCH(RAB!C75,'HARGA SATUAN'!$C$7:$C$1492,0),0))</f>
        <v/>
      </c>
      <c r="E75" s="359" t="str">
        <f ca="1">IF(B75="+","Unit",IF(ISERROR(OFFSET('HARGA SATUAN'!$E$6,MATCH(RAB!C75,'HARGA SATUAN'!$C$7:$C$1492,0),0)),"",OFFSET('HARGA SATUAN'!$E$6,MATCH(RAB!C75,'HARGA SATUAN'!$C$7:$C$1492,0),0)))</f>
        <v/>
      </c>
      <c r="F75" s="500"/>
      <c r="G75" s="360">
        <f ca="1">IF(ISERROR(OFFSET('HARGA SATUAN'!$I$6,MATCH(RAB!C75,'HARGA SATUAN'!$C$7:$C$1492,0),0)),0,OFFSET('HARGA SATUAN'!$I$6,MATCH(RAB!C75,'HARGA SATUAN'!$C$7:$C$1492,0),0))</f>
        <v>0</v>
      </c>
      <c r="H75" s="361">
        <f t="shared" ref="H75:H76" ca="1" si="32">IF(OR(D75="MDU",D75="MDU-KD"),(IF($O$3="RAB NON MDU","PLN KD",G75*F75)),0)</f>
        <v>0</v>
      </c>
      <c r="I75" s="361">
        <f t="shared" ref="I75:I76" ca="1" si="33">IF(D75="HDW",G75*F75,0)</f>
        <v>0</v>
      </c>
      <c r="J75" s="361">
        <f t="shared" ref="J75:J76" ca="1" si="34">IF(D75="JASA",G75*F75,0)</f>
        <v>0</v>
      </c>
      <c r="K75" s="362">
        <f t="shared" ref="K75:K76" ca="1" si="35">SUM(H75:J75)</f>
        <v>0</v>
      </c>
      <c r="L75" s="342"/>
      <c r="M75" s="342"/>
      <c r="N75" s="369"/>
      <c r="O75" s="344"/>
      <c r="P75" s="397"/>
      <c r="Q75" s="344"/>
    </row>
    <row r="76" spans="1:17">
      <c r="B76" s="366" t="s">
        <v>1614</v>
      </c>
      <c r="C76" s="367" t="s">
        <v>1616</v>
      </c>
      <c r="D76" s="358" t="str">
        <f ca="1">IF(ISERROR(OFFSET('HARGA SATUAN'!$D$6,MATCH(RAB!C76,'HARGA SATUAN'!$C$7:$C$1492,0),0)),"",OFFSET('HARGA SATUAN'!$D$6,MATCH(RAB!C76,'HARGA SATUAN'!$C$7:$C$1492,0),0))</f>
        <v/>
      </c>
      <c r="E76" s="359" t="str">
        <f ca="1">IF(B76="+","Unit",IF(ISERROR(OFFSET('HARGA SATUAN'!$E$6,MATCH(RAB!C76,'HARGA SATUAN'!$C$7:$C$1492,0),0)),"",OFFSET('HARGA SATUAN'!$E$6,MATCH(RAB!C76,'HARGA SATUAN'!$C$7:$C$1492,0),0)))</f>
        <v/>
      </c>
      <c r="F76" s="500"/>
      <c r="G76" s="360">
        <f ca="1">IF(ISERROR(OFFSET('HARGA SATUAN'!$I$6,MATCH(RAB!C76,'HARGA SATUAN'!$C$7:$C$1492,0),0)),0,OFFSET('HARGA SATUAN'!$I$6,MATCH(RAB!C76,'HARGA SATUAN'!$C$7:$C$1492,0),0))</f>
        <v>0</v>
      </c>
      <c r="H76" s="361">
        <f t="shared" ca="1" si="32"/>
        <v>0</v>
      </c>
      <c r="I76" s="361">
        <f t="shared" ca="1" si="33"/>
        <v>0</v>
      </c>
      <c r="J76" s="361">
        <f t="shared" ca="1" si="34"/>
        <v>0</v>
      </c>
      <c r="K76" s="362">
        <f t="shared" ca="1" si="35"/>
        <v>0</v>
      </c>
    </row>
    <row r="77" spans="1:17">
      <c r="B77" s="493"/>
      <c r="C77" s="496"/>
      <c r="D77" s="358" t="str">
        <f ca="1">IF(ISERROR(OFFSET('HARGA SATUAN'!$D$6,MATCH(RAB!C77,'HARGA SATUAN'!$C$7:$C$1492,0),0)),"",OFFSET('HARGA SATUAN'!$D$6,MATCH(RAB!C77,'HARGA SATUAN'!$C$7:$C$1492,0),0))</f>
        <v/>
      </c>
      <c r="E77" s="359" t="str">
        <f ca="1">IF(B77="+","Unit",IF(ISERROR(OFFSET('HARGA SATUAN'!$E$6,MATCH(RAB!C77,'HARGA SATUAN'!$C$7:$C$1492,0),0)),"",OFFSET('HARGA SATUAN'!$E$6,MATCH(RAB!C77,'HARGA SATUAN'!$C$7:$C$1492,0),0)))</f>
        <v/>
      </c>
      <c r="F77" s="500"/>
      <c r="G77" s="360">
        <f ca="1">IF(ISERROR(OFFSET('HARGA SATUAN'!$I$6,MATCH(RAB!C77,'HARGA SATUAN'!$C$7:$C$1492,0),0)),0,OFFSET('HARGA SATUAN'!$I$6,MATCH(RAB!C77,'HARGA SATUAN'!$C$7:$C$1492,0),0))</f>
        <v>0</v>
      </c>
      <c r="H77" s="361">
        <f t="shared" ref="H77:H105" ca="1" si="36">IF(OR(D77="MDU",D77="MDU-KD"),(IF($O$3="RAB NON MDU","PLN KD",G77*F77)),0)</f>
        <v>0</v>
      </c>
      <c r="I77" s="361">
        <f t="shared" ref="I77:I105" ca="1" si="37">IF(D77="HDW",G77*F77,0)</f>
        <v>0</v>
      </c>
      <c r="J77" s="361">
        <f t="shared" ref="J77:J105" ca="1" si="38">IF(D77="JASA",G77*F77,0)</f>
        <v>0</v>
      </c>
      <c r="K77" s="362">
        <f t="shared" ref="K77:K105" ca="1" si="39">SUM(H77:J77)</f>
        <v>0</v>
      </c>
    </row>
    <row r="78" spans="1:17">
      <c r="B78" s="513" t="s">
        <v>1035</v>
      </c>
      <c r="C78" s="514" t="s">
        <v>1630</v>
      </c>
      <c r="D78" s="358" t="str">
        <f ca="1">IF(ISERROR(OFFSET('HARGA SATUAN'!$D$6,MATCH(RAB!C78,'HARGA SATUAN'!$C$7:$C$1492,0),0)),"",OFFSET('HARGA SATUAN'!$D$6,MATCH(RAB!C78,'HARGA SATUAN'!$C$7:$C$1492,0),0))</f>
        <v/>
      </c>
      <c r="E78" s="359" t="str">
        <f ca="1">IF(B78="+","Unit",IF(ISERROR(OFFSET('HARGA SATUAN'!$E$6,MATCH(RAB!C78,'HARGA SATUAN'!$C$7:$C$1492,0),0)),"",OFFSET('HARGA SATUAN'!$E$6,MATCH(RAB!C78,'HARGA SATUAN'!$C$7:$C$1492,0),0)))</f>
        <v>Unit</v>
      </c>
      <c r="F78" s="23">
        <v>1</v>
      </c>
      <c r="G78" s="360">
        <f ca="1">IF(ISERROR(OFFSET('HARGA SATUAN'!$I$6,MATCH(RAB!C78,'HARGA SATUAN'!$C$7:$C$1492,0),0)),0,OFFSET('HARGA SATUAN'!$I$6,MATCH(RAB!C78,'HARGA SATUAN'!$C$7:$C$1492,0),0))</f>
        <v>0</v>
      </c>
      <c r="H78" s="361">
        <f t="shared" ca="1" si="36"/>
        <v>0</v>
      </c>
      <c r="I78" s="361">
        <f t="shared" ca="1" si="37"/>
        <v>0</v>
      </c>
      <c r="J78" s="361">
        <f t="shared" ca="1" si="38"/>
        <v>0</v>
      </c>
      <c r="K78" s="362">
        <f t="shared" ca="1" si="39"/>
        <v>0</v>
      </c>
    </row>
    <row r="79" spans="1:17">
      <c r="B79" s="513">
        <v>1</v>
      </c>
      <c r="C79" s="520" t="s">
        <v>532</v>
      </c>
      <c r="D79" s="358" t="str">
        <f ca="1">IF(ISERROR(OFFSET('HARGA SATUAN'!$D$6,MATCH(RAB!C79,'HARGA SATUAN'!$C$7:$C$1492,0),0)),"",OFFSET('HARGA SATUAN'!$D$6,MATCH(RAB!C79,'HARGA SATUAN'!$C$7:$C$1492,0),0))</f>
        <v>MDU-KD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521">
        <f>F78*1</f>
        <v>1</v>
      </c>
      <c r="G79" s="360">
        <f ca="1">IF(ISERROR(OFFSET('HARGA SATUAN'!$I$6,MATCH(RAB!C79,'HARGA SATUAN'!$C$7:$C$1492,0),0)),0,OFFSET('HARGA SATUAN'!$I$6,MATCH(RAB!C79,'HARGA SATUAN'!$C$7:$C$1492,0),0))</f>
        <v>27845400</v>
      </c>
      <c r="H79" s="361">
        <f t="shared" ca="1" si="36"/>
        <v>27845400</v>
      </c>
      <c r="I79" s="361">
        <f t="shared" ca="1" si="37"/>
        <v>0</v>
      </c>
      <c r="J79" s="361">
        <f t="shared" ca="1" si="38"/>
        <v>0</v>
      </c>
      <c r="K79" s="362">
        <f t="shared" ca="1" si="39"/>
        <v>27845400</v>
      </c>
    </row>
    <row r="80" spans="1:17">
      <c r="B80" s="517">
        <v>2</v>
      </c>
      <c r="C80" s="520" t="s">
        <v>1631</v>
      </c>
      <c r="D80" s="358" t="str">
        <f ca="1">IF(ISERROR(OFFSET('HARGA SATUAN'!$D$6,MATCH(RAB!C80,'HARGA SATUAN'!$C$7:$C$1492,0),0)),"",OFFSET('HARGA SATUAN'!$D$6,MATCH(RAB!C80,'HARGA SATUAN'!$C$7:$C$1492,0),0))</f>
        <v/>
      </c>
      <c r="E80" s="359" t="str">
        <f ca="1">IF(B80="+","Unit",IF(ISERROR(OFFSET('HARGA SATUAN'!$E$6,MATCH(RAB!C80,'HARGA SATUAN'!$C$7:$C$1492,0),0)),"",OFFSET('HARGA SATUAN'!$E$6,MATCH(RAB!C80,'HARGA SATUAN'!$C$7:$C$1492,0),0)))</f>
        <v/>
      </c>
      <c r="F80" s="521"/>
      <c r="G80" s="360">
        <f ca="1">IF(ISERROR(OFFSET('HARGA SATUAN'!$I$6,MATCH(RAB!C80,'HARGA SATUAN'!$C$7:$C$1492,0),0)),0,OFFSET('HARGA SATUAN'!$I$6,MATCH(RAB!C80,'HARGA SATUAN'!$C$7:$C$1492,0),0))</f>
        <v>0</v>
      </c>
      <c r="H80" s="361">
        <f t="shared" ca="1" si="36"/>
        <v>0</v>
      </c>
      <c r="I80" s="361">
        <f t="shared" ca="1" si="37"/>
        <v>0</v>
      </c>
      <c r="J80" s="361">
        <f t="shared" ca="1" si="38"/>
        <v>0</v>
      </c>
      <c r="K80" s="362">
        <f t="shared" ca="1" si="39"/>
        <v>0</v>
      </c>
    </row>
    <row r="81" spans="2:11">
      <c r="B81" s="517"/>
      <c r="C81" s="520" t="s">
        <v>65</v>
      </c>
      <c r="D81" s="358" t="str">
        <f ca="1">IF(ISERROR(OFFSET('HARGA SATUAN'!$D$6,MATCH(RAB!C81,'HARGA SATUAN'!$C$7:$C$1492,0),0)),"",OFFSET('HARGA SATUAN'!$D$6,MATCH(RAB!C81,'HARGA SATUAN'!$C$7:$C$1492,0),0))</f>
        <v>MDU-KD</v>
      </c>
      <c r="E81" s="359" t="str">
        <f ca="1">IF(B81="+","Unit",IF(ISERROR(OFFSET('HARGA SATUAN'!$E$6,MATCH(RAB!C81,'HARGA SATUAN'!$C$7:$C$1492,0),0)),"",OFFSET('HARGA SATUAN'!$E$6,MATCH(RAB!C81,'HARGA SATUAN'!$C$7:$C$1492,0),0)))</f>
        <v>Mtr</v>
      </c>
      <c r="F81" s="521">
        <f>F78*2</f>
        <v>2</v>
      </c>
      <c r="G81" s="360">
        <f ca="1">IF(ISERROR(OFFSET('HARGA SATUAN'!$I$6,MATCH(RAB!C81,'HARGA SATUAN'!$C$7:$C$1492,0),0)),0,OFFSET('HARGA SATUAN'!$I$6,MATCH(RAB!C81,'HARGA SATUAN'!$C$7:$C$1492,0),0))</f>
        <v>14200</v>
      </c>
      <c r="H81" s="361">
        <f t="shared" ca="1" si="36"/>
        <v>28400</v>
      </c>
      <c r="I81" s="361">
        <f t="shared" ca="1" si="37"/>
        <v>0</v>
      </c>
      <c r="J81" s="361">
        <f t="shared" ca="1" si="38"/>
        <v>0</v>
      </c>
      <c r="K81" s="362">
        <f t="shared" ca="1" si="39"/>
        <v>28400</v>
      </c>
    </row>
    <row r="82" spans="2:11">
      <c r="B82" s="513"/>
      <c r="C82" s="109" t="s">
        <v>1402</v>
      </c>
      <c r="D82" s="358" t="str">
        <f ca="1">IF(ISERROR(OFFSET('HARGA SATUAN'!$D$6,MATCH(RAB!C82,'HARGA SATUAN'!$C$7:$C$1492,0),0)),"",OFFSET('HARGA SATUAN'!$D$6,MATCH(RAB!C82,'HARGA SATUAN'!$C$7:$C$1492,0),0))</f>
        <v>MDU-KD</v>
      </c>
      <c r="E82" s="359" t="str">
        <f ca="1">IF(B82="+","Unit",IF(ISERROR(OFFSET('HARGA SATUAN'!$E$6,MATCH(RAB!C82,'HARGA SATUAN'!$C$7:$C$1492,0),0)),"",OFFSET('HARGA SATUAN'!$E$6,MATCH(RAB!C82,'HARGA SATUAN'!$C$7:$C$1492,0),0)))</f>
        <v>Mtr</v>
      </c>
      <c r="F82" s="521">
        <f>F78*2</f>
        <v>2</v>
      </c>
      <c r="G82" s="360">
        <f ca="1">IF(ISERROR(OFFSET('HARGA SATUAN'!$I$6,MATCH(RAB!C82,'HARGA SATUAN'!$C$7:$C$1492,0),0)),0,OFFSET('HARGA SATUAN'!$I$6,MATCH(RAB!C82,'HARGA SATUAN'!$C$7:$C$1492,0),0))</f>
        <v>53300</v>
      </c>
      <c r="H82" s="361">
        <f t="shared" ca="1" si="36"/>
        <v>106600</v>
      </c>
      <c r="I82" s="361">
        <f t="shared" ca="1" si="37"/>
        <v>0</v>
      </c>
      <c r="J82" s="361">
        <f t="shared" ca="1" si="38"/>
        <v>0</v>
      </c>
      <c r="K82" s="362">
        <f t="shared" ca="1" si="39"/>
        <v>106600</v>
      </c>
    </row>
    <row r="83" spans="2:11">
      <c r="B83" s="513">
        <v>3</v>
      </c>
      <c r="C83" s="520" t="s">
        <v>207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521">
        <f>F78*1</f>
        <v>1</v>
      </c>
      <c r="G83" s="360">
        <f ca="1">IF(ISERROR(OFFSET('HARGA SATUAN'!$I$6,MATCH(RAB!C83,'HARGA SATUAN'!$C$7:$C$1492,0),0)),0,OFFSET('HARGA SATUAN'!$I$6,MATCH(RAB!C83,'HARGA SATUAN'!$C$7:$C$1492,0),0))</f>
        <v>87000</v>
      </c>
      <c r="H83" s="361">
        <f t="shared" ca="1" si="36"/>
        <v>0</v>
      </c>
      <c r="I83" s="361">
        <f t="shared" ca="1" si="37"/>
        <v>87000</v>
      </c>
      <c r="J83" s="361">
        <f t="shared" ca="1" si="38"/>
        <v>0</v>
      </c>
      <c r="K83" s="362">
        <f t="shared" ca="1" si="39"/>
        <v>87000</v>
      </c>
    </row>
    <row r="84" spans="2:11">
      <c r="B84" s="513">
        <v>4</v>
      </c>
      <c r="C84" s="520" t="s">
        <v>176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Bh</v>
      </c>
      <c r="F84" s="521">
        <f>F78*2</f>
        <v>2</v>
      </c>
      <c r="G84" s="360">
        <f ca="1">IF(ISERROR(OFFSET('HARGA SATUAN'!$I$6,MATCH(RAB!C84,'HARGA SATUAN'!$C$7:$C$1492,0),0)),0,OFFSET('HARGA SATUAN'!$I$6,MATCH(RAB!C84,'HARGA SATUAN'!$C$7:$C$1492,0),0))</f>
        <v>404600</v>
      </c>
      <c r="H84" s="361">
        <f t="shared" ca="1" si="36"/>
        <v>0</v>
      </c>
      <c r="I84" s="361">
        <f t="shared" ca="1" si="37"/>
        <v>809200</v>
      </c>
      <c r="J84" s="361">
        <f t="shared" ca="1" si="38"/>
        <v>0</v>
      </c>
      <c r="K84" s="362">
        <f t="shared" ca="1" si="39"/>
        <v>809200</v>
      </c>
    </row>
    <row r="85" spans="2:11">
      <c r="B85" s="513">
        <v>5</v>
      </c>
      <c r="C85" s="520" t="s">
        <v>184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Bh</v>
      </c>
      <c r="F85" s="521">
        <f>F78*3</f>
        <v>3</v>
      </c>
      <c r="G85" s="360">
        <f ca="1">IF(ISERROR(OFFSET('HARGA SATUAN'!$I$6,MATCH(RAB!C85,'HARGA SATUAN'!$C$7:$C$1492,0),0)),0,OFFSET('HARGA SATUAN'!$I$6,MATCH(RAB!C85,'HARGA SATUAN'!$C$7:$C$1492,0),0))</f>
        <v>15900</v>
      </c>
      <c r="H85" s="361">
        <f t="shared" ca="1" si="36"/>
        <v>0</v>
      </c>
      <c r="I85" s="361">
        <f t="shared" ca="1" si="37"/>
        <v>47700</v>
      </c>
      <c r="J85" s="361">
        <f t="shared" ca="1" si="38"/>
        <v>0</v>
      </c>
      <c r="K85" s="362">
        <f t="shared" ca="1" si="39"/>
        <v>47700</v>
      </c>
    </row>
    <row r="86" spans="2:11">
      <c r="B86" s="513">
        <v>6</v>
      </c>
      <c r="C86" s="520" t="s">
        <v>187</v>
      </c>
      <c r="D86" s="358" t="str">
        <f ca="1">IF(ISERROR(OFFSET('HARGA SATUAN'!$D$6,MATCH(RAB!C86,'HARGA SATUAN'!$C$7:$C$1492,0),0)),"",OFFSET('HARGA SATUAN'!$D$6,MATCH(RAB!C86,'HARGA SATUAN'!$C$7:$C$1492,0),0))</f>
        <v>HDW</v>
      </c>
      <c r="E86" s="359" t="str">
        <f ca="1">IF(B86="+","Unit",IF(ISERROR(OFFSET('HARGA SATUAN'!$E$6,MATCH(RAB!C86,'HARGA SATUAN'!$C$7:$C$1492,0),0)),"",OFFSET('HARGA SATUAN'!$E$6,MATCH(RAB!C86,'HARGA SATUAN'!$C$7:$C$1492,0),0)))</f>
        <v>Bh</v>
      </c>
      <c r="F86" s="521">
        <f>F78*2</f>
        <v>2</v>
      </c>
      <c r="G86" s="360">
        <f ca="1">IF(ISERROR(OFFSET('HARGA SATUAN'!$I$6,MATCH(RAB!C86,'HARGA SATUAN'!$C$7:$C$1492,0),0)),0,OFFSET('HARGA SATUAN'!$I$6,MATCH(RAB!C86,'HARGA SATUAN'!$C$7:$C$1492,0),0))</f>
        <v>17100</v>
      </c>
      <c r="H86" s="361">
        <f t="shared" ca="1" si="36"/>
        <v>0</v>
      </c>
      <c r="I86" s="361">
        <f t="shared" ca="1" si="37"/>
        <v>34200</v>
      </c>
      <c r="J86" s="361">
        <f t="shared" ca="1" si="38"/>
        <v>0</v>
      </c>
      <c r="K86" s="362">
        <f t="shared" ca="1" si="39"/>
        <v>34200</v>
      </c>
    </row>
    <row r="87" spans="2:11">
      <c r="B87" s="513">
        <v>7</v>
      </c>
      <c r="C87" s="109" t="s">
        <v>1569</v>
      </c>
      <c r="D87" s="358" t="str">
        <f ca="1">IF(ISERROR(OFFSET('HARGA SATUAN'!$D$6,MATCH(RAB!C87,'HARGA SATUAN'!$C$7:$C$1492,0),0)),"",OFFSET('HARGA SATUAN'!$D$6,MATCH(RAB!C87,'HARGA SATUAN'!$C$7:$C$1492,0),0))</f>
        <v>HDW</v>
      </c>
      <c r="E87" s="359" t="str">
        <f ca="1">IF(B87="+","Unit",IF(ISERROR(OFFSET('HARGA SATUAN'!$E$6,MATCH(RAB!C87,'HARGA SATUAN'!$C$7:$C$1492,0),0)),"",OFFSET('HARGA SATUAN'!$E$6,MATCH(RAB!C87,'HARGA SATUAN'!$C$7:$C$1492,0),0)))</f>
        <v>Bh</v>
      </c>
      <c r="F87" s="521">
        <f>F78*4</f>
        <v>4</v>
      </c>
      <c r="G87" s="360">
        <f ca="1">IF(ISERROR(OFFSET('HARGA SATUAN'!$I$6,MATCH(RAB!C87,'HARGA SATUAN'!$C$7:$C$1492,0),0)),0,OFFSET('HARGA SATUAN'!$I$6,MATCH(RAB!C87,'HARGA SATUAN'!$C$7:$C$1492,0),0))</f>
        <v>49000</v>
      </c>
      <c r="H87" s="361">
        <f t="shared" ca="1" si="36"/>
        <v>0</v>
      </c>
      <c r="I87" s="361">
        <f t="shared" ca="1" si="37"/>
        <v>196000</v>
      </c>
      <c r="J87" s="361">
        <f t="shared" ca="1" si="38"/>
        <v>0</v>
      </c>
      <c r="K87" s="362">
        <f t="shared" ca="1" si="39"/>
        <v>196000</v>
      </c>
    </row>
    <row r="88" spans="2:11">
      <c r="B88" s="513">
        <v>8</v>
      </c>
      <c r="C88" s="520" t="s">
        <v>149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Set</v>
      </c>
      <c r="F88" s="521">
        <f>F78*1</f>
        <v>1</v>
      </c>
      <c r="G88" s="360">
        <f ca="1">IF(ISERROR(OFFSET('HARGA SATUAN'!$I$6,MATCH(RAB!C88,'HARGA SATUAN'!$C$7:$C$1492,0),0)),0,OFFSET('HARGA SATUAN'!$I$6,MATCH(RAB!C88,'HARGA SATUAN'!$C$7:$C$1492,0),0))</f>
        <v>67800</v>
      </c>
      <c r="H88" s="361">
        <f t="shared" ca="1" si="36"/>
        <v>0</v>
      </c>
      <c r="I88" s="361">
        <f t="shared" ca="1" si="37"/>
        <v>67800</v>
      </c>
      <c r="J88" s="361">
        <f t="shared" ca="1" si="38"/>
        <v>0</v>
      </c>
      <c r="K88" s="362">
        <f t="shared" ca="1" si="39"/>
        <v>67800</v>
      </c>
    </row>
    <row r="89" spans="2:11">
      <c r="B89" s="513">
        <v>9</v>
      </c>
      <c r="C89" s="520" t="s">
        <v>32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Mtr</v>
      </c>
      <c r="F89" s="521">
        <f>F78*2</f>
        <v>2</v>
      </c>
      <c r="G89" s="360">
        <f ca="1">IF(ISERROR(OFFSET('HARGA SATUAN'!$I$6,MATCH(RAB!C89,'HARGA SATUAN'!$C$7:$C$1492,0),0)),0,OFFSET('HARGA SATUAN'!$I$6,MATCH(RAB!C89,'HARGA SATUAN'!$C$7:$C$1492,0),0))</f>
        <v>30000</v>
      </c>
      <c r="H89" s="361">
        <f t="shared" ca="1" si="36"/>
        <v>0</v>
      </c>
      <c r="I89" s="361">
        <f t="shared" ca="1" si="37"/>
        <v>60000</v>
      </c>
      <c r="J89" s="361">
        <f t="shared" ca="1" si="38"/>
        <v>0</v>
      </c>
      <c r="K89" s="362">
        <f t="shared" ca="1" si="39"/>
        <v>60000</v>
      </c>
    </row>
    <row r="90" spans="2:11">
      <c r="B90" s="513">
        <v>10</v>
      </c>
      <c r="C90" s="520" t="s">
        <v>781</v>
      </c>
      <c r="D90" s="358" t="str">
        <f ca="1">IF(ISERROR(OFFSET('HARGA SATUAN'!$D$6,MATCH(RAB!C90,'HARGA SATUAN'!$C$7:$C$1492,0),0)),"",OFFSET('HARGA SATUAN'!$D$6,MATCH(RAB!C90,'HARGA SATUAN'!$C$7:$C$1492,0),0))</f>
        <v>JASA</v>
      </c>
      <c r="E90" s="359" t="str">
        <f ca="1">IF(B90="+","Unit",IF(ISERROR(OFFSET('HARGA SATUAN'!$E$6,MATCH(RAB!C90,'HARGA SATUAN'!$C$7:$C$1492,0),0)),"",OFFSET('HARGA SATUAN'!$E$6,MATCH(RAB!C90,'HARGA SATUAN'!$C$7:$C$1492,0),0)))</f>
        <v>Unit</v>
      </c>
      <c r="F90" s="521">
        <v>2</v>
      </c>
      <c r="G90" s="360">
        <f ca="1">IF(ISERROR(OFFSET('HARGA SATUAN'!$I$6,MATCH(RAB!C90,'HARGA SATUAN'!$C$7:$C$1492,0),0)),0,OFFSET('HARGA SATUAN'!$I$6,MATCH(RAB!C90,'HARGA SATUAN'!$C$7:$C$1492,0),0))</f>
        <v>346400</v>
      </c>
      <c r="H90" s="361">
        <f t="shared" ca="1" si="36"/>
        <v>0</v>
      </c>
      <c r="I90" s="361">
        <f t="shared" ca="1" si="37"/>
        <v>0</v>
      </c>
      <c r="J90" s="361">
        <f t="shared" ca="1" si="38"/>
        <v>692800</v>
      </c>
      <c r="K90" s="362">
        <f t="shared" ca="1" si="39"/>
        <v>692800</v>
      </c>
    </row>
    <row r="91" spans="2:11">
      <c r="B91" s="493">
        <v>11</v>
      </c>
      <c r="C91" s="520" t="s">
        <v>962</v>
      </c>
      <c r="D91" s="358" t="str">
        <f ca="1">IF(ISERROR(OFFSET('HARGA SATUAN'!$D$6,MATCH(RAB!C91,'HARGA SATUAN'!$C$7:$C$1492,0),0)),"",OFFSET('HARGA SATUAN'!$D$6,MATCH(RAB!C91,'HARGA SATUAN'!$C$7:$C$1492,0),0))</f>
        <v>JASA</v>
      </c>
      <c r="E91" s="359" t="str">
        <f ca="1">IF(B91="+","Unit",IF(ISERROR(OFFSET('HARGA SATUAN'!$E$6,MATCH(RAB!C91,'HARGA SATUAN'!$C$7:$C$1492,0),0)),"",OFFSET('HARGA SATUAN'!$E$6,MATCH(RAB!C91,'HARGA SATUAN'!$C$7:$C$1492,0),0)))</f>
        <v>Unit</v>
      </c>
      <c r="F91" s="500">
        <v>1</v>
      </c>
      <c r="G91" s="360">
        <f ca="1">IF(ISERROR(OFFSET('HARGA SATUAN'!$I$6,MATCH(RAB!C91,'HARGA SATUAN'!$C$7:$C$1492,0),0)),0,OFFSET('HARGA SATUAN'!$I$6,MATCH(RAB!C91,'HARGA SATUAN'!$C$7:$C$1492,0),0))</f>
        <v>207840</v>
      </c>
      <c r="H91" s="361">
        <f t="shared" ca="1" si="36"/>
        <v>0</v>
      </c>
      <c r="I91" s="361">
        <f t="shared" ca="1" si="37"/>
        <v>0</v>
      </c>
      <c r="J91" s="361">
        <f t="shared" ca="1" si="38"/>
        <v>207840</v>
      </c>
      <c r="K91" s="362">
        <f t="shared" ca="1" si="39"/>
        <v>207840</v>
      </c>
    </row>
    <row r="92" spans="2:11">
      <c r="B92" s="493"/>
      <c r="C92" s="496"/>
      <c r="D92" s="358" t="str">
        <f ca="1">IF(ISERROR(OFFSET('HARGA SATUAN'!$D$6,MATCH(RAB!C92,'HARGA SATUAN'!$C$7:$C$1492,0),0)),"",OFFSET('HARGA SATUAN'!$D$6,MATCH(RAB!C92,'HARGA SATUAN'!$C$7:$C$1492,0),0))</f>
        <v/>
      </c>
      <c r="E92" s="359" t="str">
        <f ca="1">IF(B92="+","Unit",IF(ISERROR(OFFSET('HARGA SATUAN'!$E$6,MATCH(RAB!C92,'HARGA SATUAN'!$C$7:$C$1492,0),0)),"",OFFSET('HARGA SATUAN'!$E$6,MATCH(RAB!C92,'HARGA SATUAN'!$C$7:$C$1492,0),0)))</f>
        <v/>
      </c>
      <c r="F92" s="500"/>
      <c r="G92" s="360">
        <f ca="1">IF(ISERROR(OFFSET('HARGA SATUAN'!$I$6,MATCH(RAB!C92,'HARGA SATUAN'!$C$7:$C$1492,0),0)),0,OFFSET('HARGA SATUAN'!$I$6,MATCH(RAB!C92,'HARGA SATUAN'!$C$7:$C$1492,0),0))</f>
        <v>0</v>
      </c>
      <c r="H92" s="361">
        <f t="shared" ca="1" si="36"/>
        <v>0</v>
      </c>
      <c r="I92" s="361">
        <f t="shared" ca="1" si="37"/>
        <v>0</v>
      </c>
      <c r="J92" s="361">
        <f t="shared" ca="1" si="38"/>
        <v>0</v>
      </c>
      <c r="K92" s="362">
        <f t="shared" ca="1" si="39"/>
        <v>0</v>
      </c>
    </row>
    <row r="93" spans="2:11">
      <c r="B93" s="517" t="s">
        <v>1035</v>
      </c>
      <c r="C93" s="522" t="s">
        <v>1618</v>
      </c>
      <c r="D93" s="358" t="str">
        <f ca="1">IF(ISERROR(OFFSET('HARGA SATUAN'!$D$6,MATCH(RAB!C93,'HARGA SATUAN'!$C$7:$C$1492,0),0)),"",OFFSET('HARGA SATUAN'!$D$6,MATCH(RAB!C93,'HARGA SATUAN'!$C$7:$C$1492,0),0))</f>
        <v/>
      </c>
      <c r="E93" s="359" t="str">
        <f ca="1">IF(B93="+","Unit",IF(ISERROR(OFFSET('HARGA SATUAN'!$E$6,MATCH(RAB!C93,'HARGA SATUAN'!$C$7:$C$1492,0),0)),"",OFFSET('HARGA SATUAN'!$E$6,MATCH(RAB!C93,'HARGA SATUAN'!$C$7:$C$1492,0),0)))</f>
        <v>Unit</v>
      </c>
      <c r="F93" s="500">
        <v>2</v>
      </c>
      <c r="G93" s="360">
        <f ca="1">IF(ISERROR(OFFSET('HARGA SATUAN'!$I$6,MATCH(RAB!C93,'HARGA SATUAN'!$C$7:$C$1492,0),0)),0,OFFSET('HARGA SATUAN'!$I$6,MATCH(RAB!C93,'HARGA SATUAN'!$C$7:$C$1492,0),0))</f>
        <v>0</v>
      </c>
      <c r="H93" s="361">
        <f t="shared" ca="1" si="36"/>
        <v>0</v>
      </c>
      <c r="I93" s="361">
        <f t="shared" ca="1" si="37"/>
        <v>0</v>
      </c>
      <c r="J93" s="361">
        <f t="shared" ca="1" si="38"/>
        <v>0</v>
      </c>
      <c r="K93" s="362">
        <f t="shared" ca="1" si="39"/>
        <v>0</v>
      </c>
    </row>
    <row r="94" spans="2:11">
      <c r="B94" s="517">
        <v>1</v>
      </c>
      <c r="C94" s="518" t="s">
        <v>29</v>
      </c>
      <c r="D94" s="358" t="str">
        <f ca="1">IF(ISERROR(OFFSET('HARGA SATUAN'!$D$6,MATCH(RAB!C94,'HARGA SATUAN'!$C$7:$C$1492,0),0)),"",OFFSET('HARGA SATUAN'!$D$6,MATCH(RAB!C94,'HARGA SATUAN'!$C$7:$C$1492,0),0))</f>
        <v>HDW</v>
      </c>
      <c r="E94" s="359" t="str">
        <f ca="1">IF(B94="+","Unit",IF(ISERROR(OFFSET('HARGA SATUAN'!$E$6,MATCH(RAB!C94,'HARGA SATUAN'!$C$7:$C$1492,0),0)),"",OFFSET('HARGA SATUAN'!$E$6,MATCH(RAB!C94,'HARGA SATUAN'!$C$7:$C$1492,0),0)))</f>
        <v>Bh</v>
      </c>
      <c r="F94" s="500">
        <f>F93*1</f>
        <v>2</v>
      </c>
      <c r="G94" s="360">
        <f ca="1">IF(ISERROR(OFFSET('HARGA SATUAN'!$I$6,MATCH(RAB!C94,'HARGA SATUAN'!$C$7:$C$1492,0),0)),0,OFFSET('HARGA SATUAN'!$I$6,MATCH(RAB!C94,'HARGA SATUAN'!$C$7:$C$1492,0),0))</f>
        <v>185200</v>
      </c>
      <c r="H94" s="361">
        <f t="shared" ca="1" si="36"/>
        <v>0</v>
      </c>
      <c r="I94" s="361">
        <f t="shared" ca="1" si="37"/>
        <v>370400</v>
      </c>
      <c r="J94" s="361">
        <f t="shared" ca="1" si="38"/>
        <v>0</v>
      </c>
      <c r="K94" s="362">
        <f t="shared" ca="1" si="39"/>
        <v>370400</v>
      </c>
    </row>
    <row r="95" spans="2:11">
      <c r="B95" s="513">
        <v>2</v>
      </c>
      <c r="C95" s="514" t="s">
        <v>30</v>
      </c>
      <c r="D95" s="358" t="str">
        <f ca="1">IF(ISERROR(OFFSET('HARGA SATUAN'!$D$6,MATCH(RAB!C95,'HARGA SATUAN'!$C$7:$C$1492,0),0)),"",OFFSET('HARGA SATUAN'!$D$6,MATCH(RAB!C95,'HARGA SATUAN'!$C$7:$C$1492,0),0))</f>
        <v>HDW</v>
      </c>
      <c r="E95" s="359" t="str">
        <f ca="1">IF(B95="+","Unit",IF(ISERROR(OFFSET('HARGA SATUAN'!$E$6,MATCH(RAB!C95,'HARGA SATUAN'!$C$7:$C$1492,0),0)),"",OFFSET('HARGA SATUAN'!$E$6,MATCH(RAB!C95,'HARGA SATUAN'!$C$7:$C$1492,0),0)))</f>
        <v>Bh</v>
      </c>
      <c r="F95" s="500">
        <f>F93*1</f>
        <v>2</v>
      </c>
      <c r="G95" s="360">
        <f ca="1">IF(ISERROR(OFFSET('HARGA SATUAN'!$I$6,MATCH(RAB!C95,'HARGA SATUAN'!$C$7:$C$1492,0),0)),0,OFFSET('HARGA SATUAN'!$I$6,MATCH(RAB!C95,'HARGA SATUAN'!$C$7:$C$1492,0),0))</f>
        <v>47459</v>
      </c>
      <c r="H95" s="361">
        <f t="shared" ca="1" si="36"/>
        <v>0</v>
      </c>
      <c r="I95" s="361">
        <f t="shared" ca="1" si="37"/>
        <v>94918</v>
      </c>
      <c r="J95" s="361">
        <f t="shared" ca="1" si="38"/>
        <v>0</v>
      </c>
      <c r="K95" s="362">
        <f t="shared" ca="1" si="39"/>
        <v>94918</v>
      </c>
    </row>
    <row r="96" spans="2:11">
      <c r="B96" s="513">
        <v>3</v>
      </c>
      <c r="C96" s="514" t="s">
        <v>31</v>
      </c>
      <c r="D96" s="358" t="str">
        <f ca="1">IF(ISERROR(OFFSET('HARGA SATUAN'!$D$6,MATCH(RAB!C96,'HARGA SATUAN'!$C$7:$C$1492,0),0)),"",OFFSET('HARGA SATUAN'!$D$6,MATCH(RAB!C96,'HARGA SATUAN'!$C$7:$C$1492,0),0))</f>
        <v>HDW</v>
      </c>
      <c r="E96" s="359" t="str">
        <f ca="1">IF(B96="+","Unit",IF(ISERROR(OFFSET('HARGA SATUAN'!$E$6,MATCH(RAB!C96,'HARGA SATUAN'!$C$7:$C$1492,0),0)),"",OFFSET('HARGA SATUAN'!$E$6,MATCH(RAB!C96,'HARGA SATUAN'!$C$7:$C$1492,0),0)))</f>
        <v>Bh</v>
      </c>
      <c r="F96" s="500">
        <f>F93*1</f>
        <v>2</v>
      </c>
      <c r="G96" s="360">
        <f ca="1">IF(ISERROR(OFFSET('HARGA SATUAN'!$I$6,MATCH(RAB!C96,'HARGA SATUAN'!$C$7:$C$1492,0),0)),0,OFFSET('HARGA SATUAN'!$I$6,MATCH(RAB!C96,'HARGA SATUAN'!$C$7:$C$1492,0),0))</f>
        <v>4880</v>
      </c>
      <c r="H96" s="361">
        <f t="shared" ca="1" si="36"/>
        <v>0</v>
      </c>
      <c r="I96" s="361">
        <f t="shared" ca="1" si="37"/>
        <v>9760</v>
      </c>
      <c r="J96" s="361">
        <f t="shared" ca="1" si="38"/>
        <v>0</v>
      </c>
      <c r="K96" s="362">
        <f t="shared" ca="1" si="39"/>
        <v>9760</v>
      </c>
    </row>
    <row r="97" spans="2:11">
      <c r="B97" s="513">
        <v>4</v>
      </c>
      <c r="C97" s="514" t="s">
        <v>32</v>
      </c>
      <c r="D97" s="358" t="str">
        <f ca="1">IF(ISERROR(OFFSET('HARGA SATUAN'!$D$6,MATCH(RAB!C97,'HARGA SATUAN'!$C$7:$C$1492,0),0)),"",OFFSET('HARGA SATUAN'!$D$6,MATCH(RAB!C97,'HARGA SATUAN'!$C$7:$C$1492,0),0))</f>
        <v>HDW</v>
      </c>
      <c r="E97" s="359" t="str">
        <f ca="1">IF(B97="+","Unit",IF(ISERROR(OFFSET('HARGA SATUAN'!$E$6,MATCH(RAB!C97,'HARGA SATUAN'!$C$7:$C$1492,0),0)),"",OFFSET('HARGA SATUAN'!$E$6,MATCH(RAB!C97,'HARGA SATUAN'!$C$7:$C$1492,0),0)))</f>
        <v>Mtr</v>
      </c>
      <c r="F97" s="500">
        <f>F93*10</f>
        <v>20</v>
      </c>
      <c r="G97" s="360">
        <f ca="1">IF(ISERROR(OFFSET('HARGA SATUAN'!$I$6,MATCH(RAB!C97,'HARGA SATUAN'!$C$7:$C$1492,0),0)),0,OFFSET('HARGA SATUAN'!$I$6,MATCH(RAB!C97,'HARGA SATUAN'!$C$7:$C$1492,0),0))</f>
        <v>30000</v>
      </c>
      <c r="H97" s="361">
        <f t="shared" ca="1" si="36"/>
        <v>0</v>
      </c>
      <c r="I97" s="361">
        <f t="shared" ca="1" si="37"/>
        <v>600000</v>
      </c>
      <c r="J97" s="361">
        <f t="shared" ca="1" si="38"/>
        <v>0</v>
      </c>
      <c r="K97" s="362">
        <f t="shared" ca="1" si="39"/>
        <v>600000</v>
      </c>
    </row>
    <row r="98" spans="2:11">
      <c r="B98" s="513">
        <v>5</v>
      </c>
      <c r="C98" s="514" t="s">
        <v>33</v>
      </c>
      <c r="D98" s="358" t="str">
        <f ca="1">IF(ISERROR(OFFSET('HARGA SATUAN'!$D$6,MATCH(RAB!C98,'HARGA SATUAN'!$C$7:$C$1492,0),0)),"",OFFSET('HARGA SATUAN'!$D$6,MATCH(RAB!C98,'HARGA SATUAN'!$C$7:$C$1492,0),0))</f>
        <v>HDW</v>
      </c>
      <c r="E98" s="359" t="str">
        <f ca="1">IF(B98="+","Unit",IF(ISERROR(OFFSET('HARGA SATUAN'!$E$6,MATCH(RAB!C98,'HARGA SATUAN'!$C$7:$C$1492,0),0)),"",OFFSET('HARGA SATUAN'!$E$6,MATCH(RAB!C98,'HARGA SATUAN'!$C$7:$C$1492,0),0)))</f>
        <v>Bh</v>
      </c>
      <c r="F98" s="500">
        <f>F93*2</f>
        <v>4</v>
      </c>
      <c r="G98" s="360">
        <f ca="1">IF(ISERROR(OFFSET('HARGA SATUAN'!$I$6,MATCH(RAB!C98,'HARGA SATUAN'!$C$7:$C$1492,0),0)),0,OFFSET('HARGA SATUAN'!$I$6,MATCH(RAB!C98,'HARGA SATUAN'!$C$7:$C$1492,0),0))</f>
        <v>9500</v>
      </c>
      <c r="H98" s="361">
        <f t="shared" ca="1" si="36"/>
        <v>0</v>
      </c>
      <c r="I98" s="361">
        <f t="shared" ca="1" si="37"/>
        <v>38000</v>
      </c>
      <c r="J98" s="361">
        <f t="shared" ca="1" si="38"/>
        <v>0</v>
      </c>
      <c r="K98" s="362">
        <f t="shared" ca="1" si="39"/>
        <v>38000</v>
      </c>
    </row>
    <row r="99" spans="2:11">
      <c r="B99" s="513">
        <v>6</v>
      </c>
      <c r="C99" s="514" t="s">
        <v>34</v>
      </c>
      <c r="D99" s="358" t="str">
        <f ca="1">IF(ISERROR(OFFSET('HARGA SATUAN'!$D$6,MATCH(RAB!C99,'HARGA SATUAN'!$C$7:$C$1492,0),0)),"",OFFSET('HARGA SATUAN'!$D$6,MATCH(RAB!C99,'HARGA SATUAN'!$C$7:$C$1492,0),0))</f>
        <v>HDW</v>
      </c>
      <c r="E99" s="359" t="str">
        <f ca="1">IF(B99="+","Unit",IF(ISERROR(OFFSET('HARGA SATUAN'!$E$6,MATCH(RAB!C99,'HARGA SATUAN'!$C$7:$C$1492,0),0)),"",OFFSET('HARGA SATUAN'!$E$6,MATCH(RAB!C99,'HARGA SATUAN'!$C$7:$C$1492,0),0)))</f>
        <v>Bh</v>
      </c>
      <c r="F99" s="500">
        <f>F93*5.5</f>
        <v>11</v>
      </c>
      <c r="G99" s="360">
        <f ca="1">IF(ISERROR(OFFSET('HARGA SATUAN'!$I$6,MATCH(RAB!C99,'HARGA SATUAN'!$C$7:$C$1492,0),0)),0,OFFSET('HARGA SATUAN'!$I$6,MATCH(RAB!C99,'HARGA SATUAN'!$C$7:$C$1492,0),0))</f>
        <v>6100</v>
      </c>
      <c r="H99" s="361">
        <f t="shared" ca="1" si="36"/>
        <v>0</v>
      </c>
      <c r="I99" s="361">
        <f t="shared" ca="1" si="37"/>
        <v>67100</v>
      </c>
      <c r="J99" s="361">
        <f t="shared" ca="1" si="38"/>
        <v>0</v>
      </c>
      <c r="K99" s="362">
        <f t="shared" ca="1" si="39"/>
        <v>67100</v>
      </c>
    </row>
    <row r="100" spans="2:11">
      <c r="B100" s="513">
        <v>7</v>
      </c>
      <c r="C100" s="514" t="s">
        <v>35</v>
      </c>
      <c r="D100" s="358" t="str">
        <f ca="1">IF(ISERROR(OFFSET('HARGA SATUAN'!$D$6,MATCH(RAB!C100,'HARGA SATUAN'!$C$7:$C$1492,0),0)),"",OFFSET('HARGA SATUAN'!$D$6,MATCH(RAB!C100,'HARGA SATUAN'!$C$7:$C$1492,0),0))</f>
        <v>HDW</v>
      </c>
      <c r="E100" s="359" t="str">
        <f ca="1">IF(B100="+","Unit",IF(ISERROR(OFFSET('HARGA SATUAN'!$E$6,MATCH(RAB!C100,'HARGA SATUAN'!$C$7:$C$1492,0),0)),"",OFFSET('HARGA SATUAN'!$E$6,MATCH(RAB!C100,'HARGA SATUAN'!$C$7:$C$1492,0),0)))</f>
        <v>Bh</v>
      </c>
      <c r="F100" s="500">
        <f>F93*6</f>
        <v>12</v>
      </c>
      <c r="G100" s="360">
        <f ca="1">IF(ISERROR(OFFSET('HARGA SATUAN'!$I$6,MATCH(RAB!C100,'HARGA SATUAN'!$C$7:$C$1492,0),0)),0,OFFSET('HARGA SATUAN'!$I$6,MATCH(RAB!C100,'HARGA SATUAN'!$C$7:$C$1492,0),0))</f>
        <v>2300</v>
      </c>
      <c r="H100" s="361">
        <f t="shared" ca="1" si="36"/>
        <v>0</v>
      </c>
      <c r="I100" s="361">
        <f t="shared" ca="1" si="37"/>
        <v>27600</v>
      </c>
      <c r="J100" s="361">
        <f t="shared" ca="1" si="38"/>
        <v>0</v>
      </c>
      <c r="K100" s="362">
        <f t="shared" ca="1" si="39"/>
        <v>27600</v>
      </c>
    </row>
    <row r="101" spans="2:11">
      <c r="B101" s="513">
        <v>8</v>
      </c>
      <c r="C101" s="514" t="s">
        <v>1632</v>
      </c>
      <c r="D101" s="358" t="str">
        <f ca="1">IF(ISERROR(OFFSET('HARGA SATUAN'!$D$6,MATCH(RAB!C101,'HARGA SATUAN'!$C$7:$C$1492,0),0)),"",OFFSET('HARGA SATUAN'!$D$6,MATCH(RAB!C101,'HARGA SATUAN'!$C$7:$C$1492,0),0))</f>
        <v>HDW</v>
      </c>
      <c r="E101" s="359" t="str">
        <f ca="1">IF(B101="+","Unit",IF(ISERROR(OFFSET('HARGA SATUAN'!$E$6,MATCH(RAB!C101,'HARGA SATUAN'!$C$7:$C$1492,0),0)),"",OFFSET('HARGA SATUAN'!$E$6,MATCH(RAB!C101,'HARGA SATUAN'!$C$7:$C$1492,0),0)))</f>
        <v>Mtr</v>
      </c>
      <c r="F101" s="500">
        <f>F93*4.8</f>
        <v>9.6</v>
      </c>
      <c r="G101" s="360">
        <f ca="1">IF(ISERROR(OFFSET('HARGA SATUAN'!$I$6,MATCH(RAB!C101,'HARGA SATUAN'!$C$7:$C$1492,0),0)),0,OFFSET('HARGA SATUAN'!$I$6,MATCH(RAB!C101,'HARGA SATUAN'!$C$7:$C$1492,0),0))</f>
        <v>23310</v>
      </c>
      <c r="H101" s="361">
        <f t="shared" ca="1" si="36"/>
        <v>0</v>
      </c>
      <c r="I101" s="361">
        <f t="shared" ca="1" si="37"/>
        <v>223776</v>
      </c>
      <c r="J101" s="361">
        <f t="shared" ca="1" si="38"/>
        <v>0</v>
      </c>
      <c r="K101" s="362">
        <f t="shared" ca="1" si="39"/>
        <v>223776</v>
      </c>
    </row>
    <row r="102" spans="2:11">
      <c r="B102" s="513">
        <v>9</v>
      </c>
      <c r="C102" s="514" t="s">
        <v>736</v>
      </c>
      <c r="D102" s="358" t="str">
        <f ca="1">IF(ISERROR(OFFSET('HARGA SATUAN'!$D$6,MATCH(RAB!C102,'HARGA SATUAN'!$C$7:$C$1492,0),0)),"",OFFSET('HARGA SATUAN'!$D$6,MATCH(RAB!C102,'HARGA SATUAN'!$C$7:$C$1492,0),0))</f>
        <v>JASA</v>
      </c>
      <c r="E102" s="359" t="str">
        <f ca="1">IF(B102="+","Unit",IF(ISERROR(OFFSET('HARGA SATUAN'!$E$6,MATCH(RAB!C102,'HARGA SATUAN'!$C$7:$C$1492,0),0)),"",OFFSET('HARGA SATUAN'!$E$6,MATCH(RAB!C102,'HARGA SATUAN'!$C$7:$C$1492,0),0)))</f>
        <v>Unit</v>
      </c>
      <c r="F102" s="500">
        <f>F93*1</f>
        <v>2</v>
      </c>
      <c r="G102" s="360">
        <f ca="1">IF(ISERROR(OFFSET('HARGA SATUAN'!$I$6,MATCH(RAB!C102,'HARGA SATUAN'!$C$7:$C$1492,0),0)),0,OFFSET('HARGA SATUAN'!$I$6,MATCH(RAB!C102,'HARGA SATUAN'!$C$7:$C$1492,0),0))</f>
        <v>65400</v>
      </c>
      <c r="H102" s="361">
        <f t="shared" ca="1" si="36"/>
        <v>0</v>
      </c>
      <c r="I102" s="361">
        <f t="shared" ca="1" si="37"/>
        <v>0</v>
      </c>
      <c r="J102" s="361">
        <f t="shared" ca="1" si="38"/>
        <v>130800</v>
      </c>
      <c r="K102" s="362">
        <f t="shared" ca="1" si="39"/>
        <v>130800</v>
      </c>
    </row>
    <row r="103" spans="2:11">
      <c r="B103" s="493"/>
      <c r="C103" s="496"/>
      <c r="D103" s="358" t="str">
        <f ca="1">IF(ISERROR(OFFSET('HARGA SATUAN'!$D$6,MATCH(RAB!C103,'HARGA SATUAN'!$C$7:$C$1492,0),0)),"",OFFSET('HARGA SATUAN'!$D$6,MATCH(RAB!C103,'HARGA SATUAN'!$C$7:$C$1492,0),0))</f>
        <v/>
      </c>
      <c r="E103" s="359" t="str">
        <f ca="1">IF(B103="+","Unit",IF(ISERROR(OFFSET('HARGA SATUAN'!$E$6,MATCH(RAB!C103,'HARGA SATUAN'!$C$7:$C$1492,0),0)),"",OFFSET('HARGA SATUAN'!$E$6,MATCH(RAB!C103,'HARGA SATUAN'!$C$7:$C$1492,0),0)))</f>
        <v/>
      </c>
      <c r="F103" s="500"/>
      <c r="G103" s="360">
        <f ca="1">IF(ISERROR(OFFSET('HARGA SATUAN'!$I$6,MATCH(RAB!C103,'HARGA SATUAN'!$C$7:$C$1492,0),0)),0,OFFSET('HARGA SATUAN'!$I$6,MATCH(RAB!C103,'HARGA SATUAN'!$C$7:$C$1492,0),0))</f>
        <v>0</v>
      </c>
      <c r="H103" s="361">
        <f t="shared" ca="1" si="36"/>
        <v>0</v>
      </c>
      <c r="I103" s="361">
        <f t="shared" ca="1" si="37"/>
        <v>0</v>
      </c>
      <c r="J103" s="361">
        <f t="shared" ca="1" si="38"/>
        <v>0</v>
      </c>
      <c r="K103" s="362">
        <f t="shared" ca="1" si="39"/>
        <v>0</v>
      </c>
    </row>
    <row r="104" spans="2:11">
      <c r="B104" s="494" t="s">
        <v>1615</v>
      </c>
      <c r="C104" s="499" t="s">
        <v>1619</v>
      </c>
      <c r="D104" s="358" t="str">
        <f ca="1">IF(ISERROR(OFFSET('HARGA SATUAN'!$D$6,MATCH(RAB!C104,'HARGA SATUAN'!$C$7:$C$1492,0),0)),"",OFFSET('HARGA SATUAN'!$D$6,MATCH(RAB!C104,'HARGA SATUAN'!$C$7:$C$1492,0),0))</f>
        <v/>
      </c>
      <c r="E104" s="359" t="str">
        <f ca="1">IF(B104="+","Unit",IF(ISERROR(OFFSET('HARGA SATUAN'!$E$6,MATCH(RAB!C104,'HARGA SATUAN'!$C$7:$C$1492,0),0)),"",OFFSET('HARGA SATUAN'!$E$6,MATCH(RAB!C104,'HARGA SATUAN'!$C$7:$C$1492,0),0)))</f>
        <v/>
      </c>
      <c r="F104" s="500"/>
      <c r="G104" s="360">
        <f ca="1">IF(ISERROR(OFFSET('HARGA SATUAN'!$I$6,MATCH(RAB!C104,'HARGA SATUAN'!$C$7:$C$1492,0),0)),0,OFFSET('HARGA SATUAN'!$I$6,MATCH(RAB!C104,'HARGA SATUAN'!$C$7:$C$1492,0),0))</f>
        <v>0</v>
      </c>
      <c r="H104" s="361">
        <f t="shared" ca="1" si="36"/>
        <v>0</v>
      </c>
      <c r="I104" s="361">
        <f t="shared" ca="1" si="37"/>
        <v>0</v>
      </c>
      <c r="J104" s="361">
        <f t="shared" ca="1" si="38"/>
        <v>0</v>
      </c>
      <c r="K104" s="362">
        <f t="shared" ca="1" si="39"/>
        <v>0</v>
      </c>
    </row>
    <row r="105" spans="2:11">
      <c r="B105" s="494"/>
      <c r="C105" s="495"/>
      <c r="D105" s="358" t="str">
        <f ca="1">IF(ISERROR(OFFSET('HARGA SATUAN'!$D$6,MATCH(RAB!C105,'HARGA SATUAN'!$C$7:$C$1492,0),0)),"",OFFSET('HARGA SATUAN'!$D$6,MATCH(RAB!C105,'HARGA SATUAN'!$C$7:$C$1492,0),0))</f>
        <v/>
      </c>
      <c r="E105" s="359" t="str">
        <f ca="1">IF(B105="+","Unit",IF(ISERROR(OFFSET('HARGA SATUAN'!$E$6,MATCH(RAB!C105,'HARGA SATUAN'!$C$7:$C$1492,0),0)),"",OFFSET('HARGA SATUAN'!$E$6,MATCH(RAB!C105,'HARGA SATUAN'!$C$7:$C$1492,0),0)))</f>
        <v/>
      </c>
      <c r="F105" s="500"/>
      <c r="G105" s="360">
        <f ca="1">IF(ISERROR(OFFSET('HARGA SATUAN'!$I$6,MATCH(RAB!C105,'HARGA SATUAN'!$C$7:$C$1492,0),0)),0,OFFSET('HARGA SATUAN'!$I$6,MATCH(RAB!C105,'HARGA SATUAN'!$C$7:$C$1492,0),0))</f>
        <v>0</v>
      </c>
      <c r="H105" s="361">
        <f t="shared" ca="1" si="36"/>
        <v>0</v>
      </c>
      <c r="I105" s="361">
        <f t="shared" ca="1" si="37"/>
        <v>0</v>
      </c>
      <c r="J105" s="361">
        <f t="shared" ca="1" si="38"/>
        <v>0</v>
      </c>
      <c r="K105" s="362">
        <f t="shared" ca="1" si="39"/>
        <v>0</v>
      </c>
    </row>
    <row r="106" spans="2:11">
      <c r="B106" s="494" t="s">
        <v>1035</v>
      </c>
      <c r="C106" s="495" t="s">
        <v>1622</v>
      </c>
      <c r="D106" s="358" t="str">
        <f ca="1">IF(ISERROR(OFFSET('HARGA SATUAN'!$D$6,MATCH(RAB!C106,'HARGA SATUAN'!$C$7:$C$1492,0),0)),"",OFFSET('HARGA SATUAN'!$D$6,MATCH(RAB!C106,'HARGA SATUAN'!$C$7:$C$1492,0),0))</f>
        <v/>
      </c>
      <c r="E106" s="359" t="str">
        <f ca="1">IF(B106="+","Unit",IF(ISERROR(OFFSET('HARGA SATUAN'!$E$6,MATCH(RAB!C106,'HARGA SATUAN'!$C$7:$C$1492,0),0)),"",OFFSET('HARGA SATUAN'!$E$6,MATCH(RAB!C106,'HARGA SATUAN'!$C$7:$C$1492,0),0)))</f>
        <v>Unit</v>
      </c>
      <c r="F106" s="505">
        <v>1</v>
      </c>
      <c r="G106" s="360">
        <f ca="1">IF(ISERROR(OFFSET('HARGA SATUAN'!$I$6,MATCH(RAB!C106,'HARGA SATUAN'!$C$7:$C$1492,0),0)),0,OFFSET('HARGA SATUAN'!$I$6,MATCH(RAB!C106,'HARGA SATUAN'!$C$7:$C$1492,0),0))</f>
        <v>0</v>
      </c>
      <c r="H106" s="361">
        <f t="shared" ref="H106:H110" ca="1" si="40">IF(OR(D106="MDU",D106="MDU-KD"),(IF($O$3="RAB NON MDU","PLN KD",G106*F106)),0)</f>
        <v>0</v>
      </c>
      <c r="I106" s="361">
        <f t="shared" ref="I106:I110" ca="1" si="41">IF(D106="HDW",G106*F106,0)</f>
        <v>0</v>
      </c>
      <c r="J106" s="361">
        <f t="shared" ref="J106:J110" ca="1" si="42">IF(D106="JASA",G106*F106,0)</f>
        <v>0</v>
      </c>
      <c r="K106" s="362">
        <f t="shared" ref="K106:K110" ca="1" si="43">SUM(H106:J106)</f>
        <v>0</v>
      </c>
    </row>
    <row r="107" spans="2:11" ht="30">
      <c r="B107" s="503">
        <v>1</v>
      </c>
      <c r="C107" s="109" t="s">
        <v>1141</v>
      </c>
      <c r="D107" s="358" t="str">
        <f ca="1">IF(ISERROR(OFFSET('HARGA SATUAN'!$D$6,MATCH(RAB!C107,'HARGA SATUAN'!$C$7:$C$1492,0),0)),"",OFFSET('HARGA SATUAN'!$D$6,MATCH(RAB!C107,'HARGA SATUAN'!$C$7:$C$1492,0),0))</f>
        <v>MDU-KD</v>
      </c>
      <c r="E107" s="359" t="str">
        <f ca="1">IF(B107="+","Unit",IF(ISERROR(OFFSET('HARGA SATUAN'!$E$6,MATCH(RAB!C107,'HARGA SATUAN'!$C$7:$C$1492,0),0)),"",OFFSET('HARGA SATUAN'!$E$6,MATCH(RAB!C107,'HARGA SATUAN'!$C$7:$C$1492,0),0)))</f>
        <v>Bh</v>
      </c>
      <c r="F107" s="505">
        <f>F106*1</f>
        <v>1</v>
      </c>
      <c r="G107" s="360">
        <f ca="1">IF(ISERROR(OFFSET('HARGA SATUAN'!$I$6,MATCH(RAB!C107,'HARGA SATUAN'!$C$7:$C$1492,0),0)),0,OFFSET('HARGA SATUAN'!$I$6,MATCH(RAB!C107,'HARGA SATUAN'!$C$7:$C$1492,0),0))</f>
        <v>1740750</v>
      </c>
      <c r="H107" s="361">
        <f t="shared" ca="1" si="40"/>
        <v>1740750</v>
      </c>
      <c r="I107" s="361">
        <f t="shared" ca="1" si="41"/>
        <v>0</v>
      </c>
      <c r="J107" s="361">
        <f t="shared" ca="1" si="42"/>
        <v>0</v>
      </c>
      <c r="K107" s="362">
        <f t="shared" ca="1" si="43"/>
        <v>1740750</v>
      </c>
    </row>
    <row r="108" spans="2:11">
      <c r="B108" s="503">
        <v>2</v>
      </c>
      <c r="C108" s="504" t="s">
        <v>493</v>
      </c>
      <c r="D108" s="358" t="str">
        <f ca="1">IF(ISERROR(OFFSET('HARGA SATUAN'!$D$6,MATCH(RAB!C108,'HARGA SATUAN'!$C$7:$C$1492,0),0)),"",OFFSET('HARGA SATUAN'!$D$6,MATCH(RAB!C108,'HARGA SATUAN'!$C$7:$C$1492,0),0))</f>
        <v>MDU-KD</v>
      </c>
      <c r="E108" s="359" t="str">
        <f ca="1">IF(B108="+","Unit",IF(ISERROR(OFFSET('HARGA SATUAN'!$E$6,MATCH(RAB!C108,'HARGA SATUAN'!$C$7:$C$1492,0),0)),"",OFFSET('HARGA SATUAN'!$E$6,MATCH(RAB!C108,'HARGA SATUAN'!$C$7:$C$1492,0),0)))</f>
        <v>Bh</v>
      </c>
      <c r="F108" s="505">
        <f>F106*1</f>
        <v>1</v>
      </c>
      <c r="G108" s="360">
        <f ca="1">IF(ISERROR(OFFSET('HARGA SATUAN'!$I$6,MATCH(RAB!C108,'HARGA SATUAN'!$C$7:$C$1492,0),0)),0,OFFSET('HARGA SATUAN'!$I$6,MATCH(RAB!C108,'HARGA SATUAN'!$C$7:$C$1492,0),0))</f>
        <v>39000</v>
      </c>
      <c r="H108" s="361">
        <f t="shared" ca="1" si="40"/>
        <v>39000</v>
      </c>
      <c r="I108" s="361">
        <f t="shared" ca="1" si="41"/>
        <v>0</v>
      </c>
      <c r="J108" s="361">
        <f t="shared" ca="1" si="42"/>
        <v>0</v>
      </c>
      <c r="K108" s="362">
        <f t="shared" ca="1" si="43"/>
        <v>39000</v>
      </c>
    </row>
    <row r="109" spans="2:11">
      <c r="B109" s="503">
        <v>3</v>
      </c>
      <c r="C109" s="504" t="s">
        <v>74</v>
      </c>
      <c r="D109" s="358" t="str">
        <f ca="1">IF(ISERROR(OFFSET('HARGA SATUAN'!$D$6,MATCH(RAB!C109,'HARGA SATUAN'!$C$7:$C$1492,0),0)),"",OFFSET('HARGA SATUAN'!$D$6,MATCH(RAB!C109,'HARGA SATUAN'!$C$7:$C$1492,0),0))</f>
        <v>MDU-KD</v>
      </c>
      <c r="E109" s="359" t="str">
        <f ca="1">IF(B109="+","Unit",IF(ISERROR(OFFSET('HARGA SATUAN'!$E$6,MATCH(RAB!C109,'HARGA SATUAN'!$C$7:$C$1492,0),0)),"",OFFSET('HARGA SATUAN'!$E$6,MATCH(RAB!C109,'HARGA SATUAN'!$C$7:$C$1492,0),0)))</f>
        <v>Mtr</v>
      </c>
      <c r="F109" s="505">
        <f>F106*35</f>
        <v>35</v>
      </c>
      <c r="G109" s="360">
        <f ca="1">IF(ISERROR(OFFSET('HARGA SATUAN'!$I$6,MATCH(RAB!C109,'HARGA SATUAN'!$C$7:$C$1492,0),0)),0,OFFSET('HARGA SATUAN'!$I$6,MATCH(RAB!C109,'HARGA SATUAN'!$C$7:$C$1492,0),0))</f>
        <v>6600</v>
      </c>
      <c r="H109" s="361">
        <f t="shared" ca="1" si="40"/>
        <v>231000</v>
      </c>
      <c r="I109" s="361">
        <f t="shared" ca="1" si="41"/>
        <v>0</v>
      </c>
      <c r="J109" s="361">
        <f t="shared" ca="1" si="42"/>
        <v>0</v>
      </c>
      <c r="K109" s="362">
        <f t="shared" ca="1" si="43"/>
        <v>231000</v>
      </c>
    </row>
    <row r="110" spans="2:11">
      <c r="B110" s="503">
        <v>4</v>
      </c>
      <c r="C110" s="504" t="s">
        <v>798</v>
      </c>
      <c r="D110" s="358" t="str">
        <f ca="1">IF(ISERROR(OFFSET('HARGA SATUAN'!$D$6,MATCH(RAB!C110,'HARGA SATUAN'!$C$7:$C$1492,0),0)),"",OFFSET('HARGA SATUAN'!$D$6,MATCH(RAB!C110,'HARGA SATUAN'!$C$7:$C$1492,0),0))</f>
        <v>JASA</v>
      </c>
      <c r="E110" s="359" t="str">
        <f ca="1">IF(B110="+","Unit",IF(ISERROR(OFFSET('HARGA SATUAN'!$E$6,MATCH(RAB!C110,'HARGA SATUAN'!$C$7:$C$1492,0),0)),"",OFFSET('HARGA SATUAN'!$E$6,MATCH(RAB!C110,'HARGA SATUAN'!$C$7:$C$1492,0),0)))</f>
        <v>Unit</v>
      </c>
      <c r="F110" s="505">
        <f>F106*1</f>
        <v>1</v>
      </c>
      <c r="G110" s="360">
        <f ca="1">IF(ISERROR(OFFSET('HARGA SATUAN'!$I$6,MATCH(RAB!C110,'HARGA SATUAN'!$C$7:$C$1492,0),0)),0,OFFSET('HARGA SATUAN'!$I$6,MATCH(RAB!C110,'HARGA SATUAN'!$C$7:$C$1492,0),0))</f>
        <v>54400</v>
      </c>
      <c r="H110" s="361">
        <f t="shared" ca="1" si="40"/>
        <v>0</v>
      </c>
      <c r="I110" s="361">
        <f t="shared" ca="1" si="41"/>
        <v>0</v>
      </c>
      <c r="J110" s="361">
        <f t="shared" ca="1" si="42"/>
        <v>54400</v>
      </c>
      <c r="K110" s="362">
        <f t="shared" ca="1" si="43"/>
        <v>54400</v>
      </c>
    </row>
    <row r="111" spans="2:11">
      <c r="B111" s="374"/>
      <c r="C111" s="501"/>
      <c r="D111" s="358" t="str">
        <f ca="1">IF(ISERROR(OFFSET('HARGA SATUAN'!$D$6,MATCH(RAB!C111,'HARGA SATUAN'!$C$7:$C$1492,0),0)),"",OFFSET('HARGA SATUAN'!$D$6,MATCH(RAB!C111,'HARGA SATUAN'!$C$7:$C$1492,0),0))</f>
        <v/>
      </c>
      <c r="E111" s="359" t="str">
        <f ca="1">IF(B111="+","Unit",IF(ISERROR(OFFSET('HARGA SATUAN'!$E$6,MATCH(RAB!C111,'HARGA SATUAN'!$C$7:$C$1492,0),0)),"",OFFSET('HARGA SATUAN'!$E$6,MATCH(RAB!C111,'HARGA SATUAN'!$C$7:$C$1492,0),0)))</f>
        <v/>
      </c>
      <c r="F111" s="368"/>
      <c r="G111" s="360">
        <f ca="1">IF(ISERROR(OFFSET('HARGA SATUAN'!$I$6,MATCH(RAB!C111,'HARGA SATUAN'!$C$7:$C$1492,0),0)),0,OFFSET('HARGA SATUAN'!$I$6,MATCH(RAB!C111,'HARGA SATUAN'!$C$7:$C$1492,0),0))</f>
        <v>0</v>
      </c>
      <c r="H111" s="361">
        <f t="shared" ref="H111:H123" ca="1" si="44">IF(OR(D111="MDU",D111="MDU-KD"),(IF($O$3="RAB NON MDU","PLN KD",G111*F111)),0)</f>
        <v>0</v>
      </c>
      <c r="I111" s="361">
        <f t="shared" ref="I111:I123" ca="1" si="45">IF(D111="HDW",G111*F111,0)</f>
        <v>0</v>
      </c>
      <c r="J111" s="361">
        <f t="shared" ref="J111:J123" ca="1" si="46">IF(D111="JASA",G111*F111,0)</f>
        <v>0</v>
      </c>
      <c r="K111" s="362">
        <f t="shared" ref="K111:K123" ca="1" si="47">SUM(H111:J111)</f>
        <v>0</v>
      </c>
    </row>
    <row r="112" spans="2:11">
      <c r="B112" s="503" t="s">
        <v>1035</v>
      </c>
      <c r="C112" s="504" t="s">
        <v>1621</v>
      </c>
      <c r="D112" s="358" t="str">
        <f ca="1">IF(ISERROR(OFFSET('HARGA SATUAN'!$D$6,MATCH(RAB!C112,'HARGA SATUAN'!$C$7:$C$1492,0),0)),"",OFFSET('HARGA SATUAN'!$D$6,MATCH(RAB!C112,'HARGA SATUAN'!$C$7:$C$1492,0),0))</f>
        <v/>
      </c>
      <c r="E112" s="359" t="str">
        <f ca="1">IF(B112="+","Unit",IF(ISERROR(OFFSET('HARGA SATUAN'!$E$6,MATCH(RAB!C112,'HARGA SATUAN'!$C$7:$C$1492,0),0)),"",OFFSET('HARGA SATUAN'!$E$6,MATCH(RAB!C112,'HARGA SATUAN'!$C$7:$C$1492,0),0)))</f>
        <v>Unit</v>
      </c>
      <c r="F112" s="505">
        <v>1</v>
      </c>
      <c r="G112" s="360">
        <f ca="1">IF(ISERROR(OFFSET('HARGA SATUAN'!$I$6,MATCH(RAB!C112,'HARGA SATUAN'!$C$7:$C$1492,0),0)),0,OFFSET('HARGA SATUAN'!$I$6,MATCH(RAB!C112,'HARGA SATUAN'!$C$7:$C$1492,0),0))</f>
        <v>0</v>
      </c>
      <c r="H112" s="361">
        <f t="shared" ca="1" si="44"/>
        <v>0</v>
      </c>
      <c r="I112" s="361">
        <f t="shared" ca="1" si="45"/>
        <v>0</v>
      </c>
      <c r="J112" s="361">
        <f t="shared" ca="1" si="46"/>
        <v>0</v>
      </c>
      <c r="K112" s="362">
        <f t="shared" ca="1" si="47"/>
        <v>0</v>
      </c>
    </row>
    <row r="113" spans="2:11">
      <c r="B113" s="503">
        <v>1</v>
      </c>
      <c r="C113" s="504" t="s">
        <v>115</v>
      </c>
      <c r="D113" s="358" t="str">
        <f ca="1">IF(ISERROR(OFFSET('HARGA SATUAN'!$D$6,MATCH(RAB!C113,'HARGA SATUAN'!$C$7:$C$1492,0),0)),"",OFFSET('HARGA SATUAN'!$D$6,MATCH(RAB!C113,'HARGA SATUAN'!$C$7:$C$1492,0),0))</f>
        <v>HDW</v>
      </c>
      <c r="E113" s="359" t="str">
        <f ca="1">IF(B113="+","Unit",IF(ISERROR(OFFSET('HARGA SATUAN'!$E$6,MATCH(RAB!C113,'HARGA SATUAN'!$C$7:$C$1492,0),0)),"",OFFSET('HARGA SATUAN'!$E$6,MATCH(RAB!C113,'HARGA SATUAN'!$C$7:$C$1492,0),0)))</f>
        <v>Set</v>
      </c>
      <c r="F113" s="505">
        <f>F112*1</f>
        <v>1</v>
      </c>
      <c r="G113" s="360">
        <f ca="1">IF(ISERROR(OFFSET('HARGA SATUAN'!$I$6,MATCH(RAB!C113,'HARGA SATUAN'!$C$7:$C$1492,0),0)),0,OFFSET('HARGA SATUAN'!$I$6,MATCH(RAB!C113,'HARGA SATUAN'!$C$7:$C$1492,0),0))</f>
        <v>11500</v>
      </c>
      <c r="H113" s="361">
        <f t="shared" ca="1" si="44"/>
        <v>0</v>
      </c>
      <c r="I113" s="361">
        <f t="shared" ca="1" si="45"/>
        <v>11500</v>
      </c>
      <c r="J113" s="361">
        <f t="shared" ca="1" si="46"/>
        <v>0</v>
      </c>
      <c r="K113" s="362">
        <f t="shared" ca="1" si="47"/>
        <v>11500</v>
      </c>
    </row>
    <row r="114" spans="2:11">
      <c r="B114" s="503">
        <v>2</v>
      </c>
      <c r="C114" s="504" t="s">
        <v>145</v>
      </c>
      <c r="D114" s="358" t="str">
        <f ca="1">IF(ISERROR(OFFSET('HARGA SATUAN'!$D$6,MATCH(RAB!C114,'HARGA SATUAN'!$C$7:$C$1492,0),0)),"",OFFSET('HARGA SATUAN'!$D$6,MATCH(RAB!C114,'HARGA SATUAN'!$C$7:$C$1492,0),0))</f>
        <v>HDW</v>
      </c>
      <c r="E114" s="359" t="str">
        <f ca="1">IF(B114="+","Unit",IF(ISERROR(OFFSET('HARGA SATUAN'!$E$6,MATCH(RAB!C114,'HARGA SATUAN'!$C$7:$C$1492,0),0)),"",OFFSET('HARGA SATUAN'!$E$6,MATCH(RAB!C114,'HARGA SATUAN'!$C$7:$C$1492,0),0)))</f>
        <v>Set</v>
      </c>
      <c r="F114" s="505">
        <f>F112*1</f>
        <v>1</v>
      </c>
      <c r="G114" s="360">
        <f ca="1">IF(ISERROR(OFFSET('HARGA SATUAN'!$I$6,MATCH(RAB!C114,'HARGA SATUAN'!$C$7:$C$1492,0),0)),0,OFFSET('HARGA SATUAN'!$I$6,MATCH(RAB!C114,'HARGA SATUAN'!$C$7:$C$1492,0),0))</f>
        <v>6200</v>
      </c>
      <c r="H114" s="361">
        <f t="shared" ca="1" si="44"/>
        <v>0</v>
      </c>
      <c r="I114" s="361">
        <f t="shared" ca="1" si="45"/>
        <v>6200</v>
      </c>
      <c r="J114" s="361">
        <f t="shared" ca="1" si="46"/>
        <v>0</v>
      </c>
      <c r="K114" s="362">
        <f t="shared" ca="1" si="47"/>
        <v>6200</v>
      </c>
    </row>
    <row r="115" spans="2:11">
      <c r="B115" s="503">
        <v>3</v>
      </c>
      <c r="C115" s="504" t="s">
        <v>587</v>
      </c>
      <c r="D115" s="358" t="str">
        <f ca="1">IF(ISERROR(OFFSET('HARGA SATUAN'!$D$6,MATCH(RAB!C115,'HARGA SATUAN'!$C$7:$C$1492,0),0)),"",OFFSET('HARGA SATUAN'!$D$6,MATCH(RAB!C115,'HARGA SATUAN'!$C$7:$C$1492,0),0))</f>
        <v>HDW</v>
      </c>
      <c r="E115" s="359" t="str">
        <f ca="1">IF(B115="+","Unit",IF(ISERROR(OFFSET('HARGA SATUAN'!$E$6,MATCH(RAB!C115,'HARGA SATUAN'!$C$7:$C$1492,0),0)),"",OFFSET('HARGA SATUAN'!$E$6,MATCH(RAB!C115,'HARGA SATUAN'!$C$7:$C$1492,0),0)))</f>
        <v>Btg</v>
      </c>
      <c r="F115" s="505">
        <f>F112*1</f>
        <v>1</v>
      </c>
      <c r="G115" s="360">
        <f ca="1">IF(ISERROR(OFFSET('HARGA SATUAN'!$I$6,MATCH(RAB!C115,'HARGA SATUAN'!$C$7:$C$1492,0),0)),0,OFFSET('HARGA SATUAN'!$I$6,MATCH(RAB!C115,'HARGA SATUAN'!$C$7:$C$1492,0),0))</f>
        <v>45796</v>
      </c>
      <c r="H115" s="361">
        <f t="shared" ca="1" si="44"/>
        <v>0</v>
      </c>
      <c r="I115" s="361">
        <f t="shared" ca="1" si="45"/>
        <v>45796</v>
      </c>
      <c r="J115" s="361">
        <f t="shared" ca="1" si="46"/>
        <v>0</v>
      </c>
      <c r="K115" s="362">
        <f t="shared" ca="1" si="47"/>
        <v>45796</v>
      </c>
    </row>
    <row r="116" spans="2:11">
      <c r="B116" s="503">
        <v>4</v>
      </c>
      <c r="C116" s="504" t="s">
        <v>118</v>
      </c>
      <c r="D116" s="358" t="str">
        <f ca="1">IF(ISERROR(OFFSET('HARGA SATUAN'!$D$6,MATCH(RAB!C116,'HARGA SATUAN'!$C$7:$C$1492,0),0)),"",OFFSET('HARGA SATUAN'!$D$6,MATCH(RAB!C116,'HARGA SATUAN'!$C$7:$C$1492,0),0))</f>
        <v>HDW</v>
      </c>
      <c r="E116" s="359" t="str">
        <f ca="1">IF(B116="+","Unit",IF(ISERROR(OFFSET('HARGA SATUAN'!$E$6,MATCH(RAB!C116,'HARGA SATUAN'!$C$7:$C$1492,0),0)),"",OFFSET('HARGA SATUAN'!$E$6,MATCH(RAB!C116,'HARGA SATUAN'!$C$7:$C$1492,0),0)))</f>
        <v>Set</v>
      </c>
      <c r="F116" s="505">
        <f>F112*1</f>
        <v>1</v>
      </c>
      <c r="G116" s="360">
        <f ca="1">IF(ISERROR(OFFSET('HARGA SATUAN'!$I$6,MATCH(RAB!C116,'HARGA SATUAN'!$C$7:$C$1492,0),0)),0,OFFSET('HARGA SATUAN'!$I$6,MATCH(RAB!C116,'HARGA SATUAN'!$C$7:$C$1492,0),0))</f>
        <v>5300</v>
      </c>
      <c r="H116" s="361">
        <f t="shared" ca="1" si="44"/>
        <v>0</v>
      </c>
      <c r="I116" s="361">
        <f t="shared" ca="1" si="45"/>
        <v>5300</v>
      </c>
      <c r="J116" s="361">
        <f t="shared" ca="1" si="46"/>
        <v>0</v>
      </c>
      <c r="K116" s="362">
        <f t="shared" ca="1" si="47"/>
        <v>5300</v>
      </c>
    </row>
    <row r="117" spans="2:11">
      <c r="B117" s="503">
        <v>5</v>
      </c>
      <c r="C117" s="504" t="s">
        <v>117</v>
      </c>
      <c r="D117" s="358" t="str">
        <f ca="1">IF(ISERROR(OFFSET('HARGA SATUAN'!$D$6,MATCH(RAB!C117,'HARGA SATUAN'!$C$7:$C$1492,0),0)),"",OFFSET('HARGA SATUAN'!$D$6,MATCH(RAB!C117,'HARGA SATUAN'!$C$7:$C$1492,0),0))</f>
        <v>HDW</v>
      </c>
      <c r="E117" s="359" t="str">
        <f ca="1">IF(B117="+","Unit",IF(ISERROR(OFFSET('HARGA SATUAN'!$E$6,MATCH(RAB!C117,'HARGA SATUAN'!$C$7:$C$1492,0),0)),"",OFFSET('HARGA SATUAN'!$E$6,MATCH(RAB!C117,'HARGA SATUAN'!$C$7:$C$1492,0),0)))</f>
        <v>Bh</v>
      </c>
      <c r="F117" s="505">
        <f>F112*1</f>
        <v>1</v>
      </c>
      <c r="G117" s="360">
        <f ca="1">IF(ISERROR(OFFSET('HARGA SATUAN'!$I$6,MATCH(RAB!C117,'HARGA SATUAN'!$C$7:$C$1492,0),0)),0,OFFSET('HARGA SATUAN'!$I$6,MATCH(RAB!C117,'HARGA SATUAN'!$C$7:$C$1492,0),0))</f>
        <v>58600</v>
      </c>
      <c r="H117" s="361">
        <f t="shared" ca="1" si="44"/>
        <v>0</v>
      </c>
      <c r="I117" s="361">
        <f t="shared" ca="1" si="45"/>
        <v>58600</v>
      </c>
      <c r="J117" s="361">
        <f t="shared" ca="1" si="46"/>
        <v>0</v>
      </c>
      <c r="K117" s="362">
        <f t="shared" ca="1" si="47"/>
        <v>58600</v>
      </c>
    </row>
    <row r="118" spans="2:11">
      <c r="B118" s="503">
        <v>6</v>
      </c>
      <c r="C118" s="109" t="s">
        <v>1154</v>
      </c>
      <c r="D118" s="358" t="str">
        <f ca="1">IF(ISERROR(OFFSET('HARGA SATUAN'!$D$6,MATCH(RAB!C118,'HARGA SATUAN'!$C$7:$C$1492,0),0)),"",OFFSET('HARGA SATUAN'!$D$6,MATCH(RAB!C118,'HARGA SATUAN'!$C$7:$C$1492,0),0))</f>
        <v>HDW</v>
      </c>
      <c r="E118" s="359" t="str">
        <f ca="1">IF(B118="+","Unit",IF(ISERROR(OFFSET('HARGA SATUAN'!$E$6,MATCH(RAB!C118,'HARGA SATUAN'!$C$7:$C$1492,0),0)),"",OFFSET('HARGA SATUAN'!$E$6,MATCH(RAB!C118,'HARGA SATUAN'!$C$7:$C$1492,0),0)))</f>
        <v>Set</v>
      </c>
      <c r="F118" s="505">
        <f>F112*1</f>
        <v>1</v>
      </c>
      <c r="G118" s="360">
        <f ca="1">IF(ISERROR(OFFSET('HARGA SATUAN'!$I$6,MATCH(RAB!C118,'HARGA SATUAN'!$C$7:$C$1492,0),0)),0,OFFSET('HARGA SATUAN'!$I$6,MATCH(RAB!C118,'HARGA SATUAN'!$C$7:$C$1492,0),0))</f>
        <v>3888</v>
      </c>
      <c r="H118" s="361">
        <f t="shared" ca="1" si="44"/>
        <v>0</v>
      </c>
      <c r="I118" s="361">
        <f t="shared" ca="1" si="45"/>
        <v>3888</v>
      </c>
      <c r="J118" s="361">
        <f t="shared" ca="1" si="46"/>
        <v>0</v>
      </c>
      <c r="K118" s="362">
        <f t="shared" ca="1" si="47"/>
        <v>3888</v>
      </c>
    </row>
    <row r="119" spans="2:11">
      <c r="B119" s="503">
        <v>7</v>
      </c>
      <c r="C119" s="504" t="s">
        <v>119</v>
      </c>
      <c r="D119" s="358" t="str">
        <f ca="1">IF(ISERROR(OFFSET('HARGA SATUAN'!$D$6,MATCH(RAB!C119,'HARGA SATUAN'!$C$7:$C$1492,0),0)),"",OFFSET('HARGA SATUAN'!$D$6,MATCH(RAB!C119,'HARGA SATUAN'!$C$7:$C$1492,0),0))</f>
        <v>HDW</v>
      </c>
      <c r="E119" s="359" t="str">
        <f ca="1">IF(B119="+","Unit",IF(ISERROR(OFFSET('HARGA SATUAN'!$E$6,MATCH(RAB!C119,'HARGA SATUAN'!$C$7:$C$1492,0),0)),"",OFFSET('HARGA SATUAN'!$E$6,MATCH(RAB!C119,'HARGA SATUAN'!$C$7:$C$1492,0),0)))</f>
        <v>Set</v>
      </c>
      <c r="F119" s="505">
        <f>F112*2</f>
        <v>2</v>
      </c>
      <c r="G119" s="360">
        <f ca="1">IF(ISERROR(OFFSET('HARGA SATUAN'!$I$6,MATCH(RAB!C119,'HARGA SATUAN'!$C$7:$C$1492,0),0)),0,OFFSET('HARGA SATUAN'!$I$6,MATCH(RAB!C119,'HARGA SATUAN'!$C$7:$C$1492,0),0))</f>
        <v>8900</v>
      </c>
      <c r="H119" s="361">
        <f t="shared" ca="1" si="44"/>
        <v>0</v>
      </c>
      <c r="I119" s="361">
        <f t="shared" ca="1" si="45"/>
        <v>17800</v>
      </c>
      <c r="J119" s="361">
        <f t="shared" ca="1" si="46"/>
        <v>0</v>
      </c>
      <c r="K119" s="362">
        <f t="shared" ca="1" si="47"/>
        <v>17800</v>
      </c>
    </row>
    <row r="120" spans="2:11">
      <c r="B120" s="374"/>
      <c r="C120" s="501"/>
      <c r="D120" s="358" t="str">
        <f ca="1">IF(ISERROR(OFFSET('HARGA SATUAN'!$D$6,MATCH(RAB!C120,'HARGA SATUAN'!$C$7:$C$1492,0),0)),"",OFFSET('HARGA SATUAN'!$D$6,MATCH(RAB!C120,'HARGA SATUAN'!$C$7:$C$1492,0),0))</f>
        <v/>
      </c>
      <c r="E120" s="359" t="str">
        <f ca="1">IF(B120="+","Unit",IF(ISERROR(OFFSET('HARGA SATUAN'!$E$6,MATCH(RAB!C120,'HARGA SATUAN'!$C$7:$C$1492,0),0)),"",OFFSET('HARGA SATUAN'!$E$6,MATCH(RAB!C120,'HARGA SATUAN'!$C$7:$C$1492,0),0)))</f>
        <v/>
      </c>
      <c r="F120" s="368"/>
      <c r="G120" s="360">
        <f ca="1">IF(ISERROR(OFFSET('HARGA SATUAN'!$I$6,MATCH(RAB!C120,'HARGA SATUAN'!$C$7:$C$1492,0),0)),0,OFFSET('HARGA SATUAN'!$I$6,MATCH(RAB!C120,'HARGA SATUAN'!$C$7:$C$1492,0),0))</f>
        <v>0</v>
      </c>
      <c r="H120" s="361">
        <f t="shared" ca="1" si="44"/>
        <v>0</v>
      </c>
      <c r="I120" s="361">
        <f t="shared" ca="1" si="45"/>
        <v>0</v>
      </c>
      <c r="J120" s="361">
        <f t="shared" ca="1" si="46"/>
        <v>0</v>
      </c>
      <c r="K120" s="362">
        <f t="shared" ca="1" si="47"/>
        <v>0</v>
      </c>
    </row>
    <row r="121" spans="2:11">
      <c r="B121" s="366" t="s">
        <v>22</v>
      </c>
      <c r="C121" s="367" t="s">
        <v>1617</v>
      </c>
      <c r="D121" s="358" t="str">
        <f ca="1">IF(ISERROR(OFFSET('HARGA SATUAN'!$D$6,MATCH(RAB!C121,'HARGA SATUAN'!$C$7:$C$1492,0),0)),"",OFFSET('HARGA SATUAN'!$D$6,MATCH(RAB!C121,'HARGA SATUAN'!$C$7:$C$1492,0),0))</f>
        <v/>
      </c>
      <c r="E121" s="359" t="str">
        <f ca="1">IF(B121="+","Unit",IF(ISERROR(OFFSET('HARGA SATUAN'!$E$6,MATCH(RAB!C121,'HARGA SATUAN'!$C$7:$C$1492,0),0)),"",OFFSET('HARGA SATUAN'!$E$6,MATCH(RAB!C121,'HARGA SATUAN'!$C$7:$C$1492,0),0)))</f>
        <v/>
      </c>
      <c r="F121" s="368"/>
      <c r="G121" s="360">
        <f ca="1">IF(ISERROR(OFFSET('HARGA SATUAN'!$I$6,MATCH(RAB!C121,'HARGA SATUAN'!$C$7:$C$1492,0),0)),0,OFFSET('HARGA SATUAN'!$I$6,MATCH(RAB!C121,'HARGA SATUAN'!$C$7:$C$1492,0),0))</f>
        <v>0</v>
      </c>
      <c r="H121" s="361">
        <f t="shared" ca="1" si="44"/>
        <v>0</v>
      </c>
      <c r="I121" s="361">
        <f t="shared" ca="1" si="45"/>
        <v>0</v>
      </c>
      <c r="J121" s="361">
        <f t="shared" ca="1" si="46"/>
        <v>0</v>
      </c>
      <c r="K121" s="362">
        <f t="shared" ca="1" si="47"/>
        <v>0</v>
      </c>
    </row>
    <row r="122" spans="2:11">
      <c r="B122" s="374"/>
      <c r="C122" s="373"/>
      <c r="D122" s="358" t="str">
        <f ca="1">IF(ISERROR(OFFSET('HARGA SATUAN'!$D$6,MATCH(RAB!C122,'HARGA SATUAN'!$C$7:$C$1492,0),0)),"",OFFSET('HARGA SATUAN'!$D$6,MATCH(RAB!C122,'HARGA SATUAN'!$C$7:$C$1492,0),0))</f>
        <v/>
      </c>
      <c r="E122" s="359" t="str">
        <f ca="1">IF(B122="+","Unit",IF(ISERROR(OFFSET('HARGA SATUAN'!$E$6,MATCH(RAB!C122,'HARGA SATUAN'!$C$7:$C$1492,0),0)),"",OFFSET('HARGA SATUAN'!$E$6,MATCH(RAB!C122,'HARGA SATUAN'!$C$7:$C$1492,0),0)))</f>
        <v/>
      </c>
      <c r="F122" s="368"/>
      <c r="G122" s="360">
        <f ca="1">IF(ISERROR(OFFSET('HARGA SATUAN'!$I$6,MATCH(RAB!C122,'HARGA SATUAN'!$C$7:$C$1492,0),0)),0,OFFSET('HARGA SATUAN'!$I$6,MATCH(RAB!C122,'HARGA SATUAN'!$C$7:$C$1492,0),0))</f>
        <v>0</v>
      </c>
      <c r="H122" s="361">
        <f t="shared" ca="1" si="44"/>
        <v>0</v>
      </c>
      <c r="I122" s="361">
        <f t="shared" ca="1" si="45"/>
        <v>0</v>
      </c>
      <c r="J122" s="361">
        <f t="shared" ca="1" si="46"/>
        <v>0</v>
      </c>
      <c r="K122" s="362">
        <f t="shared" ca="1" si="47"/>
        <v>0</v>
      </c>
    </row>
    <row r="123" spans="2:11">
      <c r="B123" s="375"/>
      <c r="C123" s="376" t="s">
        <v>475</v>
      </c>
      <c r="D123" s="358" t="str">
        <f ca="1">IF(ISERROR(OFFSET('HARGA SATUAN'!$D$6,MATCH(RAB!C123,'HARGA SATUAN'!$C$7:$C$1492,0),0)),"",OFFSET('HARGA SATUAN'!$D$6,MATCH(RAB!C123,'HARGA SATUAN'!$C$7:$C$1492,0),0))</f>
        <v/>
      </c>
      <c r="E123" s="359" t="str">
        <f ca="1">IF(B123="+","Unit",IF(ISERROR(OFFSET('HARGA SATUAN'!$E$6,MATCH(RAB!C123,'HARGA SATUAN'!$C$7:$C$1492,0),0)),"",OFFSET('HARGA SATUAN'!$E$6,MATCH(RAB!C123,'HARGA SATUAN'!$C$7:$C$1492,0),0)))</f>
        <v/>
      </c>
      <c r="F123" s="368"/>
      <c r="G123" s="360">
        <f ca="1">IF(ISERROR(OFFSET('HARGA SATUAN'!$I$6,MATCH(RAB!C123,'HARGA SATUAN'!$C$7:$C$1492,0),0)),0,OFFSET('HARGA SATUAN'!$I$6,MATCH(RAB!C123,'HARGA SATUAN'!$C$7:$C$1492,0),0))</f>
        <v>0</v>
      </c>
      <c r="H123" s="361">
        <f t="shared" ca="1" si="44"/>
        <v>0</v>
      </c>
      <c r="I123" s="361">
        <f t="shared" ca="1" si="45"/>
        <v>0</v>
      </c>
      <c r="J123" s="361">
        <f t="shared" ca="1" si="46"/>
        <v>0</v>
      </c>
      <c r="K123" s="362">
        <f t="shared" ca="1" si="47"/>
        <v>0</v>
      </c>
    </row>
    <row r="124" spans="2:11">
      <c r="B124" s="378">
        <v>1</v>
      </c>
      <c r="C124" s="379" t="s">
        <v>1091</v>
      </c>
      <c r="D124" s="380" t="str">
        <f ca="1">IF(ISERROR(OFFSET('HARGA SATUAN'!$D$6,MATCH(RAB!C124,'HARGA SATUAN'!$C$7:$C$1492,0),0)),"",OFFSET('HARGA SATUAN'!$D$6,MATCH(RAB!C124,'HARGA SATUAN'!$C$7:$C$1492,0),0))</f>
        <v>JASA</v>
      </c>
      <c r="E124" s="381" t="str">
        <f ca="1">IF(ISERROR(OFFSET('HARGA SATUAN'!$E$6,MATCH(RAB!C124,'HARGA SATUAN'!$C$7:$C$1492,0),0)),"",OFFSET('HARGA SATUAN'!$E$6,MATCH(RAB!C124,'HARGA SATUAN'!$C$7:$C$1492,0),0))</f>
        <v>Lot</v>
      </c>
      <c r="F124" s="382">
        <v>1</v>
      </c>
      <c r="G124" s="383">
        <f ca="1">IF(ISERROR(OFFSET('HARGA SATUAN'!$I$6,MATCH(RAB!C124,'HARGA SATUAN'!$C$7:$C$1492,0),0)),0,OFFSET('HARGA SATUAN'!$I$6,MATCH(RAB!C124,'HARGA SATUAN'!$C$7:$C$1492,0),0))</f>
        <v>2.5000000000000001E-2</v>
      </c>
      <c r="H124" s="384"/>
      <c r="I124" s="384"/>
      <c r="J124" s="384">
        <f ca="1">SUM(K15:K21)*G124</f>
        <v>295503.33333333337</v>
      </c>
      <c r="K124" s="385">
        <f ca="1">SUM(H124:J124)</f>
        <v>295503.33333333337</v>
      </c>
    </row>
    <row r="125" spans="2:11">
      <c r="B125" s="386"/>
      <c r="C125" s="387"/>
      <c r="D125" s="358" t="str">
        <f ca="1">IF(ISERROR(OFFSET('HARGA SATUAN'!$D$6,MATCH(RAB!C125,'HARGA SATUAN'!$C$7:$C$1492,0),0)),"",OFFSET('HARGA SATUAN'!$D$6,MATCH(RAB!C125,'HARGA SATUAN'!$C$7:$C$1492,0),0))</f>
        <v/>
      </c>
      <c r="E125" s="359" t="str">
        <f ca="1">IF(ISERROR(OFFSET('HARGA SATUAN'!$E$6,MATCH(RAB!C125,'HARGA SATUAN'!$C$7:$C$1492,0),0)),"",OFFSET('HARGA SATUAN'!$E$6,MATCH(RAB!C125,'HARGA SATUAN'!$C$7:$C$1492,0),0))</f>
        <v/>
      </c>
      <c r="F125" s="377"/>
      <c r="G125" s="360" t="str">
        <f ca="1">IF(ISERROR(OFFSET('HARGA SATUAN'!$I$6,MATCH(RAB!C125,'HARGA SATUAN'!$C$7:$C$1492,0),0)),"",OFFSET('HARGA SATUAN'!$I$6,MATCH(RAB!C125,'HARGA SATUAN'!$C$7:$C$1492,0),0))</f>
        <v/>
      </c>
      <c r="H125" s="361">
        <f ca="1">IF(OR(D125="MDU",D125="MDU-KD"),IF(G125="PLN",0,G125*F125),0)</f>
        <v>0</v>
      </c>
      <c r="I125" s="361">
        <f ca="1">IF(D125="HDW",IF(G125="PLN",0,G125*F125),0)</f>
        <v>0</v>
      </c>
      <c r="J125" s="361">
        <f ca="1">IF(D125="JASA",IF(G125="PLN",0,G125*F125),0)</f>
        <v>0</v>
      </c>
      <c r="K125" s="362">
        <f ca="1">SUM(H125:J125)</f>
        <v>0</v>
      </c>
    </row>
    <row r="126" spans="2:11" ht="15.75" thickBot="1">
      <c r="B126" s="388"/>
      <c r="C126" s="389"/>
      <c r="D126" s="390"/>
      <c r="E126" s="391"/>
      <c r="F126" s="391"/>
      <c r="G126" s="391"/>
      <c r="H126" s="392"/>
      <c r="I126" s="392"/>
      <c r="J126" s="392"/>
      <c r="K126" s="393"/>
    </row>
    <row r="127" spans="2:11">
      <c r="B127" s="394"/>
      <c r="C127" s="641" t="s">
        <v>1008</v>
      </c>
      <c r="D127" s="641"/>
      <c r="E127" s="641"/>
      <c r="F127" s="641"/>
      <c r="G127" s="395" t="s">
        <v>9</v>
      </c>
      <c r="H127" s="396">
        <f ca="1">SUM(H14:H125)</f>
        <v>31703150</v>
      </c>
      <c r="I127" s="396">
        <f ca="1">SUM(I14:I125)</f>
        <v>17703009.200000003</v>
      </c>
      <c r="J127" s="396">
        <f ca="1">SUM(J14:J125)</f>
        <v>2214756.6666666665</v>
      </c>
      <c r="K127" s="396">
        <f ca="1">SUM(K14:K125)</f>
        <v>51620915.866666667</v>
      </c>
    </row>
    <row r="128" spans="2:11">
      <c r="B128" s="398"/>
      <c r="C128" s="624" t="s">
        <v>1457</v>
      </c>
      <c r="D128" s="624"/>
      <c r="E128" s="624"/>
      <c r="F128" s="624"/>
      <c r="G128" s="399" t="s">
        <v>9</v>
      </c>
      <c r="H128" s="400">
        <f ca="1">H127*0.11</f>
        <v>3487346.5</v>
      </c>
      <c r="I128" s="400">
        <f ca="1">I127*0.11</f>
        <v>1947331.0120000003</v>
      </c>
      <c r="J128" s="400">
        <f ca="1">J127*0.11</f>
        <v>243623.23333333331</v>
      </c>
      <c r="K128" s="400">
        <f ca="1">K127*0.11</f>
        <v>5678300.7453333335</v>
      </c>
    </row>
    <row r="129" spans="2:13" ht="15.75" thickBot="1">
      <c r="B129" s="398"/>
      <c r="C129" s="622" t="s">
        <v>463</v>
      </c>
      <c r="D129" s="622"/>
      <c r="E129" s="622"/>
      <c r="F129" s="622"/>
      <c r="G129" s="401" t="s">
        <v>9</v>
      </c>
      <c r="H129" s="402">
        <f ca="1">SUM(H127:H128)</f>
        <v>35190496.5</v>
      </c>
      <c r="I129" s="402">
        <f ca="1">SUM(I127:I128)</f>
        <v>19650340.212000005</v>
      </c>
      <c r="J129" s="401">
        <f ca="1">SUM(J127:J128)</f>
        <v>2458379.9</v>
      </c>
      <c r="K129" s="401">
        <f ca="1">SUM(K127:K128)</f>
        <v>57299216.612000003</v>
      </c>
      <c r="M129" s="484"/>
    </row>
    <row r="130" spans="2:13">
      <c r="B130" s="625" t="str">
        <f ca="1">"Terbilang : "&amp;PROPER(IF(K129=0,"nol",IF(K129&lt;0,"minus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IF(--MID(TEXT(ABS(K129),"000000000000000"),1,3)=0,"",MID(TEXT(ABS(K129),"000000000000000"),1,1)&amp;" ratus "&amp;MID(TEXT(ABS(K129),"000000000000000"),2,1)&amp;" puluh "&amp;MID(TEXT(ABS(K129),"000000000000000"),3,1)&amp;" trilyun ")&amp; IF(--MID(TEXT(ABS(K129),"000000000000000"),4,3)=0,"",MID(TEXT(ABS(K129),"000000000000000"),4,1)&amp;" ratus "&amp;MID(TEXT(ABS(K129),"000000000000000"),5,1)&amp;" puluh "&amp;MID(TEXT(ABS(K129),"000000000000000"),6,1)&amp;" milyar ")&amp; IF(--MID(TEXT(ABS(K129),"000000000000000"),7,3)=0,"",MID(TEXT(ABS(K129),"000000000000000"),7,1)&amp;" ratus "&amp;MID(TEXT(ABS(K129),"000000000000000"),8,1)&amp;" puluh "&amp;MID(TEXT(ABS(K129),"000000000000000"),9,1)&amp;" juta ")&amp; IF(--MID(TEXT(ABS(K129),"000000000000000"),10,3)=0,"",IF(--MID(TEXT(ABS(K129),"000000000000000"),10,3)=1,"*",MID(TEXT(ABS(K129),"000000000000000"),10,1)&amp;" ratus "&amp;MID(TEXT(ABS(K129),"000000000000000"),11,1)&amp;" puluh ")&amp;MID(TEXT(ABS(K129),"000000000000000"),12,1)&amp;" ribu ")&amp; IF(--MID(TEXT(ABS(K129),"000000000000000"),13,3)=0,"",MID(TEXT(ABS(K129),"000000000000000"),13,1)&amp;" ratus "&amp;MID(TEXT(ABS(K129),"000000000000000"),14,1)&amp;" puluh "&amp;MID(TEXT(ABS(K129),"000000000000000"),15,1)),1,"satu"),2,"dua"),3,"tiga"),4,"empat"),5,"lima"),6,"enam"),7,"tujuh"),8,"delapan"),9,"sembilan"),"0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Lima Puluh Tujuh Juta Dua Ratus Sembilan Puluh Sembilan Ribu Dua Ratus Tujuh Belas Rupiah</v>
      </c>
      <c r="C130" s="626"/>
      <c r="D130" s="626"/>
      <c r="E130" s="626"/>
      <c r="F130" s="626"/>
      <c r="G130" s="626"/>
      <c r="H130" s="626"/>
      <c r="I130" s="626"/>
      <c r="J130" s="626"/>
      <c r="K130" s="627"/>
    </row>
    <row r="131" spans="2:13">
      <c r="B131" s="628"/>
      <c r="C131" s="629"/>
      <c r="D131" s="629"/>
      <c r="E131" s="629"/>
      <c r="F131" s="629"/>
      <c r="G131" s="629"/>
      <c r="H131" s="629"/>
      <c r="I131" s="629"/>
      <c r="J131" s="629"/>
      <c r="K131" s="630"/>
    </row>
    <row r="132" spans="2:13" ht="15.75" thickBot="1">
      <c r="B132" s="403" t="str">
        <f>"Harga yang dipakai adalah "&amp;'HARGA SATUAN'!I5&amp;""</f>
        <v>Harga yang dipakai adalah RAB HSS 2023</v>
      </c>
      <c r="C132" s="404"/>
      <c r="D132" s="405"/>
      <c r="E132" s="405"/>
      <c r="F132" s="405"/>
      <c r="G132" s="406"/>
      <c r="H132" s="406"/>
      <c r="I132" s="406"/>
      <c r="J132" s="406"/>
      <c r="K132" s="407"/>
    </row>
    <row r="133" spans="2:13">
      <c r="C133" s="408"/>
      <c r="E133" s="410"/>
      <c r="F133" s="410"/>
      <c r="G133" s="410"/>
    </row>
    <row r="134" spans="2:13">
      <c r="C134" s="337"/>
      <c r="E134" s="410"/>
      <c r="F134" s="410"/>
      <c r="G134" s="410"/>
      <c r="H134" s="631"/>
      <c r="I134" s="631"/>
      <c r="J134" s="632"/>
      <c r="K134" s="632"/>
    </row>
    <row r="135" spans="2:13">
      <c r="C135" s="337"/>
      <c r="E135" s="410"/>
      <c r="F135" s="410"/>
      <c r="G135" s="410"/>
      <c r="H135" s="411"/>
      <c r="I135" s="621" t="s">
        <v>1610</v>
      </c>
      <c r="J135" s="621"/>
      <c r="K135" s="621"/>
    </row>
    <row r="136" spans="2:13">
      <c r="C136" s="337"/>
      <c r="E136" s="410"/>
      <c r="F136" s="410"/>
      <c r="G136" s="410"/>
      <c r="H136" s="411"/>
      <c r="I136" s="621" t="s">
        <v>1546</v>
      </c>
      <c r="J136" s="621"/>
      <c r="K136" s="621"/>
    </row>
    <row r="137" spans="2:13">
      <c r="C137" s="337"/>
      <c r="E137" s="410"/>
      <c r="F137" s="410"/>
      <c r="G137" s="410"/>
      <c r="H137" s="412"/>
      <c r="I137" s="413"/>
      <c r="J137" s="413"/>
      <c r="K137" s="413"/>
    </row>
    <row r="138" spans="2:13">
      <c r="C138" s="337"/>
      <c r="E138" s="410"/>
      <c r="F138" s="410"/>
      <c r="G138" s="410"/>
      <c r="H138" s="412"/>
      <c r="I138" s="412"/>
      <c r="J138" s="412"/>
      <c r="K138" s="412"/>
    </row>
    <row r="139" spans="2:13">
      <c r="C139" s="337"/>
      <c r="E139" s="410"/>
      <c r="F139" s="410"/>
      <c r="G139" s="410"/>
      <c r="H139" s="412"/>
      <c r="I139" s="412"/>
      <c r="J139" s="412"/>
      <c r="K139" s="412"/>
    </row>
    <row r="140" spans="2:13">
      <c r="C140" s="337"/>
      <c r="E140" s="410"/>
      <c r="F140" s="410"/>
      <c r="G140" s="410"/>
      <c r="H140" s="412"/>
      <c r="I140" s="412"/>
      <c r="J140" s="412"/>
      <c r="K140" s="412"/>
    </row>
    <row r="141" spans="2:13">
      <c r="C141" s="337"/>
      <c r="E141" s="410"/>
      <c r="F141" s="410"/>
      <c r="G141" s="410"/>
      <c r="H141" s="414"/>
      <c r="I141" s="621" t="s">
        <v>1547</v>
      </c>
      <c r="J141" s="621"/>
      <c r="K141" s="621"/>
    </row>
    <row r="142" spans="2:13">
      <c r="C142" s="408"/>
      <c r="E142" s="410"/>
      <c r="F142" s="410"/>
      <c r="G142" s="410"/>
      <c r="H142" s="412"/>
      <c r="I142" s="412"/>
      <c r="J142" s="412"/>
      <c r="K142" s="412"/>
    </row>
    <row r="143" spans="2:13">
      <c r="C143" s="408"/>
      <c r="E143" s="410"/>
      <c r="F143" s="410"/>
      <c r="G143" s="410"/>
      <c r="H143" s="412"/>
      <c r="I143" s="412"/>
      <c r="J143" s="412"/>
      <c r="K143" s="412"/>
    </row>
    <row r="144" spans="2:13">
      <c r="C144" s="408"/>
      <c r="E144" s="410"/>
      <c r="F144" s="410"/>
      <c r="G144" s="410"/>
      <c r="H144" s="412"/>
      <c r="I144" s="412"/>
      <c r="J144" s="412"/>
      <c r="K144" s="412"/>
    </row>
  </sheetData>
  <sheetProtection sort="0" autoFilter="0"/>
  <protectedRanges>
    <protectedRange sqref="B122 B105:B120" name="Range1_1"/>
    <protectedRange sqref="F103:F123 F70:F92 F14:F50" name="Range1_1_2_2"/>
    <protectedRange sqref="C122 C105:C106 C110:C120 C108" name="Range1_1_1"/>
    <protectedRange sqref="B77:C81 B83:C86 B82 B87 B88:C92 B103:C104" name="Range1_6_2"/>
    <protectedRange sqref="C109" name="Range1_1_3_13"/>
    <protectedRange sqref="C82" name="Range1_1_3_6"/>
    <protectedRange sqref="C107" name="Range1_1_3_4"/>
    <protectedRange sqref="C17" name="Range1_1_3_9"/>
    <protectedRange sqref="F51:F64" name="Range1_1_2_2_1"/>
    <protectedRange sqref="F65:F69" name="Range1_1_2_2_1_1"/>
    <protectedRange sqref="C32" name="Range1_1_3_1"/>
    <protectedRange sqref="C39 C24" name="Range1_1_3_2"/>
    <protectedRange sqref="C18:C20" name="Range1_1_3_7"/>
    <protectedRange sqref="C73" name="Range1_1_3_8"/>
    <protectedRange sqref="C74" name="Range1_1_3_10"/>
    <protectedRange sqref="C87" name="Range1_1_3_12"/>
  </protectedRanges>
  <mergeCells count="22">
    <mergeCell ref="O3:P4"/>
    <mergeCell ref="B4:K4"/>
    <mergeCell ref="C127:F127"/>
    <mergeCell ref="B11:B13"/>
    <mergeCell ref="C11:C13"/>
    <mergeCell ref="D11:D13"/>
    <mergeCell ref="E11:E13"/>
    <mergeCell ref="F11:F13"/>
    <mergeCell ref="G11:G13"/>
    <mergeCell ref="I12:I13"/>
    <mergeCell ref="I136:K136"/>
    <mergeCell ref="I141:K141"/>
    <mergeCell ref="C129:F129"/>
    <mergeCell ref="G6:K6"/>
    <mergeCell ref="I135:K135"/>
    <mergeCell ref="C128:F128"/>
    <mergeCell ref="B130:K131"/>
    <mergeCell ref="H134:K134"/>
    <mergeCell ref="H11:K11"/>
    <mergeCell ref="H12:H13"/>
    <mergeCell ref="J12:J13"/>
    <mergeCell ref="K12:K13"/>
  </mergeCells>
  <phoneticPr fontId="140" type="noConversion"/>
  <conditionalFormatting sqref="C15 C17:C21">
    <cfRule type="cellIs" dxfId="14" priority="520" operator="equal">
      <formula>0</formula>
    </cfRule>
  </conditionalFormatting>
  <conditionalFormatting sqref="C32">
    <cfRule type="cellIs" dxfId="13" priority="15" operator="equal">
      <formula>0</formula>
    </cfRule>
  </conditionalFormatting>
  <conditionalFormatting sqref="C39">
    <cfRule type="cellIs" dxfId="12" priority="13" operator="equal">
      <formula>0</formula>
    </cfRule>
  </conditionalFormatting>
  <conditionalFormatting sqref="C73:C74">
    <cfRule type="cellIs" dxfId="11" priority="8" operator="equal">
      <formula>0</formula>
    </cfRule>
  </conditionalFormatting>
  <conditionalFormatting sqref="C76">
    <cfRule type="cellIs" dxfId="10" priority="145" operator="equal">
      <formula>0</formula>
    </cfRule>
  </conditionalFormatting>
  <conditionalFormatting sqref="C82">
    <cfRule type="cellIs" dxfId="9" priority="6" operator="equal">
      <formula>0</formula>
    </cfRule>
  </conditionalFormatting>
  <conditionalFormatting sqref="C87">
    <cfRule type="cellIs" dxfId="8" priority="5" operator="equal">
      <formula>0</formula>
    </cfRule>
  </conditionalFormatting>
  <conditionalFormatting sqref="C107">
    <cfRule type="cellIs" dxfId="7" priority="25" operator="equal">
      <formula>0</formula>
    </cfRule>
  </conditionalFormatting>
  <conditionalFormatting sqref="C118">
    <cfRule type="cellIs" dxfId="6" priority="36" operator="equal">
      <formula>0</formula>
    </cfRule>
  </conditionalFormatting>
  <conditionalFormatting sqref="C121">
    <cfRule type="cellIs" dxfId="5" priority="143" operator="equal">
      <formula>0</formula>
    </cfRule>
  </conditionalFormatting>
  <conditionalFormatting sqref="E1:E3 G1:G13 E5:E13 H12:I12 O13 E78:E90 G78:K90 E124:G124 H124:K126 E125:H125 E126:F126 S14:V21 E14:K77">
    <cfRule type="cellIs" dxfId="4" priority="1100" stopIfTrue="1" operator="equal">
      <formula>0</formula>
    </cfRule>
  </conditionalFormatting>
  <conditionalFormatting sqref="E91:K123">
    <cfRule type="cellIs" dxfId="3" priority="4" stopIfTrue="1" operator="equal">
      <formula>0</formula>
    </cfRule>
  </conditionalFormatting>
  <conditionalFormatting sqref="F79:F90">
    <cfRule type="cellIs" dxfId="2" priority="7" stopIfTrue="1" operator="equal">
      <formula>0</formula>
    </cfRule>
  </conditionalFormatting>
  <conditionalFormatting sqref="G125:G65591 E130:E65591">
    <cfRule type="cellIs" dxfId="1" priority="234" stopIfTrue="1" operator="equal">
      <formula>0</formula>
    </cfRule>
  </conditionalFormatting>
  <conditionalFormatting sqref="C24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63 F59:F61 F34:F36 C80:C81 F65:F77 C88:C91 F79:F105 F26:F30 F50:F57 H14:K126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4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zoomScale="115" zoomScaleNormal="115" zoomScaleSheetLayoutView="115" workbookViewId="0">
      <selection activeCell="W48" sqref="W48:AD51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04" t="s">
        <v>1439</v>
      </c>
      <c r="X2" s="705"/>
      <c r="Y2" s="705"/>
      <c r="Z2" s="705"/>
      <c r="AA2" s="705"/>
      <c r="AB2" s="705"/>
      <c r="AC2" s="705"/>
      <c r="AD2" s="706"/>
    </row>
    <row r="3" spans="3:30">
      <c r="C3" s="238"/>
      <c r="W3" s="707"/>
      <c r="X3" s="708"/>
      <c r="Y3" s="708"/>
      <c r="Z3" s="708"/>
      <c r="AA3" s="708"/>
      <c r="AB3" s="708"/>
      <c r="AC3" s="708"/>
      <c r="AD3" s="709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3" t="s">
        <v>990</v>
      </c>
      <c r="Y5" s="653"/>
      <c r="Z5" s="653"/>
      <c r="AA5" s="653" t="s">
        <v>988</v>
      </c>
      <c r="AB5" s="653"/>
      <c r="AC5" s="653" t="s">
        <v>989</v>
      </c>
      <c r="AD5" s="654"/>
    </row>
    <row r="6" spans="3:30">
      <c r="C6" s="238"/>
      <c r="W6" s="241">
        <v>1</v>
      </c>
      <c r="X6" s="653" t="s">
        <v>993</v>
      </c>
      <c r="Y6" s="653"/>
      <c r="Z6" s="653"/>
      <c r="AA6" s="653"/>
      <c r="AB6" s="653"/>
      <c r="AC6" s="653"/>
      <c r="AD6" s="654"/>
    </row>
    <row r="7" spans="3:30">
      <c r="C7" s="238"/>
      <c r="E7" s="719" t="s">
        <v>1633</v>
      </c>
      <c r="F7" s="719"/>
      <c r="G7" s="719"/>
      <c r="H7" s="719"/>
      <c r="I7" s="719"/>
      <c r="J7" s="719"/>
      <c r="K7" s="719"/>
      <c r="L7" s="719"/>
      <c r="M7" s="719"/>
      <c r="N7" s="719"/>
      <c r="O7" s="719"/>
      <c r="W7" s="241">
        <v>2</v>
      </c>
      <c r="X7" s="653" t="s">
        <v>994</v>
      </c>
      <c r="Y7" s="653"/>
      <c r="Z7" s="653"/>
      <c r="AA7" s="653"/>
      <c r="AB7" s="653"/>
      <c r="AC7" s="653"/>
      <c r="AD7" s="654"/>
    </row>
    <row r="8" spans="3:30">
      <c r="C8" s="238"/>
      <c r="E8" s="719"/>
      <c r="F8" s="719"/>
      <c r="G8" s="719"/>
      <c r="H8" s="719"/>
      <c r="I8" s="719"/>
      <c r="J8" s="719"/>
      <c r="K8" s="719"/>
      <c r="L8" s="719"/>
      <c r="M8" s="719"/>
      <c r="N8" s="719"/>
      <c r="O8" s="719"/>
      <c r="W8" s="241">
        <v>3</v>
      </c>
      <c r="X8" s="653" t="s">
        <v>995</v>
      </c>
      <c r="Y8" s="653"/>
      <c r="Z8" s="653"/>
      <c r="AA8" s="653"/>
      <c r="AB8" s="653"/>
      <c r="AC8" s="653"/>
      <c r="AD8" s="654"/>
    </row>
    <row r="9" spans="3:30">
      <c r="C9" s="238"/>
      <c r="W9" s="241">
        <v>4</v>
      </c>
      <c r="X9" s="653" t="s">
        <v>996</v>
      </c>
      <c r="Y9" s="653"/>
      <c r="Z9" s="653"/>
      <c r="AA9" s="653"/>
      <c r="AB9" s="653"/>
      <c r="AC9" s="653"/>
      <c r="AD9" s="654"/>
    </row>
    <row r="10" spans="3:30">
      <c r="C10" s="238"/>
      <c r="W10" s="241">
        <v>5</v>
      </c>
      <c r="X10" s="653" t="s">
        <v>997</v>
      </c>
      <c r="Y10" s="653"/>
      <c r="Z10" s="653"/>
      <c r="AA10" s="653"/>
      <c r="AB10" s="653"/>
      <c r="AC10" s="653"/>
      <c r="AD10" s="654"/>
    </row>
    <row r="11" spans="3:30">
      <c r="C11" s="238"/>
      <c r="W11" s="241">
        <v>6</v>
      </c>
      <c r="X11" s="653" t="s">
        <v>998</v>
      </c>
      <c r="Y11" s="653"/>
      <c r="Z11" s="653"/>
      <c r="AA11" s="653"/>
      <c r="AB11" s="653"/>
      <c r="AC11" s="653"/>
      <c r="AD11" s="654"/>
    </row>
    <row r="12" spans="3:30">
      <c r="C12" s="238"/>
      <c r="W12" s="241">
        <v>7</v>
      </c>
      <c r="X12" s="653" t="s">
        <v>999</v>
      </c>
      <c r="Y12" s="653"/>
      <c r="Z12" s="653"/>
      <c r="AA12" s="653"/>
      <c r="AB12" s="653"/>
      <c r="AC12" s="653"/>
      <c r="AD12" s="654"/>
    </row>
    <row r="13" spans="3:30" ht="12.75" customHeight="1">
      <c r="C13" s="238"/>
      <c r="W13" s="241">
        <v>8</v>
      </c>
      <c r="X13" s="653" t="s">
        <v>1000</v>
      </c>
      <c r="Y13" s="653"/>
      <c r="Z13" s="653"/>
      <c r="AA13" s="653"/>
      <c r="AB13" s="653"/>
      <c r="AC13" s="653"/>
      <c r="AD13" s="654"/>
    </row>
    <row r="14" spans="3:30">
      <c r="C14" s="238"/>
      <c r="W14" s="241">
        <v>9</v>
      </c>
      <c r="X14" s="653" t="s">
        <v>1001</v>
      </c>
      <c r="Y14" s="653"/>
      <c r="Z14" s="653"/>
      <c r="AA14" s="653"/>
      <c r="AB14" s="653"/>
      <c r="AC14" s="653"/>
      <c r="AD14" s="654"/>
    </row>
    <row r="15" spans="3:30">
      <c r="C15" s="238"/>
      <c r="W15" s="241">
        <v>10</v>
      </c>
      <c r="X15" s="653" t="s">
        <v>1010</v>
      </c>
      <c r="Y15" s="653"/>
      <c r="Z15" s="653"/>
      <c r="AA15" s="653"/>
      <c r="AB15" s="653"/>
      <c r="AC15" s="653"/>
      <c r="AD15" s="654"/>
    </row>
    <row r="16" spans="3:30">
      <c r="C16" s="238"/>
      <c r="W16" s="241">
        <v>11</v>
      </c>
      <c r="X16" s="653" t="s">
        <v>1455</v>
      </c>
      <c r="Y16" s="653"/>
      <c r="Z16" s="653"/>
      <c r="AA16" s="653"/>
      <c r="AB16" s="653"/>
      <c r="AC16" s="653"/>
      <c r="AD16" s="654"/>
    </row>
    <row r="17" spans="3:30">
      <c r="C17" s="238"/>
      <c r="S17" s="242"/>
      <c r="W17" s="241">
        <v>12</v>
      </c>
      <c r="X17" s="653" t="s">
        <v>1011</v>
      </c>
      <c r="Y17" s="653"/>
      <c r="Z17" s="653"/>
      <c r="AA17" s="653"/>
      <c r="AB17" s="653"/>
      <c r="AC17" s="653"/>
      <c r="AD17" s="654"/>
    </row>
    <row r="18" spans="3:30">
      <c r="C18" s="243"/>
      <c r="D18" s="244"/>
      <c r="E18" s="244"/>
      <c r="W18" s="241">
        <v>13</v>
      </c>
      <c r="X18" s="653"/>
      <c r="Y18" s="653"/>
      <c r="Z18" s="653"/>
      <c r="AA18" s="653"/>
      <c r="AB18" s="653"/>
      <c r="AC18" s="653"/>
      <c r="AD18" s="654"/>
    </row>
    <row r="19" spans="3:30">
      <c r="C19" s="238"/>
      <c r="W19" s="245"/>
      <c r="X19" s="702"/>
      <c r="Y19" s="702"/>
      <c r="Z19" s="702"/>
      <c r="AA19" s="702"/>
      <c r="AB19" s="702"/>
      <c r="AC19" s="702"/>
      <c r="AD19" s="703"/>
    </row>
    <row r="20" spans="3:30">
      <c r="C20" s="238"/>
      <c r="W20" s="691" t="s">
        <v>992</v>
      </c>
      <c r="X20" s="692"/>
      <c r="Y20" s="692"/>
      <c r="Z20" s="692"/>
      <c r="AA20" s="692"/>
      <c r="AB20" s="692"/>
      <c r="AC20" s="692"/>
      <c r="AD20" s="693"/>
    </row>
    <row r="21" spans="3:30">
      <c r="C21" s="238"/>
      <c r="W21" s="694" t="s">
        <v>985</v>
      </c>
      <c r="X21" s="695"/>
      <c r="Y21" s="695"/>
      <c r="Z21" s="696"/>
      <c r="AA21" s="697" t="s">
        <v>986</v>
      </c>
      <c r="AB21" s="698"/>
      <c r="AC21" s="698"/>
      <c r="AD21" s="699"/>
    </row>
    <row r="22" spans="3:30">
      <c r="C22" s="238"/>
      <c r="W22" s="684"/>
      <c r="X22" s="685"/>
      <c r="Y22" s="491"/>
      <c r="Z22" s="492"/>
      <c r="AA22" s="700"/>
      <c r="AB22" s="701"/>
      <c r="AC22" s="248"/>
      <c r="AD22" s="249"/>
    </row>
    <row r="23" spans="3:30">
      <c r="C23" s="238"/>
      <c r="W23" s="684" t="s">
        <v>1628</v>
      </c>
      <c r="X23" s="685"/>
      <c r="Y23" s="720" t="s">
        <v>1640</v>
      </c>
      <c r="Z23" s="491">
        <v>2</v>
      </c>
      <c r="AA23" s="689"/>
      <c r="AB23" s="690"/>
      <c r="AC23" s="248"/>
      <c r="AD23" s="249"/>
    </row>
    <row r="24" spans="3:30">
      <c r="C24" s="238"/>
      <c r="W24" s="684" t="s">
        <v>1634</v>
      </c>
      <c r="X24" s="685"/>
      <c r="Y24" s="246" t="s">
        <v>1058</v>
      </c>
      <c r="Z24" s="246">
        <v>1</v>
      </c>
      <c r="AA24" s="686"/>
      <c r="AB24" s="687"/>
      <c r="AC24" s="248"/>
      <c r="AD24" s="249"/>
    </row>
    <row r="25" spans="3:30">
      <c r="C25" s="238"/>
      <c r="W25" s="682" t="s">
        <v>1627</v>
      </c>
      <c r="X25" s="688"/>
      <c r="Y25" s="246" t="s">
        <v>1058</v>
      </c>
      <c r="Z25" s="246">
        <v>1</v>
      </c>
      <c r="AA25" s="689"/>
      <c r="AB25" s="690"/>
      <c r="AC25" s="248"/>
      <c r="AD25" s="249"/>
    </row>
    <row r="26" spans="3:30">
      <c r="C26" s="238"/>
      <c r="W26" s="480" t="s">
        <v>1635</v>
      </c>
      <c r="X26" s="481"/>
      <c r="Y26" s="246" t="s">
        <v>1058</v>
      </c>
      <c r="Z26" s="246">
        <v>1</v>
      </c>
      <c r="AA26" s="689"/>
      <c r="AB26" s="690"/>
      <c r="AC26" s="248"/>
      <c r="AD26" s="249"/>
    </row>
    <row r="27" spans="3:30">
      <c r="C27" s="238"/>
      <c r="W27" s="480" t="s">
        <v>1618</v>
      </c>
      <c r="X27" s="481"/>
      <c r="Y27" s="246" t="s">
        <v>1058</v>
      </c>
      <c r="Z27" s="246">
        <v>2</v>
      </c>
      <c r="AA27" s="681"/>
      <c r="AB27" s="676"/>
      <c r="AC27" s="248"/>
      <c r="AD27" s="249"/>
    </row>
    <row r="28" spans="3:30">
      <c r="C28" s="238"/>
      <c r="W28" s="480" t="s">
        <v>1625</v>
      </c>
      <c r="X28" s="481"/>
      <c r="Y28" s="246" t="s">
        <v>1058</v>
      </c>
      <c r="Z28" s="246">
        <v>2</v>
      </c>
      <c r="AA28" s="681"/>
      <c r="AB28" s="676"/>
      <c r="AC28" s="248"/>
      <c r="AD28" s="249"/>
    </row>
    <row r="29" spans="3:30">
      <c r="C29" s="238"/>
      <c r="W29" s="480" t="s">
        <v>1623</v>
      </c>
      <c r="X29" s="481"/>
      <c r="Y29" s="246" t="s">
        <v>1058</v>
      </c>
      <c r="Z29" s="246">
        <v>2</v>
      </c>
      <c r="AA29" s="681"/>
      <c r="AB29" s="676"/>
      <c r="AC29" s="248"/>
      <c r="AD29" s="249"/>
    </row>
    <row r="30" spans="3:30" ht="11.25" customHeight="1">
      <c r="C30" s="238"/>
      <c r="W30" s="482" t="s">
        <v>1624</v>
      </c>
      <c r="X30" s="483"/>
      <c r="Y30" s="246" t="s">
        <v>1058</v>
      </c>
      <c r="Z30" s="246">
        <v>2</v>
      </c>
      <c r="AA30" s="681"/>
      <c r="AB30" s="676"/>
      <c r="AC30" s="248"/>
      <c r="AD30" s="249"/>
    </row>
    <row r="31" spans="3:30">
      <c r="C31" s="238"/>
      <c r="U31" s="250"/>
      <c r="W31" s="480" t="s">
        <v>1638</v>
      </c>
      <c r="X31" s="481"/>
      <c r="Y31" s="246" t="s">
        <v>1641</v>
      </c>
      <c r="Z31" s="246">
        <v>60</v>
      </c>
      <c r="AA31" s="681"/>
      <c r="AB31" s="676"/>
      <c r="AC31" s="248"/>
      <c r="AD31" s="249"/>
    </row>
    <row r="32" spans="3:30">
      <c r="C32" s="238"/>
      <c r="U32" s="250"/>
      <c r="W32" s="480" t="s">
        <v>1639</v>
      </c>
      <c r="X32" s="481"/>
      <c r="Y32" s="246" t="s">
        <v>1058</v>
      </c>
      <c r="Z32" s="246">
        <v>1</v>
      </c>
      <c r="AA32" s="681"/>
      <c r="AB32" s="676"/>
      <c r="AC32" s="248"/>
      <c r="AD32" s="249"/>
    </row>
    <row r="33" spans="3:30">
      <c r="C33" s="238"/>
      <c r="W33" s="480"/>
      <c r="X33" s="481"/>
      <c r="Y33" s="246"/>
      <c r="Z33" s="247"/>
      <c r="AA33" s="681"/>
      <c r="AB33" s="676"/>
      <c r="AC33" s="248"/>
      <c r="AD33" s="249"/>
    </row>
    <row r="34" spans="3:30">
      <c r="C34" s="238"/>
      <c r="W34" s="480"/>
      <c r="X34" s="481"/>
      <c r="Y34" s="246"/>
      <c r="Z34" s="247"/>
      <c r="AA34" s="681"/>
      <c r="AB34" s="676"/>
      <c r="AC34" s="248"/>
      <c r="AD34" s="249"/>
    </row>
    <row r="35" spans="3:30">
      <c r="C35" s="238"/>
      <c r="W35" s="682"/>
      <c r="X35" s="683"/>
      <c r="Y35" s="246"/>
      <c r="Z35" s="247"/>
      <c r="AA35" s="681"/>
      <c r="AB35" s="676"/>
      <c r="AC35" s="248"/>
      <c r="AD35" s="249"/>
    </row>
    <row r="36" spans="3:30">
      <c r="C36" s="238"/>
      <c r="W36" s="673"/>
      <c r="X36" s="674"/>
      <c r="Y36" s="246"/>
      <c r="Z36" s="251"/>
      <c r="AA36" s="675"/>
      <c r="AB36" s="676"/>
      <c r="AC36" s="248"/>
      <c r="AD36" s="249"/>
    </row>
    <row r="37" spans="3:30" ht="12.75" customHeight="1">
      <c r="C37" s="238"/>
      <c r="W37" s="677"/>
      <c r="X37" s="678"/>
      <c r="Y37" s="246"/>
      <c r="Z37" s="251"/>
      <c r="AA37" s="679"/>
      <c r="AB37" s="680"/>
      <c r="AC37" s="252"/>
      <c r="AD37" s="253"/>
    </row>
    <row r="38" spans="3:30" ht="12.75" customHeight="1">
      <c r="C38" s="238"/>
      <c r="W38" s="677"/>
      <c r="X38" s="678"/>
      <c r="Y38" s="254"/>
      <c r="Z38" s="251"/>
      <c r="AA38" s="255"/>
      <c r="AB38" s="256"/>
      <c r="AC38" s="252"/>
      <c r="AD38" s="253"/>
    </row>
    <row r="39" spans="3:30" ht="12" customHeight="1">
      <c r="C39" s="238"/>
      <c r="D39" s="508"/>
      <c r="W39" s="677"/>
      <c r="X39" s="678"/>
      <c r="Y39" s="254"/>
      <c r="Z39" s="257"/>
      <c r="AA39" s="669"/>
      <c r="AB39" s="670"/>
      <c r="AC39" s="252"/>
      <c r="AD39" s="253"/>
    </row>
    <row r="40" spans="3:30" ht="12" customHeight="1">
      <c r="C40" s="238"/>
      <c r="D40" s="508"/>
      <c r="W40" s="665"/>
      <c r="X40" s="666"/>
      <c r="Y40" s="254"/>
      <c r="Z40" s="257"/>
      <c r="AA40" s="258"/>
      <c r="AB40" s="259"/>
      <c r="AC40" s="252"/>
      <c r="AD40" s="253"/>
    </row>
    <row r="41" spans="3:30" ht="12" customHeight="1">
      <c r="C41" s="238"/>
      <c r="D41" s="508"/>
      <c r="W41" s="667"/>
      <c r="X41" s="668"/>
      <c r="Y41" s="260"/>
      <c r="Z41" s="261"/>
      <c r="AA41" s="669"/>
      <c r="AB41" s="670"/>
      <c r="AC41" s="252"/>
      <c r="AD41" s="253"/>
    </row>
    <row r="42" spans="3:30" ht="12" customHeight="1">
      <c r="C42" s="238"/>
      <c r="D42" s="508"/>
      <c r="W42" s="671" t="s">
        <v>1456</v>
      </c>
      <c r="X42" s="672"/>
      <c r="Y42" s="672"/>
      <c r="Z42" s="672"/>
      <c r="AA42" s="262"/>
      <c r="AB42" s="262"/>
      <c r="AC42" s="262"/>
      <c r="AD42" s="263"/>
    </row>
    <row r="43" spans="3:30" ht="12" customHeight="1">
      <c r="C43" s="238"/>
      <c r="D43" s="50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508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50" t="s">
        <v>11</v>
      </c>
      <c r="X44" s="651"/>
      <c r="Y44" s="653"/>
      <c r="Z44" s="653"/>
      <c r="AA44" s="653"/>
      <c r="AB44" s="653"/>
      <c r="AC44" s="653"/>
      <c r="AD44" s="654"/>
    </row>
    <row r="45" spans="3:30">
      <c r="C45" s="268"/>
      <c r="D45" s="508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50" t="s">
        <v>984</v>
      </c>
      <c r="X45" s="651"/>
      <c r="Y45" s="653">
        <v>1</v>
      </c>
      <c r="Z45" s="653"/>
      <c r="AA45" s="653"/>
      <c r="AB45" s="653" t="s">
        <v>12</v>
      </c>
      <c r="AC45" s="653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50" t="s">
        <v>15</v>
      </c>
      <c r="X46" s="651"/>
      <c r="Y46" s="664"/>
      <c r="Z46" s="664"/>
      <c r="AA46" s="664"/>
      <c r="AB46" s="653" t="s">
        <v>16</v>
      </c>
      <c r="AC46" s="653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8" t="s">
        <v>17</v>
      </c>
      <c r="X47" s="658"/>
      <c r="Y47" s="658"/>
      <c r="Z47" s="658"/>
      <c r="AA47" s="658"/>
      <c r="AB47" s="658"/>
      <c r="AC47" s="658"/>
      <c r="AD47" s="659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60" t="str">
        <f>RAB!G6</f>
        <v>RUMAH POMPA KALISARI</v>
      </c>
      <c r="X48" s="660"/>
      <c r="Y48" s="660"/>
      <c r="Z48" s="660"/>
      <c r="AA48" s="660"/>
      <c r="AB48" s="660"/>
      <c r="AC48" s="660"/>
      <c r="AD48" s="661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60"/>
      <c r="X49" s="660"/>
      <c r="Y49" s="660"/>
      <c r="Z49" s="660"/>
      <c r="AA49" s="660"/>
      <c r="AB49" s="660"/>
      <c r="AC49" s="660"/>
      <c r="AD49" s="661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60"/>
      <c r="X50" s="660"/>
      <c r="Y50" s="660"/>
      <c r="Z50" s="660"/>
      <c r="AA50" s="660"/>
      <c r="AB50" s="660"/>
      <c r="AC50" s="660"/>
      <c r="AD50" s="661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62"/>
      <c r="X51" s="662"/>
      <c r="Y51" s="662"/>
      <c r="Z51" s="662"/>
      <c r="AA51" s="662"/>
      <c r="AB51" s="662"/>
      <c r="AC51" s="662"/>
      <c r="AD51" s="663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50" t="s">
        <v>18</v>
      </c>
      <c r="X52" s="651"/>
      <c r="Y52" s="653" t="s">
        <v>1549</v>
      </c>
      <c r="Z52" s="653"/>
      <c r="AA52" s="653"/>
      <c r="AB52" s="653"/>
      <c r="AC52" s="653"/>
      <c r="AD52" s="654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50" t="s">
        <v>19</v>
      </c>
      <c r="X53" s="651"/>
      <c r="Y53" s="653" t="s">
        <v>1549</v>
      </c>
      <c r="Z53" s="653"/>
      <c r="AA53" s="653"/>
      <c r="AB53" s="653"/>
      <c r="AC53" s="653"/>
      <c r="AD53" s="654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50" t="s">
        <v>20</v>
      </c>
      <c r="X54" s="651"/>
      <c r="Y54" s="652" t="s">
        <v>1550</v>
      </c>
      <c r="Z54" s="652"/>
      <c r="AA54" s="652"/>
      <c r="AB54" s="653"/>
      <c r="AC54" s="653"/>
      <c r="AD54" s="654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55" t="s">
        <v>21</v>
      </c>
      <c r="X55" s="656"/>
      <c r="Y55" s="652" t="s">
        <v>1551</v>
      </c>
      <c r="Z55" s="652"/>
      <c r="AA55" s="652"/>
      <c r="AB55" s="652"/>
      <c r="AC55" s="652"/>
      <c r="AD55" s="657"/>
    </row>
  </sheetData>
  <mergeCells count="102">
    <mergeCell ref="E7:O8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R39" sqref="R39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0" t="s">
        <v>1528</v>
      </c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2"/>
      <c r="AD4" s="217"/>
      <c r="AE4" s="216"/>
      <c r="AF4" s="216"/>
    </row>
    <row r="5" spans="2:32" ht="13.5" customHeight="1">
      <c r="B5" s="215"/>
      <c r="C5" s="215"/>
      <c r="D5" s="713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4"/>
      <c r="P5" s="714"/>
      <c r="Q5" s="714"/>
      <c r="R5" s="714"/>
      <c r="S5" s="714"/>
      <c r="T5" s="714"/>
      <c r="U5" s="714"/>
      <c r="V5" s="714"/>
      <c r="W5" s="714"/>
      <c r="X5" s="714"/>
      <c r="Y5" s="714"/>
      <c r="Z5" s="714"/>
      <c r="AA5" s="714"/>
      <c r="AB5" s="714"/>
      <c r="AC5" s="715"/>
      <c r="AD5" s="217"/>
      <c r="AE5" s="216"/>
      <c r="AF5" s="216"/>
    </row>
    <row r="6" spans="2:32" ht="12.75" customHeight="1">
      <c r="B6" s="215"/>
      <c r="C6" s="215"/>
      <c r="D6" s="713"/>
      <c r="E6" s="714"/>
      <c r="F6" s="714"/>
      <c r="G6" s="714"/>
      <c r="H6" s="714"/>
      <c r="I6" s="714"/>
      <c r="J6" s="714"/>
      <c r="K6" s="714"/>
      <c r="L6" s="714"/>
      <c r="M6" s="714"/>
      <c r="N6" s="714"/>
      <c r="O6" s="714"/>
      <c r="P6" s="714"/>
      <c r="Q6" s="714"/>
      <c r="R6" s="714"/>
      <c r="S6" s="714"/>
      <c r="T6" s="714"/>
      <c r="U6" s="714"/>
      <c r="V6" s="714"/>
      <c r="W6" s="714"/>
      <c r="X6" s="714"/>
      <c r="Y6" s="714"/>
      <c r="Z6" s="714"/>
      <c r="AA6" s="714"/>
      <c r="AB6" s="714"/>
      <c r="AC6" s="715"/>
      <c r="AE6" s="216"/>
      <c r="AF6" s="216"/>
    </row>
    <row r="7" spans="2:32" ht="12.75" customHeight="1" thickBot="1">
      <c r="B7" s="215"/>
      <c r="C7" s="215"/>
      <c r="D7" s="716"/>
      <c r="E7" s="717"/>
      <c r="F7" s="717"/>
      <c r="G7" s="717"/>
      <c r="H7" s="717"/>
      <c r="I7" s="717"/>
      <c r="J7" s="717"/>
      <c r="K7" s="717"/>
      <c r="L7" s="717"/>
      <c r="M7" s="717"/>
      <c r="N7" s="717"/>
      <c r="O7" s="717"/>
      <c r="P7" s="717"/>
      <c r="Q7" s="717"/>
      <c r="R7" s="717"/>
      <c r="S7" s="717"/>
      <c r="T7" s="717"/>
      <c r="U7" s="717"/>
      <c r="V7" s="717"/>
      <c r="W7" s="717"/>
      <c r="X7" s="717"/>
      <c r="Y7" s="717"/>
      <c r="Z7" s="717"/>
      <c r="AA7" s="717"/>
      <c r="AB7" s="717"/>
      <c r="AC7" s="718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55" zoomScaleNormal="40" zoomScaleSheetLayoutView="55" workbookViewId="0">
      <selection activeCell="C6" sqref="C6:M7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4" t="s">
        <v>1527</v>
      </c>
      <c r="D3" s="714"/>
      <c r="E3" s="714"/>
      <c r="F3" s="714"/>
      <c r="G3" s="714"/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14"/>
      <c r="D4" s="714"/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19" t="s">
        <v>1633</v>
      </c>
      <c r="D6" s="719"/>
      <c r="E6" s="719"/>
      <c r="F6" s="719"/>
      <c r="G6" s="719"/>
      <c r="H6" s="719"/>
      <c r="I6" s="719"/>
      <c r="J6" s="719"/>
      <c r="K6" s="719"/>
      <c r="L6" s="719"/>
      <c r="M6" s="719"/>
      <c r="W6" s="182"/>
      <c r="Y6" s="428"/>
      <c r="Z6" s="428"/>
      <c r="AA6" s="428"/>
      <c r="AB6" s="429"/>
      <c r="AC6" s="429"/>
    </row>
    <row r="7" spans="1:29" ht="18" customHeight="1">
      <c r="A7" s="181"/>
      <c r="C7" s="719"/>
      <c r="D7" s="719"/>
      <c r="E7" s="719"/>
      <c r="F7" s="719"/>
      <c r="G7" s="719"/>
      <c r="H7" s="719"/>
      <c r="I7" s="719"/>
      <c r="J7" s="719"/>
      <c r="K7" s="719"/>
      <c r="L7" s="719"/>
      <c r="M7" s="719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MUHAMAD TAUFIQ DWI UTOMO</cp:lastModifiedBy>
  <cp:lastPrinted>2023-05-10T03:04:01Z</cp:lastPrinted>
  <dcterms:created xsi:type="dcterms:W3CDTF">2011-02-06T11:57:38Z</dcterms:created>
  <dcterms:modified xsi:type="dcterms:W3CDTF">2024-06-20T09:20:32Z</dcterms:modified>
</cp:coreProperties>
</file>