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24\RAB PBPD\"/>
    </mc:Choice>
  </mc:AlternateContent>
  <xr:revisionPtr revIDLastSave="0" documentId="13_ncr:1_{6D15096A-6EF2-44BD-AE6F-92F770F720AC}" xr6:coauthVersionLast="45" xr6:coauthVersionMax="47" xr10:uidLastSave="{00000000-0000-0000-0000-000000000000}"/>
  <bookViews>
    <workbookView xWindow="-110" yWindow="-110" windowWidth="19420" windowHeight="110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G59" i="11" l="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D74" i="11"/>
  <c r="J74" i="11" s="1"/>
  <c r="E74" i="11"/>
  <c r="D61" i="11"/>
  <c r="I61" i="11" s="1"/>
  <c r="E61" i="11"/>
  <c r="D62" i="11"/>
  <c r="H62" i="11" s="1"/>
  <c r="E62" i="11"/>
  <c r="D63" i="11"/>
  <c r="H63" i="11" s="1"/>
  <c r="E63" i="11"/>
  <c r="D64" i="11"/>
  <c r="H64" i="11" s="1"/>
  <c r="E64" i="11"/>
  <c r="D65" i="11"/>
  <c r="J65" i="11" s="1"/>
  <c r="E65" i="11"/>
  <c r="D66" i="11"/>
  <c r="H66" i="11" s="1"/>
  <c r="E66" i="11"/>
  <c r="D67" i="11"/>
  <c r="H67" i="11" s="1"/>
  <c r="E67" i="11"/>
  <c r="D68" i="11"/>
  <c r="J68" i="11" s="1"/>
  <c r="E68" i="11"/>
  <c r="D69" i="11"/>
  <c r="I69" i="11" s="1"/>
  <c r="E69" i="11"/>
  <c r="D70" i="11"/>
  <c r="I70" i="11" s="1"/>
  <c r="E70" i="11"/>
  <c r="D71" i="11"/>
  <c r="H71" i="11" s="1"/>
  <c r="E71" i="11"/>
  <c r="D72" i="11"/>
  <c r="H72" i="11" s="1"/>
  <c r="E72" i="11"/>
  <c r="D73" i="11"/>
  <c r="I73" i="11" s="1"/>
  <c r="E73" i="11"/>
  <c r="F73" i="11"/>
  <c r="F71" i="11"/>
  <c r="F70" i="11"/>
  <c r="F72" i="11" s="1"/>
  <c r="F67" i="11"/>
  <c r="F66" i="11"/>
  <c r="F65" i="11"/>
  <c r="F64" i="11"/>
  <c r="I65" i="11" l="1"/>
  <c r="H65" i="11"/>
  <c r="J70" i="11"/>
  <c r="H70" i="11"/>
  <c r="K70" i="11" s="1"/>
  <c r="J62" i="11"/>
  <c r="I62" i="11"/>
  <c r="H73" i="11"/>
  <c r="H69" i="11"/>
  <c r="J63" i="11"/>
  <c r="J69" i="11"/>
  <c r="H61" i="11"/>
  <c r="I68" i="11"/>
  <c r="I63" i="11"/>
  <c r="H68" i="11"/>
  <c r="J72" i="11"/>
  <c r="I74" i="11"/>
  <c r="H74" i="11"/>
  <c r="J64" i="11"/>
  <c r="J71" i="11"/>
  <c r="I64" i="11"/>
  <c r="I71" i="11"/>
  <c r="J66" i="11"/>
  <c r="I72" i="11"/>
  <c r="J67" i="11"/>
  <c r="I67" i="11"/>
  <c r="J73" i="11"/>
  <c r="I66" i="11"/>
  <c r="J61" i="11"/>
  <c r="K63" i="11" l="1"/>
  <c r="K62" i="11"/>
  <c r="K61" i="11"/>
  <c r="K73" i="11"/>
  <c r="K68" i="11"/>
  <c r="K67" i="11"/>
  <c r="K69" i="11"/>
  <c r="K65" i="11"/>
  <c r="K72" i="11"/>
  <c r="K71" i="11"/>
  <c r="K64" i="11"/>
  <c r="K74" i="11"/>
  <c r="K66" i="11"/>
  <c r="F76" i="11" l="1"/>
  <c r="F61" i="11"/>
  <c r="F60" i="11"/>
  <c r="F59" i="11"/>
  <c r="F58" i="11"/>
  <c r="F55" i="11"/>
  <c r="F54" i="11"/>
  <c r="F53" i="11"/>
  <c r="F52" i="11"/>
  <c r="F49" i="11"/>
  <c r="F48" i="11"/>
  <c r="F47" i="11"/>
  <c r="F46" i="11"/>
  <c r="F45" i="11"/>
  <c r="F44" i="11"/>
  <c r="E60" i="11"/>
  <c r="D60" i="11"/>
  <c r="E59" i="11"/>
  <c r="D59" i="11"/>
  <c r="G58" i="11"/>
  <c r="E58" i="11"/>
  <c r="D58" i="11"/>
  <c r="J58" i="11" s="1"/>
  <c r="G57" i="11"/>
  <c r="E57" i="11"/>
  <c r="D57" i="11"/>
  <c r="J57" i="11" s="1"/>
  <c r="G56" i="11"/>
  <c r="E56" i="11"/>
  <c r="D56" i="11"/>
  <c r="J56" i="11" s="1"/>
  <c r="G55" i="11"/>
  <c r="E55" i="11"/>
  <c r="D55" i="11"/>
  <c r="G54" i="11"/>
  <c r="E54" i="11"/>
  <c r="D54" i="11"/>
  <c r="J54" i="11" s="1"/>
  <c r="G53" i="11"/>
  <c r="E53" i="11"/>
  <c r="D53" i="11"/>
  <c r="J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J50" i="11" s="1"/>
  <c r="G49" i="11"/>
  <c r="E49" i="11"/>
  <c r="D49" i="11"/>
  <c r="H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H46" i="11" s="1"/>
  <c r="G45" i="11"/>
  <c r="E45" i="11"/>
  <c r="D45" i="11"/>
  <c r="J45" i="11" s="1"/>
  <c r="G44" i="11"/>
  <c r="E44" i="11"/>
  <c r="D44" i="11"/>
  <c r="J44" i="11" s="1"/>
  <c r="G43" i="11"/>
  <c r="E43" i="11"/>
  <c r="D43" i="11"/>
  <c r="J43" i="11" s="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G36" i="11"/>
  <c r="E36" i="11"/>
  <c r="D36" i="11"/>
  <c r="G35" i="11"/>
  <c r="E35" i="11"/>
  <c r="D35" i="11"/>
  <c r="H35" i="11" s="1"/>
  <c r="G34" i="11"/>
  <c r="E34" i="11"/>
  <c r="D34" i="11"/>
  <c r="J34" i="11" s="1"/>
  <c r="G33" i="11"/>
  <c r="E33" i="11"/>
  <c r="D33" i="11"/>
  <c r="J33" i="11" s="1"/>
  <c r="G32" i="11"/>
  <c r="E32" i="11"/>
  <c r="D32" i="11"/>
  <c r="J32" i="11" s="1"/>
  <c r="G31" i="11"/>
  <c r="E31" i="11"/>
  <c r="D31" i="11"/>
  <c r="J31" i="11" s="1"/>
  <c r="G30" i="11"/>
  <c r="E30" i="11"/>
  <c r="D30" i="11"/>
  <c r="J30" i="11" s="1"/>
  <c r="H59" i="11" l="1"/>
  <c r="J59" i="11"/>
  <c r="I59" i="11"/>
  <c r="I60" i="11"/>
  <c r="H60" i="11"/>
  <c r="J60" i="11"/>
  <c r="J55" i="11"/>
  <c r="J46" i="11"/>
  <c r="I49" i="11"/>
  <c r="I46" i="11"/>
  <c r="J49" i="11"/>
  <c r="I52" i="11"/>
  <c r="H52" i="11"/>
  <c r="I55" i="11"/>
  <c r="H55" i="11"/>
  <c r="H58" i="11"/>
  <c r="I58" i="11"/>
  <c r="I36" i="11"/>
  <c r="H43" i="11"/>
  <c r="I43" i="11"/>
  <c r="H45" i="11"/>
  <c r="H48" i="11"/>
  <c r="H51" i="11"/>
  <c r="H54" i="11"/>
  <c r="H57" i="11"/>
  <c r="I45" i="11"/>
  <c r="I48" i="11"/>
  <c r="I51" i="11"/>
  <c r="I54" i="11"/>
  <c r="I57" i="11"/>
  <c r="H44" i="11"/>
  <c r="H47" i="11"/>
  <c r="H50" i="11"/>
  <c r="H53" i="11"/>
  <c r="H56" i="11"/>
  <c r="I44" i="11"/>
  <c r="I50" i="11"/>
  <c r="I56" i="11"/>
  <c r="I47" i="11"/>
  <c r="I53" i="11"/>
  <c r="J35" i="11"/>
  <c r="I32" i="11"/>
  <c r="H32" i="11"/>
  <c r="I35" i="11"/>
  <c r="H30" i="11"/>
  <c r="H36" i="11"/>
  <c r="H31" i="11"/>
  <c r="H34" i="11"/>
  <c r="I31" i="11"/>
  <c r="I34" i="11"/>
  <c r="H33" i="11"/>
  <c r="J36" i="11"/>
  <c r="I30" i="11"/>
  <c r="I33" i="11"/>
  <c r="F128" i="11"/>
  <c r="F127" i="11"/>
  <c r="F126" i="11"/>
  <c r="F125" i="11"/>
  <c r="F124" i="11"/>
  <c r="F123" i="11"/>
  <c r="F122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2" i="11"/>
  <c r="G29" i="11"/>
  <c r="G37" i="11"/>
  <c r="G38" i="11"/>
  <c r="G39" i="11"/>
  <c r="G40" i="11"/>
  <c r="G41" i="11"/>
  <c r="G42" i="11"/>
  <c r="G75" i="11"/>
  <c r="G76" i="11"/>
  <c r="G77" i="11"/>
  <c r="H77" i="11"/>
  <c r="I77" i="11"/>
  <c r="G78" i="11"/>
  <c r="G79" i="11"/>
  <c r="D29" i="11"/>
  <c r="H29" i="11" s="1"/>
  <c r="E29" i="11"/>
  <c r="D37" i="11"/>
  <c r="J37" i="11" s="1"/>
  <c r="E37" i="11"/>
  <c r="D38" i="11"/>
  <c r="E38" i="11"/>
  <c r="D39" i="11"/>
  <c r="H39" i="11" s="1"/>
  <c r="E39" i="11"/>
  <c r="D40" i="11"/>
  <c r="H40" i="11" s="1"/>
  <c r="E40" i="11"/>
  <c r="D41" i="11"/>
  <c r="E41" i="11"/>
  <c r="D42" i="11"/>
  <c r="I42" i="11" s="1"/>
  <c r="E42" i="11"/>
  <c r="D75" i="11"/>
  <c r="H75" i="11" s="1"/>
  <c r="E75" i="11"/>
  <c r="D76" i="11"/>
  <c r="E76" i="11"/>
  <c r="G18" i="11"/>
  <c r="D18" i="11"/>
  <c r="I18" i="11" s="1"/>
  <c r="E18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G17" i="11"/>
  <c r="D17" i="11"/>
  <c r="H17" i="11" s="1"/>
  <c r="E17" i="11"/>
  <c r="K60" i="11" l="1"/>
  <c r="K59" i="11"/>
  <c r="K55" i="11"/>
  <c r="K52" i="11"/>
  <c r="K46" i="11"/>
  <c r="K49" i="11"/>
  <c r="K58" i="11"/>
  <c r="K53" i="11"/>
  <c r="K50" i="11"/>
  <c r="K51" i="11"/>
  <c r="K47" i="11"/>
  <c r="K48" i="11"/>
  <c r="K56" i="11"/>
  <c r="K57" i="11"/>
  <c r="K54" i="11"/>
  <c r="K43" i="11"/>
  <c r="K44" i="11"/>
  <c r="K45" i="11"/>
  <c r="H76" i="11"/>
  <c r="K35" i="11"/>
  <c r="K32" i="11"/>
  <c r="K36" i="11"/>
  <c r="J41" i="11"/>
  <c r="K30" i="11"/>
  <c r="K31" i="11"/>
  <c r="K33" i="11"/>
  <c r="K34" i="11"/>
  <c r="I38" i="11"/>
  <c r="I37" i="11"/>
  <c r="H42" i="11"/>
  <c r="J76" i="11"/>
  <c r="I41" i="11"/>
  <c r="H38" i="11"/>
  <c r="J29" i="11"/>
  <c r="J40" i="11"/>
  <c r="I76" i="11"/>
  <c r="J75" i="11"/>
  <c r="H41" i="11"/>
  <c r="I40" i="11"/>
  <c r="J39" i="11"/>
  <c r="H37" i="11"/>
  <c r="I29" i="11"/>
  <c r="I75" i="11"/>
  <c r="J42" i="11"/>
  <c r="I39" i="11"/>
  <c r="J38" i="11"/>
  <c r="J18" i="11"/>
  <c r="H18" i="11"/>
  <c r="I23" i="11"/>
  <c r="I27" i="11"/>
  <c r="I22" i="11"/>
  <c r="H22" i="11"/>
  <c r="H27" i="11"/>
  <c r="I26" i="11"/>
  <c r="J25" i="11"/>
  <c r="H23" i="11"/>
  <c r="I25" i="11"/>
  <c r="J28" i="11"/>
  <c r="I28" i="11"/>
  <c r="I24" i="11"/>
  <c r="H28" i="11"/>
  <c r="J26" i="11"/>
  <c r="H24" i="11"/>
  <c r="J17" i="11"/>
  <c r="I17" i="11"/>
  <c r="D81" i="11"/>
  <c r="J81" i="11" s="1"/>
  <c r="E81" i="11"/>
  <c r="G81" i="11"/>
  <c r="J82" i="11"/>
  <c r="E82" i="11"/>
  <c r="G82" i="11"/>
  <c r="D83" i="11"/>
  <c r="H83" i="11" s="1"/>
  <c r="E83" i="11"/>
  <c r="G83" i="11"/>
  <c r="D84" i="11"/>
  <c r="E84" i="11"/>
  <c r="G84" i="11"/>
  <c r="D85" i="11"/>
  <c r="J85" i="11" s="1"/>
  <c r="E85" i="11"/>
  <c r="G85" i="11"/>
  <c r="D86" i="11"/>
  <c r="E86" i="11"/>
  <c r="G86" i="11"/>
  <c r="D87" i="11"/>
  <c r="E87" i="11"/>
  <c r="G87" i="11"/>
  <c r="F119" i="11"/>
  <c r="F117" i="11"/>
  <c r="F116" i="11"/>
  <c r="H87" i="11" l="1"/>
  <c r="H84" i="11"/>
  <c r="K29" i="11"/>
  <c r="K42" i="11"/>
  <c r="K37" i="11"/>
  <c r="K76" i="11"/>
  <c r="K39" i="11"/>
  <c r="K41" i="11"/>
  <c r="K38" i="11"/>
  <c r="K75" i="11"/>
  <c r="K40" i="11"/>
  <c r="K18" i="11"/>
  <c r="K23" i="11"/>
  <c r="K22" i="11"/>
  <c r="K26" i="11"/>
  <c r="K27" i="11"/>
  <c r="K25" i="11"/>
  <c r="K28" i="11"/>
  <c r="K24" i="11"/>
  <c r="K17" i="11"/>
  <c r="H85" i="11"/>
  <c r="I84" i="11"/>
  <c r="J83" i="11"/>
  <c r="J86" i="11"/>
  <c r="I81" i="11"/>
  <c r="I87" i="11"/>
  <c r="I85" i="11"/>
  <c r="I83" i="11"/>
  <c r="H81" i="11"/>
  <c r="I86" i="11"/>
  <c r="I82" i="11"/>
  <c r="J87" i="11"/>
  <c r="H86" i="11"/>
  <c r="J84" i="11"/>
  <c r="H82" i="11"/>
  <c r="K82" i="11" s="1"/>
  <c r="K83" i="11" l="1"/>
  <c r="K81" i="11"/>
  <c r="K85" i="11"/>
  <c r="K84" i="11"/>
  <c r="K86" i="11"/>
  <c r="K87" i="11"/>
  <c r="G120" i="11" l="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D120" i="11"/>
  <c r="H120" i="11" s="1"/>
  <c r="E120" i="11"/>
  <c r="D121" i="11"/>
  <c r="J121" i="11" s="1"/>
  <c r="E121" i="11"/>
  <c r="D122" i="11"/>
  <c r="E122" i="11"/>
  <c r="D123" i="11"/>
  <c r="H123" i="11" s="1"/>
  <c r="E123" i="11"/>
  <c r="D124" i="11"/>
  <c r="H124" i="11" s="1"/>
  <c r="E124" i="11"/>
  <c r="D125" i="11"/>
  <c r="J125" i="11" s="1"/>
  <c r="E125" i="11"/>
  <c r="D126" i="11"/>
  <c r="E126" i="11"/>
  <c r="D127" i="11"/>
  <c r="H127" i="11" s="1"/>
  <c r="E127" i="11"/>
  <c r="D128" i="11"/>
  <c r="H128" i="11" s="1"/>
  <c r="E128" i="11"/>
  <c r="D129" i="11"/>
  <c r="J129" i="11" s="1"/>
  <c r="E129" i="11"/>
  <c r="D130" i="11"/>
  <c r="J130" i="11" s="1"/>
  <c r="E130" i="11"/>
  <c r="D131" i="11"/>
  <c r="I131" i="11" s="1"/>
  <c r="E131" i="11"/>
  <c r="D132" i="11"/>
  <c r="H132" i="11" s="1"/>
  <c r="E132" i="11"/>
  <c r="D78" i="11"/>
  <c r="E78" i="11"/>
  <c r="D79" i="11"/>
  <c r="E79" i="11"/>
  <c r="D80" i="11"/>
  <c r="J80" i="11" s="1"/>
  <c r="E80" i="11"/>
  <c r="G80" i="11"/>
  <c r="J77" i="11"/>
  <c r="K77" i="11" s="1"/>
  <c r="I78" i="11" l="1"/>
  <c r="J78" i="11"/>
  <c r="H78" i="11"/>
  <c r="H79" i="11"/>
  <c r="I79" i="11"/>
  <c r="J79" i="11"/>
  <c r="I126" i="11"/>
  <c r="I122" i="11"/>
  <c r="I128" i="11"/>
  <c r="J120" i="11"/>
  <c r="H131" i="11"/>
  <c r="J124" i="11"/>
  <c r="H122" i="11"/>
  <c r="I120" i="11"/>
  <c r="J128" i="11"/>
  <c r="H126" i="11"/>
  <c r="I124" i="11"/>
  <c r="I130" i="11"/>
  <c r="I129" i="11"/>
  <c r="I125" i="11"/>
  <c r="I121" i="11"/>
  <c r="J132" i="11"/>
  <c r="H130" i="11"/>
  <c r="H129" i="11"/>
  <c r="J127" i="11"/>
  <c r="H125" i="11"/>
  <c r="J123" i="11"/>
  <c r="H121" i="11"/>
  <c r="I132" i="11"/>
  <c r="J131" i="11"/>
  <c r="I127" i="11"/>
  <c r="J126" i="11"/>
  <c r="I123" i="11"/>
  <c r="J122" i="11"/>
  <c r="I80" i="11"/>
  <c r="H80" i="11"/>
  <c r="K79" i="11" l="1"/>
  <c r="K78" i="11"/>
  <c r="K129" i="11"/>
  <c r="K124" i="11"/>
  <c r="K126" i="11"/>
  <c r="K123" i="11"/>
  <c r="K132" i="11"/>
  <c r="K121" i="11"/>
  <c r="K130" i="11"/>
  <c r="K128" i="11"/>
  <c r="K127" i="11"/>
  <c r="K122" i="11"/>
  <c r="K120" i="11"/>
  <c r="K131" i="11"/>
  <c r="K125" i="11"/>
  <c r="K80" i="11"/>
  <c r="D114" i="11" l="1"/>
  <c r="D115" i="11"/>
  <c r="D116" i="11"/>
  <c r="D117" i="11"/>
  <c r="D118" i="11"/>
  <c r="D119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101" i="11"/>
  <c r="D101" i="11"/>
  <c r="J101" i="11" s="1"/>
  <c r="E101" i="11"/>
  <c r="J21" i="11" l="1"/>
  <c r="I21" i="11"/>
  <c r="I19" i="11"/>
  <c r="H19" i="11"/>
  <c r="I15" i="11"/>
  <c r="H15" i="11"/>
  <c r="I16" i="11"/>
  <c r="H16" i="11"/>
  <c r="I101" i="11"/>
  <c r="H101" i="11"/>
  <c r="K21" i="11" l="1"/>
  <c r="K19" i="11"/>
  <c r="K15" i="11"/>
  <c r="K101" i="11"/>
  <c r="K16" i="11"/>
  <c r="F111" i="11" l="1"/>
  <c r="F110" i="11"/>
  <c r="F109" i="11"/>
  <c r="F108" i="11"/>
  <c r="F107" i="11"/>
  <c r="F106" i="11"/>
  <c r="F105" i="11"/>
  <c r="F104" i="11"/>
  <c r="F103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D106" i="11"/>
  <c r="J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H109" i="11" s="1"/>
  <c r="E109" i="11"/>
  <c r="G109" i="11"/>
  <c r="D110" i="11"/>
  <c r="H110" i="11" s="1"/>
  <c r="E110" i="11"/>
  <c r="G110" i="11"/>
  <c r="D111" i="11"/>
  <c r="E111" i="11"/>
  <c r="G111" i="11"/>
  <c r="D112" i="11"/>
  <c r="J112" i="11" s="1"/>
  <c r="E112" i="11"/>
  <c r="G112" i="11"/>
  <c r="D88" i="11"/>
  <c r="J88" i="11" s="1"/>
  <c r="E88" i="11"/>
  <c r="G88" i="11"/>
  <c r="D89" i="11"/>
  <c r="E89" i="11"/>
  <c r="G89" i="11"/>
  <c r="D90" i="11"/>
  <c r="J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E93" i="11"/>
  <c r="G93" i="11"/>
  <c r="D94" i="11"/>
  <c r="J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H98" i="11" s="1"/>
  <c r="E98" i="11"/>
  <c r="G98" i="11"/>
  <c r="D99" i="11"/>
  <c r="J99" i="11" s="1"/>
  <c r="E99" i="11"/>
  <c r="G99" i="11"/>
  <c r="D100" i="11"/>
  <c r="E100" i="11"/>
  <c r="G100" i="11"/>
  <c r="G6" i="11"/>
  <c r="D113" i="11"/>
  <c r="J113" i="11" s="1"/>
  <c r="E113" i="11"/>
  <c r="G113" i="11"/>
  <c r="H114" i="11"/>
  <c r="E114" i="11"/>
  <c r="G114" i="11"/>
  <c r="E115" i="11"/>
  <c r="G115" i="11"/>
  <c r="J116" i="11"/>
  <c r="E116" i="11"/>
  <c r="G116" i="11"/>
  <c r="J117" i="11"/>
  <c r="E117" i="11"/>
  <c r="G117" i="11"/>
  <c r="E118" i="11"/>
  <c r="G118" i="11"/>
  <c r="H119" i="11"/>
  <c r="E119" i="11"/>
  <c r="G119" i="11"/>
  <c r="D20" i="60"/>
  <c r="I89" i="11" l="1"/>
  <c r="I93" i="11"/>
  <c r="J100" i="11"/>
  <c r="J111" i="11"/>
  <c r="J110" i="11"/>
  <c r="J102" i="11"/>
  <c r="I106" i="11"/>
  <c r="I102" i="11"/>
  <c r="I108" i="11"/>
  <c r="H108" i="11"/>
  <c r="H104" i="11"/>
  <c r="I104" i="11"/>
  <c r="I112" i="11"/>
  <c r="I110" i="11"/>
  <c r="I109" i="11"/>
  <c r="J89" i="11"/>
  <c r="H112" i="11"/>
  <c r="H106" i="11"/>
  <c r="I105" i="11"/>
  <c r="I111" i="11"/>
  <c r="H111" i="11"/>
  <c r="J109" i="11"/>
  <c r="H107" i="11"/>
  <c r="J105" i="11"/>
  <c r="H103" i="11"/>
  <c r="I107" i="11"/>
  <c r="I103" i="11"/>
  <c r="I97" i="11"/>
  <c r="J93" i="11"/>
  <c r="H93" i="11"/>
  <c r="H97" i="11"/>
  <c r="J98" i="11"/>
  <c r="H94" i="11"/>
  <c r="I91" i="11"/>
  <c r="I90" i="11"/>
  <c r="I98" i="11"/>
  <c r="I94" i="11"/>
  <c r="H89" i="11"/>
  <c r="H99" i="11"/>
  <c r="H95" i="11"/>
  <c r="H90" i="11"/>
  <c r="I95" i="11"/>
  <c r="H91" i="11"/>
  <c r="I99" i="11"/>
  <c r="I96" i="11"/>
  <c r="I88" i="11"/>
  <c r="H100" i="11"/>
  <c r="H96" i="11"/>
  <c r="H92" i="11"/>
  <c r="H88" i="11"/>
  <c r="I100" i="11"/>
  <c r="I92" i="11"/>
  <c r="H115" i="11"/>
  <c r="H118" i="11"/>
  <c r="J119" i="11"/>
  <c r="J118" i="11"/>
  <c r="I116" i="11"/>
  <c r="H116" i="11"/>
  <c r="J115" i="11"/>
  <c r="J114" i="11"/>
  <c r="I114" i="11"/>
  <c r="I118" i="11"/>
  <c r="H117" i="11"/>
  <c r="H113" i="11"/>
  <c r="I117" i="11"/>
  <c r="I113" i="11"/>
  <c r="I119" i="11"/>
  <c r="I115" i="11"/>
  <c r="D14" i="11"/>
  <c r="J14" i="11" s="1"/>
  <c r="E14" i="11"/>
  <c r="G14" i="11"/>
  <c r="K19" i="60"/>
  <c r="D19" i="60"/>
  <c r="K91" i="11" l="1"/>
  <c r="K108" i="11"/>
  <c r="K96" i="11"/>
  <c r="K102" i="11"/>
  <c r="K106" i="11"/>
  <c r="K93" i="11"/>
  <c r="K110" i="11"/>
  <c r="K98" i="11"/>
  <c r="K109" i="11"/>
  <c r="K97" i="11"/>
  <c r="K104" i="11"/>
  <c r="K94" i="11"/>
  <c r="K90" i="11"/>
  <c r="K89" i="11"/>
  <c r="K112" i="11"/>
  <c r="K105" i="11"/>
  <c r="K103" i="11"/>
  <c r="K111" i="11"/>
  <c r="K107" i="11"/>
  <c r="K95" i="11"/>
  <c r="K99" i="11"/>
  <c r="K100" i="11"/>
  <c r="K88" i="11"/>
  <c r="K92" i="11"/>
  <c r="K114" i="11"/>
  <c r="K116" i="11"/>
  <c r="K118" i="11"/>
  <c r="K119" i="11"/>
  <c r="K115" i="11"/>
  <c r="K113" i="11"/>
  <c r="K11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3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3" i="11"/>
  <c r="D134" i="11"/>
  <c r="H134" i="11" s="1"/>
  <c r="E13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3" i="11"/>
  <c r="J13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4" i="11"/>
  <c r="I134" i="11"/>
  <c r="H133" i="11" l="1"/>
  <c r="I133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34" i="11"/>
  <c r="K133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6" i="11"/>
  <c r="H137" i="11" s="1"/>
  <c r="I136" i="11"/>
  <c r="I137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9" i="29" l="1"/>
  <c r="F337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8" i="11"/>
  <c r="I13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36" i="11" l="1"/>
  <c r="K137" i="11" s="1"/>
  <c r="K138" i="11" s="1"/>
  <c r="B13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36" i="11"/>
  <c r="J13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827" i="41"/>
  <c r="K35" i="39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E17" i="41" l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<sst xmlns="http://schemas.openxmlformats.org/spreadsheetml/2006/main" count="4820" uniqueCount="1644">
  <si>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</si>
  <si>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</si>
  <si>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</si>
  <si>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</si>
  <si>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</si>
  <si>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</si>
  <si>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</si>
  <si>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</si>
  <si>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</si>
  <si>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</si>
  <si>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</si>
  <si>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</si>
  <si>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</si>
  <si>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</si>
  <si>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</si>
  <si>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</si>
  <si>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</si>
  <si>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</si>
  <si>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</si>
  <si>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</si>
  <si>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</si>
  <si>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</si>
  <si>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</si>
  <si>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</si>
  <si>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</si>
  <si>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</si>
  <si>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</si>
  <si>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</si>
  <si>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</si>
  <si>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</si>
  <si>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</si>
  <si>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</si>
  <si>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</si>
  <si>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</si>
  <si>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</si>
  <si>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</si>
  <si>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</si>
  <si>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</si>
  <si>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</si>
  <si>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</si>
  <si>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</si>
  <si>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</si>
  <si>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</si>
  <si>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</si>
  <si>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</si>
  <si>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</si>
  <si>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</si>
  <si>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</si>
  <si>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</si>
  <si>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</si>
  <si>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</si>
  <si>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</si>
  <si>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</si>
  <si>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</si>
  <si>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</si>
  <si>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</si>
  <si>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</si>
  <si>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</si>
  <si>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</si>
  <si>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</si>
  <si>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</si>
  <si>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</si>
  <si>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</si>
  <si>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</si>
  <si>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</si>
  <si>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</si>
  <si>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</si>
  <si>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</si>
  <si>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</si>
  <si>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</si>
  <si>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</si>
  <si>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</si>
  <si>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</si>
  <si>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</si>
  <si>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</si>
  <si>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</si>
  <si>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</si>
  <si>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</si>
  <si>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</si>
  <si>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</si>
  <si>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</si>
  <si>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</si>
  <si>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</si>
  <si>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</si>
  <si>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</si>
  <si>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</si>
  <si>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</si>
  <si>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</si>
  <si>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</si>
  <si>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</si>
  <si>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</si>
  <si>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</si>
  <si>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</si>
  <si>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</si>
  <si>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</si>
  <si>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</si>
  <si>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</si>
  <si>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</si>
  <si>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</si>
  <si>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</si>
  <si>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</si>
  <si>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</si>
  <si>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</si>
  <si>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</si>
  <si>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</si>
  <si>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</si>
  <si>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</si>
  <si>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</si>
  <si>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</si>
  <si>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</si>
  <si>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</si>
  <si>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</si>
  <si>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</si>
  <si>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</si>
  <si>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</si>
  <si>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</si>
  <si>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</si>
  <si>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</si>
  <si>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</si>
  <si>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</si>
  <si>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</si>
  <si>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</si>
  <si>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</si>
  <si>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</si>
  <si>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</si>
  <si>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</si>
  <si>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</si>
  <si>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</si>
  <si>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</si>
  <si>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</si>
  <si>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</si>
  <si>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</si>
  <si>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</si>
  <si>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</si>
  <si>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</si>
  <si>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</si>
  <si>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</si>
  <si>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</si>
  <si>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</si>
  <si>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</si>
  <si>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</si>
  <si>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</si>
  <si>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</si>
  <si>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</si>
  <si>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</si>
  <si>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</si>
  <si>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</si>
  <si>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</si>
  <si>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</si>
  <si>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</si>
  <si>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</si>
  <si>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</si>
  <si>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</si>
  <si>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</si>
  <si>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</si>
  <si>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</si>
  <si>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</si>
  <si>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</si>
  <si>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</si>
  <si>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</si>
  <si>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</si>
  <si>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</si>
  <si>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</si>
  <si>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</si>
  <si>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</si>
  <si>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</si>
  <si>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</si>
  <si>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</si>
  <si>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</si>
  <si>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</si>
  <si>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</si>
  <si>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</si>
  <si>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</si>
  <si>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</si>
  <si>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</si>
  <si>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</si>
  <si>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</si>
  <si>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</si>
  <si>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</si>
  <si>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</si>
  <si>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</si>
  <si>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</si>
  <si>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</si>
  <si>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</si>
  <si>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</si>
  <si>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</si>
  <si>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</si>
  <si>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</si>
  <si>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</si>
  <si>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</si>
  <si>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</si>
  <si>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</si>
  <si>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</si>
  <si>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</si>
  <si>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</si>
  <si>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</si>
  <si>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</si>
  <si>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</si>
  <si>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</si>
  <si>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</si>
  <si>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</si>
  <si>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</si>
  <si>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</si>
  <si>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</si>
  <si>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</si>
  <si>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</si>
  <si>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</si>
  <si>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</si>
  <si>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</si>
  <si>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</si>
  <si>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</si>
  <si>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</si>
  <si>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</si>
  <si>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</si>
  <si>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</si>
  <si>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</si>
  <si>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</si>
  <si>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</si>
  <si>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</si>
  <si>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</si>
  <si>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</si>
  <si>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</si>
  <si>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</si>
  <si>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</si>
  <si>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</si>
  <si>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</si>
  <si>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</si>
  <si>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</si>
  <si>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</si>
  <si>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</si>
  <si>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</si>
  <si>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</si>
  <si>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</si>
  <si>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</si>
  <si>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</si>
  <si>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</si>
  <si>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</si>
  <si>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</si>
  <si>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</si>
  <si>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</si>
  <si>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</si>
  <si>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</si>
  <si>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</si>
  <si>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</si>
  <si>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</si>
  <si>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</si>
  <si>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</si>
  <si>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</si>
  <si>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</si>
  <si>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</si>
  <si>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</si>
  <si>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</si>
  <si>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</si>
  <si>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</si>
  <si>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</si>
  <si>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</si>
  <si>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</si>
  <si>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</si>
  <si>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</si>
  <si>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</si>
  <si>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</si>
  <si>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</si>
  <si>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</si>
  <si>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</si>
  <si>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</si>
  <si>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</si>
  <si>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</si>
  <si>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</si>
  <si>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</si>
  <si>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</si>
  <si>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</si>
  <si>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</si>
  <si>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</si>
  <si>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</si>
  <si>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</si>
  <si>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</si>
  <si>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</si>
  <si>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</si>
  <si>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</si>
  <si>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</si>
  <si>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</si>
  <si>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</si>
  <si>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</si>
  <si>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</si>
  <si>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</si>
  <si>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</si>
  <si>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</si>
  <si>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</si>
  <si>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</si>
  <si>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</si>
  <si>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</si>
  <si>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</si>
  <si>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</si>
  <si>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</si>
  <si>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</si>
  <si>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</si>
  <si>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</si>
  <si>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</si>
  <si>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</si>
  <si>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</si>
  <si>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</si>
  <si>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</si>
  <si>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</si>
  <si>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</si>
  <si>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</si>
  <si>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</si>
  <si>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</si>
  <si>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</si>
  <si>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</si>
  <si>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</si>
  <si>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</si>
  <si>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</si>
  <si>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</si>
  <si>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</si>
  <si>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</si>
  <si>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</si>
  <si>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</si>
  <si>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</si>
  <si>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</si>
  <si>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</si>
  <si>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</si>
  <si>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</si>
  <si>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</si>
  <si>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</si>
  <si>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</si>
  <si>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</si>
  <si>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</si>
  <si>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</si>
  <si>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</si>
  <si>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</si>
  <si>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</si>
  <si>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</si>
  <si>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</si>
  <si>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</si>
  <si>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</si>
  <si>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</si>
  <si>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</si>
  <si>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</si>
  <si>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</si>
  <si>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</si>
  <si>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</si>
  <si>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</si>
  <si>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</si>
  <si>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</si>
  <si>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</si>
  <si>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</si>
  <si>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</si>
  <si>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</si>
  <si>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</si>
  <si>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</si>
  <si>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</si>
  <si>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</si>
  <si>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</si>
  <si>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</si>
  <si>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</si>
  <si>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</si>
  <si>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</si>
  <si>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</si>
  <si>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</si>
  <si>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</si>
  <si>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</si>
  <si>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</si>
  <si>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</si>
  <si>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</si>
  <si>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</si>
  <si>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</si>
  <si>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</si>
  <si>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</si>
  <si>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</si>
  <si>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</si>
  <si>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</si>
  <si>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</si>
  <si>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</si>
  <si>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</si>
  <si>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</si>
  <si>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</si>
  <si>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</si>
  <si>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</si>
  <si>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</si>
  <si>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</si>
  <si>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</si>
  <si>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</si>
  <si>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</si>
  <si>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</si>
  <si>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</si>
  <si>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</si>
  <si>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</si>
  <si>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</si>
  <si>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</si>
  <si>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</si>
  <si>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</si>
  <si>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</si>
  <si>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</si>
  <si>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</si>
  <si>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</si>
  <si>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</si>
  <si>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</si>
  <si>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</si>
  <si>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</si>
  <si>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</si>
  <si>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</si>
  <si>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</si>
  <si>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</si>
  <si>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</si>
  <si>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</si>
  <si>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</si>
  <si>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</si>
  <si>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</si>
  <si>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</si>
  <si>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</si>
  <si>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</si>
  <si>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</si>
  <si>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</si>
  <si>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</si>
  <si>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</si>
  <si>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</si>
  <si>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</si>
  <si>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</si>
  <si>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</si>
  <si>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</si>
  <si>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</si>
  <si>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</si>
  <si>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</si>
  <si>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</si>
  <si>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</si>
  <si>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</si>
  <si>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</si>
  <si>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</si>
  <si>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</si>
  <si>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</si>
  <si>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</si>
  <si>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</si>
  <si>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</si>
  <si>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</si>
  <si>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</si>
  <si>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</si>
  <si>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</si>
  <si>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</si>
  <si>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</si>
  <si>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</si>
  <si>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</si>
  <si>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</si>
  <si>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</si>
  <si>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</si>
  <si>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</si>
  <si>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</si>
  <si>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</si>
  <si>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</si>
  <si>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</si>
  <si>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</si>
  <si>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</si>
  <si>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</si>
  <si>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</si>
  <si>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</si>
  <si>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</si>
  <si>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</si>
  <si>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</si>
  <si>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</si>
  <si>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</si>
  <si>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</si>
  <si>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</si>
  <si>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</si>
  <si>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</si>
  <si>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</si>
  <si>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</si>
  <si>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</si>
  <si>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</si>
  <si>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</si>
  <si>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</si>
  <si>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</si>
  <si>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</si>
  <si>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</si>
  <si>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</si>
  <si>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</si>
  <si>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</si>
  <si>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</si>
  <si>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</si>
  <si>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</si>
  <si>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</si>
  <si>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</si>
  <si>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</si>
  <si>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</si>
  <si>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</si>
  <si>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</si>
  <si>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</si>
  <si>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</si>
  <si>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</si>
  <si>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</si>
  <si>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</si>
  <si>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</si>
  <si>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</si>
  <si>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</si>
  <si>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</si>
  <si>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</si>
  <si>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</si>
  <si>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</si>
  <si>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</si>
  <si>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</si>
  <si>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</si>
  <si>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</si>
  <si>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</si>
  <si>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</si>
  <si>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</si>
  <si>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</si>
  <si>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</si>
  <si>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</si>
  <si>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</si>
  <si>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</si>
  <si>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</si>
  <si>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</si>
  <si>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</si>
  <si>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</si>
  <si>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</si>
  <si>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</si>
  <si>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</si>
  <si>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</si>
  <si>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</si>
  <si>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</si>
  <si>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</si>
  <si>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</si>
  <si>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</si>
  <si>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</si>
  <si>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</si>
  <si>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</si>
  <si>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</si>
  <si>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</si>
  <si>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</si>
  <si>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</si>
  <si>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</si>
  <si>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</si>
  <si>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</si>
  <si>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</si>
  <si>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</si>
  <si>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</si>
  <si>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</si>
  <si>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</si>
  <si>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</si>
  <si>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</si>
  <si>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</si>
  <si>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</si>
  <si>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</si>
  <si>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</si>
  <si>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</si>
  <si>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</si>
  <si>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</si>
  <si>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</si>
  <si>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</si>
  <si>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</si>
  <si>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</si>
  <si>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</si>
  <si>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</si>
  <si>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</si>
  <si>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</si>
  <si>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</si>
  <si>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</si>
  <si>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</si>
  <si>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</si>
  <si>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</si>
  <si>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</si>
  <si>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</si>
  <si>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</si>
  <si>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</si>
  <si>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</si>
  <si>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</si>
  <si>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</si>
  <si>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</si>
  <si>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</si>
  <si>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</si>
  <si>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</si>
  <si>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</si>
  <si>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</si>
  <si>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</si>
  <si>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</si>
  <si>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</si>
  <si>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</si>
  <si>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</si>
  <si>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</si>
  <si>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</si>
  <si>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</si>
  <si>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</si>
  <si>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</si>
  <si>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</si>
  <si>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</si>
  <si>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</si>
  <si>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</si>
  <si>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</si>
  <si>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</si>
  <si>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</si>
  <si>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</si>
  <si>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</si>
  <si>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</si>
  <si>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</si>
  <si>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</si>
  <si>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</si>
  <si>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</si>
  <si>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</si>
  <si>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</si>
  <si>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</si>
  <si>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</si>
  <si>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</si>
  <si>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</si>
  <si>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</si>
  <si>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</si>
  <si>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</si>
  <si>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</si>
  <si>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</si>
  <si>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</si>
  <si>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</si>
  <si>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</si>
  <si>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</si>
  <si>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</si>
  <si>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</si>
  <si>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</si>
  <si>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</si>
  <si>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</si>
  <si>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</si>
  <si>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</si>
  <si>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</si>
  <si>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</si>
  <si>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</si>
  <si>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</si>
  <si>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</si>
  <si>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</si>
  <si>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</si>
  <si>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</si>
  <si>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</si>
  <si>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</si>
  <si>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</si>
  <si>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</si>
  <si>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</si>
  <si>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</si>
  <si>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</si>
  <si>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</si>
  <si>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</si>
  <si>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</si>
  <si>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</si>
  <si>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</si>
  <si>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</si>
  <si>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</si>
  <si>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</si>
  <si>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</si>
  <si>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</si>
  <si>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</si>
  <si>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</si>
  <si>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</si>
  <si>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</si>
  <si>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</si>
  <si>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</si>
  <si>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</si>
  <si>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</si>
  <si>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</si>
  <si>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</si>
  <si>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</si>
  <si>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</si>
  <si>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</si>
  <si>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</si>
  <si>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</si>
  <si>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</si>
  <si>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</si>
  <si>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</si>
  <si>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</si>
  <si>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</si>
  <si>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</si>
  <si>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</si>
  <si>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</si>
  <si>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</si>
  <si>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</si>
  <si>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</si>
  <si>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</si>
  <si>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</si>
  <si>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</si>
  <si>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</si>
  <si>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</si>
  <si>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</si>
  <si>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</si>
  <si>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</si>
  <si>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</si>
  <si>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</si>
  <si>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</si>
  <si>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</si>
  <si>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</si>
  <si>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</si>
  <si>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</si>
  <si>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</si>
  <si>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</si>
  <si>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</si>
  <si>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</si>
  <si>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</si>
  <si>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</si>
  <si>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</si>
  <si>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</si>
  <si>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</si>
  <si>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</si>
  <si>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</si>
  <si>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</si>
  <si>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</si>
  <si>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</si>
  <si>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</si>
  <si>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</si>
  <si>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</si>
  <si>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</si>
  <si>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</si>
  <si>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</si>
  <si>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</si>
  <si>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</si>
  <si>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</si>
  <si>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</si>
  <si>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</si>
  <si>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</si>
  <si>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</si>
  <si>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</si>
  <si>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</si>
  <si>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</si>
  <si>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</si>
  <si>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</si>
  <si>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</si>
  <si>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</si>
  <si>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</si>
  <si>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</si>
  <si>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</si>
  <si>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</si>
  <si>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</si>
  <si>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</si>
  <si>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</si>
  <si>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</si>
  <si>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</si>
  <si>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</si>
  <si>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</si>
  <si>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</si>
  <si>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</si>
  <si>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</si>
  <si>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</si>
  <si>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</si>
  <si>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</si>
  <si>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</si>
  <si>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</si>
  <si>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</si>
  <si>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</si>
  <si>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</si>
  <si>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</si>
  <si>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</si>
  <si>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</si>
  <si>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</si>
  <si>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</si>
  <si>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</si>
  <si>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</si>
  <si>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</si>
  <si>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</si>
  <si>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</si>
  <si>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</si>
  <si>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</si>
  <si>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</si>
  <si>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</si>
  <si>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</si>
  <si>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</si>
  <si>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</si>
  <si>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</si>
  <si>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</si>
  <si>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</si>
  <si>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</si>
  <si>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</si>
  <si>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</si>
  <si>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</si>
  <si>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</si>
  <si>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</si>
  <si>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</si>
  <si>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</si>
  <si>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</si>
  <si>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</si>
  <si>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</si>
  <si>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</si>
  <si>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</si>
  <si>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</si>
  <si>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</si>
  <si>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</si>
  <si>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</si>
  <si>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</si>
  <si>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</si>
  <si>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</si>
  <si>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</si>
  <si>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</si>
  <si>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</si>
  <si>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</si>
  <si>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</si>
  <si>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</si>
  <si>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</si>
  <si>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</si>
  <si>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</si>
  <si>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</si>
  <si>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</si>
  <si>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</si>
  <si>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</si>
  <si>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</si>
  <si>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</si>
  <si>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</si>
  <si>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</si>
  <si>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</si>
  <si>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</si>
  <si>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</si>
  <si>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</si>
  <si>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</si>
  <si>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</si>
  <si>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</si>
  <si>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</si>
  <si>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</si>
  <si>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</si>
  <si>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</si>
  <si>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</si>
  <si>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</si>
  <si>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</si>
  <si>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</si>
  <si>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</si>
  <si>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</si>
  <si>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</si>
  <si>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</si>
  <si>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</si>
  <si>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</si>
  <si>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</si>
  <si>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</si>
  <si>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</si>
  <si>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</si>
  <si>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</si>
  <si>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</si>
  <si>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</si>
  <si>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</si>
  <si>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</si>
  <si>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</si>
  <si>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</si>
  <si>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</si>
  <si>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</si>
  <si>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</si>
  <si>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</si>
  <si>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</si>
  <si>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</si>
  <si>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</si>
  <si>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</si>
  <si>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</si>
  <si>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</si>
  <si>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</si>
  <si>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</si>
  <si>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</si>
  <si>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</si>
  <si>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</si>
  <si>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</si>
  <si>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</si>
  <si>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</si>
  <si>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</si>
  <si>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</si>
  <si>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</si>
  <si>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</si>
  <si>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</si>
  <si>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</si>
  <si>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</si>
  <si>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</si>
  <si>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</si>
  <si>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</si>
  <si>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</si>
  <si>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</si>
  <si>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</si>
  <si>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</si>
  <si>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</si>
  <si>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</si>
  <si>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</si>
  <si>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</si>
  <si>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</si>
  <si>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</si>
  <si>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</si>
  <si>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</si>
  <si>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</si>
  <si>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</si>
  <si>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</si>
  <si>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</si>
  <si>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</si>
  <si>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</si>
  <si>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</si>
  <si>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</si>
  <si>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</si>
  <si>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</si>
  <si>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</si>
  <si>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</si>
  <si>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</si>
  <si>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</si>
  <si>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</si>
  <si>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</si>
  <si>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</si>
  <si>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</si>
  <si>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</si>
  <si>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</si>
  <si>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</si>
  <si>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</si>
  <si>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</si>
  <si>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</si>
  <si>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</si>
  <si>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</si>
  <si>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</si>
  <si>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</si>
  <si>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</si>
  <si>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</si>
  <si>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</si>
  <si>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</si>
  <si>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</si>
  <si>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</si>
  <si>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</si>
  <si>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</si>
  <si>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</si>
  <si>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</si>
  <si>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</si>
  <si>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</si>
  <si>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</si>
  <si>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</si>
  <si>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</si>
  <si>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</si>
  <si>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</si>
  <si>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</si>
  <si>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</si>
  <si>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</si>
  <si>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</si>
  <si>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</si>
  <si>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</si>
  <si>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</si>
  <si>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</si>
  <si>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</si>
  <si>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</si>
  <si>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</si>
  <si>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</si>
  <si>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</si>
  <si>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</si>
  <si>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</si>
  <si>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</si>
  <si>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</si>
  <si>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</si>
  <si>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</si>
  <si>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</si>
  <si>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</si>
  <si>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</si>
  <si>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</si>
  <si>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</si>
  <si>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</si>
  <si>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</si>
  <si>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</si>
  <si>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</si>
  <si>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</si>
  <si>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</si>
  <si>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</si>
  <si>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</si>
  <si>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</si>
  <si>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</si>
  <si>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</si>
  <si>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</si>
  <si>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</si>
  <si>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</si>
  <si>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</si>
  <si>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</si>
  <si>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</si>
  <si>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</si>
  <si>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</si>
  <si>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</si>
  <si>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</si>
  <si>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</si>
  <si>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</si>
  <si>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</si>
  <si>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</si>
  <si>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</si>
  <si>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</si>
  <si>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</si>
  <si>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</si>
  <si>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</si>
  <si>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</si>
  <si>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</si>
  <si>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</si>
  <si>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</si>
  <si>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</si>
  <si>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</si>
  <si>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</si>
  <si>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</si>
  <si>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</si>
  <si>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</si>
  <si>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</si>
  <si>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</si>
  <si>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</si>
  <si>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</si>
  <si>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</si>
  <si>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</si>
  <si>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</si>
  <si>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</si>
  <si>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</si>
  <si>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</si>
  <si>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</si>
  <si>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</si>
  <si>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</si>
  <si>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</si>
  <si>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</si>
  <si>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</si>
  <si>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</si>
  <si>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</si>
  <si>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</si>
  <si>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</si>
  <si>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</si>
  <si>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</si>
  <si>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</si>
  <si>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</si>
  <si>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</si>
  <si>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</si>
  <si>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</si>
  <si>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</si>
  <si>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</si>
  <si>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</si>
  <si>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</si>
  <si>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</si>
  <si>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</si>
  <si>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</si>
  <si>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</si>
  <si>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</si>
  <si>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</si>
  <si>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</si>
  <si>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</si>
  <si>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</si>
  <si>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</si>
  <si>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</si>
  <si>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</si>
  <si>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</si>
  <si>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</si>
  <si>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</si>
  <si>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</si>
  <si>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</si>
  <si>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</si>
  <si>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</si>
  <si>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</si>
  <si>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</si>
  <si>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</si>
  <si>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</si>
  <si>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</si>
  <si>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</si>
  <si>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</si>
  <si>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</si>
  <si>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</si>
  <si>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</si>
  <si>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</si>
  <si>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</si>
  <si>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</si>
  <si>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</si>
  <si>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</si>
  <si>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</si>
  <si>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</si>
  <si>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</si>
  <si>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</si>
  <si>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</si>
  <si>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</si>
  <si>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</si>
  <si>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</si>
  <si>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</si>
  <si>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</si>
  <si>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</si>
  <si>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</si>
  <si>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</si>
  <si>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</si>
  <si>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</si>
  <si>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</si>
  <si>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</si>
  <si>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</si>
  <si>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</si>
  <si>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</si>
  <si>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</si>
  <si>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</si>
  <si>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</si>
  <si>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</si>
  <si>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</si>
  <si>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</si>
  <si>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</si>
  <si>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</si>
  <si>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</si>
  <si>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</si>
  <si>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</si>
  <si>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</si>
  <si>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</si>
  <si>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</si>
  <si>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</si>
  <si>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</si>
  <si>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</si>
  <si>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</si>
  <si>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</si>
  <si>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</si>
  <si>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</si>
  <si>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</si>
  <si>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</si>
  <si>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</si>
  <si>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</si>
  <si>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</si>
  <si>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</si>
  <si>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</si>
  <si>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</si>
  <si>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</si>
  <si>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</si>
  <si>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</si>
  <si>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</si>
  <si>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</si>
  <si>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</si>
  <si>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</si>
  <si>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</si>
  <si>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</si>
  <si>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</si>
  <si>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</si>
  <si>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</si>
  <si>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</si>
  <si>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</si>
  <si>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</si>
  <si>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</si>
  <si>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</si>
  <si>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</si>
  <si>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</si>
  <si>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</si>
  <si>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</si>
  <si>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</si>
  <si>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</si>
  <si>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</si>
  <si>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</si>
  <si>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</si>
  <si>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</si>
  <si>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</si>
  <si>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</si>
  <si>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</si>
  <si>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</si>
  <si>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</si>
  <si>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</si>
  <si>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</si>
  <si>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</si>
  <si>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</si>
  <si>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</si>
  <si>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</si>
  <si>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</si>
  <si>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</si>
  <si>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</si>
  <si>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</si>
  <si>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</si>
  <si>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</si>
  <si>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</si>
  <si>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</si>
  <si>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</si>
  <si>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</si>
  <si>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</si>
  <si>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</si>
  <si>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</si>
  <si>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</si>
  <si>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</si>
  <si>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</si>
  <si>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</si>
  <si>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</si>
  <si>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</si>
  <si>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</si>
  <si>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</si>
  <si>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</si>
  <si>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</si>
  <si>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</si>
  <si>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</si>
  <si>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</si>
  <si>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</si>
  <si>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</si>
  <si>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</si>
  <si>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</si>
  <si>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</si>
  <si>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</si>
  <si>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</si>
  <si>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</si>
  <si>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</si>
  <si>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</si>
  <si>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</si>
  <si>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</si>
  <si>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</si>
  <si>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</si>
  <si>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</si>
  <si>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</si>
  <si>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</si>
  <si>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</si>
  <si>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</si>
  <si>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</si>
  <si>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</si>
  <si>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</si>
  <si>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</si>
  <si>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</si>
  <si>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</si>
  <si>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</si>
  <si>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</si>
  <si>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</si>
  <si>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</si>
  <si>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</si>
  <si>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</si>
  <si>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</si>
  <si>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</si>
  <si>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</si>
  <si>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</si>
  <si>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</si>
  <si>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</si>
  <si>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</si>
  <si>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</si>
  <si>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</si>
  <si>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</si>
  <si>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</si>
  <si>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</si>
  <si>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</si>
  <si>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</si>
  <si>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</si>
  <si>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</si>
  <si>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</si>
  <si>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</si>
  <si>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</si>
  <si>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</si>
  <si>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</si>
  <si>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</si>
  <si>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</si>
  <si>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</si>
  <si>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</si>
  <si>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</si>
  <si>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</si>
  <si>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</si>
  <si>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</si>
  <si>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</si>
  <si>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</si>
  <si>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</si>
  <si>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</si>
  <si>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</si>
  <si>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</si>
  <si>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</si>
  <si>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</si>
  <si>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</si>
  <si>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</si>
  <si>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</si>
  <si>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</si>
  <si>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</si>
  <si>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</si>
  <si>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</si>
  <si>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</si>
  <si>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</si>
  <si>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</si>
  <si>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</si>
  <si>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</si>
  <si>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</si>
  <si>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</si>
  <si>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</si>
  <si>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</si>
  <si>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</si>
  <si>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</si>
  <si>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</si>
  <si>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</si>
  <si>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</si>
  <si>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</si>
  <si>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</si>
  <si>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</si>
  <si>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</si>
  <si>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</si>
  <si>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</si>
  <si>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</si>
  <si>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</si>
  <si>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</si>
  <si>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</si>
  <si>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</si>
  <si>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</si>
  <si>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</si>
  <si>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</si>
  <si>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</si>
  <si>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</si>
  <si>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</si>
  <si>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</si>
  <si>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</si>
  <si>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</si>
  <si>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</si>
  <si>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</si>
  <si>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</si>
  <si>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</si>
  <si>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</si>
  <si>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</si>
  <si>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</si>
  <si>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</si>
  <si>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</si>
  <si>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</si>
  <si>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</si>
  <si>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</si>
  <si>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</si>
  <si>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</si>
  <si>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</si>
  <si>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</si>
  <si>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</si>
  <si>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</si>
  <si>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</si>
  <si>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</si>
  <si>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</si>
  <si>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</si>
  <si>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</si>
  <si>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</si>
  <si>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</si>
  <si>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</si>
  <si>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</si>
  <si>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</si>
  <si>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</si>
  <si>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</si>
  <si>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</si>
  <si>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</si>
  <si>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</si>
  <si>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</si>
  <si>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</si>
  <si>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</si>
  <si>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</si>
  <si>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</si>
  <si>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</si>
  <si>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</si>
  <si>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</si>
  <si>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</si>
  <si>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</si>
  <si>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</si>
  <si>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</si>
  <si>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</si>
  <si>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</si>
  <si>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</si>
  <si>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</si>
  <si>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</si>
  <si>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</si>
  <si>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</si>
  <si>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</si>
  <si>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</si>
  <si>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</si>
  <si>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</si>
  <si>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</si>
  <si>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</si>
  <si>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</si>
  <si>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</si>
  <si>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</si>
  <si>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</si>
  <si>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</si>
  <si>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</si>
  <si>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</si>
  <si>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</si>
  <si>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</si>
  <si>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</si>
  <si>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</si>
  <si>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</si>
  <si>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</si>
  <si>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</si>
  <si>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</si>
  <si>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</si>
  <si>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</si>
  <si>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</si>
  <si>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</si>
  <si>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</si>
  <si>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</si>
  <si>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</si>
  <si>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</si>
  <si>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</si>
  <si>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</si>
  <si>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</si>
  <si>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</si>
  <si>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</si>
  <si>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</si>
  <si>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</si>
  <si>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</si>
  <si>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</si>
  <si>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</si>
  <si>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</si>
  <si>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</si>
  <si>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</si>
  <si>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</si>
  <si>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</si>
  <si>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</si>
  <si>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</si>
  <si>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</si>
  <si>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</si>
  <si>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</si>
  <si>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</si>
  <si>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</si>
  <si>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</si>
  <si>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</si>
  <si>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</si>
  <si>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</si>
  <si>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</si>
  <si>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</si>
  <si>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</si>
  <si>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</si>
  <si>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</si>
  <si>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</si>
  <si>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</si>
  <si>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</si>
  <si>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</si>
  <si>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</si>
  <si>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</si>
  <si>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</si>
  <si>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</si>
  <si>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</si>
  <si>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</si>
  <si>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</si>
  <si>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</si>
  <si>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</si>
  <si>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</si>
  <si>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</si>
  <si>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</si>
  <si>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</si>
  <si>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</si>
  <si>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</si>
  <si>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</si>
  <si>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</si>
  <si>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</si>
  <si>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</si>
  <si>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</si>
  <si>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</si>
  <si>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</si>
  <si>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</si>
  <si>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</si>
  <si>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</si>
  <si>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</si>
  <si>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</si>
  <si>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</si>
  <si>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</si>
  <si>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</si>
  <si>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</si>
  <si>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</si>
  <si>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</si>
  <si>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</si>
  <si>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</si>
  <si>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</si>
  <si>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</si>
  <si>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</si>
  <si>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</si>
  <si>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</si>
  <si>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</si>
  <si>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</si>
  <si>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</si>
  <si>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</si>
  <si>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</si>
  <si>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</si>
  <si>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</si>
  <si>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</si>
  <si>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</si>
  <si>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</si>
  <si>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</si>
  <si>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</si>
  <si>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</si>
  <si>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</si>
  <si>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</si>
  <si>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</si>
  <si>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</si>
  <si>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</si>
  <si>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</si>
  <si>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</si>
  <si>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</si>
  <si>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</si>
  <si>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</si>
  <si>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</si>
  <si>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</si>
  <si>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</si>
  <si>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</si>
  <si>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</si>
  <si>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</si>
  <si>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</si>
  <si>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</si>
  <si>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</si>
  <si>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</si>
  <si>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</si>
  <si>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</si>
  <si>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</si>
  <si>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</si>
  <si>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</si>
  <si>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</si>
  <si>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</si>
  <si>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</si>
  <si>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</si>
  <si>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</si>
  <si>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</si>
  <si>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</si>
  <si>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</si>
  <si>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</si>
  <si>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</si>
  <si>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</si>
  <si>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</si>
  <si>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</si>
  <si>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</si>
  <si>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</si>
  <si>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</si>
  <si>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</si>
  <si>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</si>
  <si>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</si>
  <si>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</si>
  <si>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</si>
  <si>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</si>
  <si>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</si>
  <si>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</si>
  <si>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</si>
  <si>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</si>
  <si>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</si>
  <si>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</si>
  <si>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</si>
  <si>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</si>
  <si>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</si>
  <si>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</si>
  <si>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</si>
  <si>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</si>
  <si>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</si>
  <si>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</si>
  <si>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</si>
  <si>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</si>
  <si>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</si>
  <si>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</si>
  <si>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</si>
  <si>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</si>
  <si>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</si>
  <si>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</si>
  <si>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</si>
  <si>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</si>
  <si>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</si>
  <si>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</si>
  <si>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</si>
  <si>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</si>
  <si>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</si>
  <si>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</si>
  <si>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</si>
  <si>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</si>
  <si>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</si>
  <si>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</si>
  <si>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</si>
  <si>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</si>
  <si>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</si>
  <si>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</si>
  <si>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</si>
  <si>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</si>
  <si>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</si>
  <si>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</si>
  <si>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</si>
  <si>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</si>
  <si>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</si>
  <si>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</si>
  <si>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</si>
  <si>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</si>
  <si>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</si>
  <si>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</si>
  <si>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</si>
  <si>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</si>
  <si>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</si>
  <si>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</si>
  <si>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</si>
  <si>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</si>
  <si>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</si>
  <si>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</si>
  <si>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</si>
  <si>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</si>
  <si>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</si>
  <si>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</si>
  <si>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</si>
  <si>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</si>
  <si>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</si>
  <si>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</si>
  <si>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</si>
  <si>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</si>
  <si>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</si>
  <si>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</si>
  <si>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</si>
  <si>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</si>
  <si>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</si>
  <si>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</si>
  <si>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</si>
  <si>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</si>
  <si>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</si>
  <si>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</si>
  <si>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</si>
  <si>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</si>
  <si>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</si>
  <si>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</si>
  <si>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</si>
  <si>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</si>
  <si>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</si>
  <si>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</si>
  <si>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</si>
  <si>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</si>
  <si>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</si>
  <si>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</si>
  <si>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</si>
  <si>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</si>
  <si>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</si>
  <si>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</si>
  <si>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</si>
  <si>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</si>
  <si>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</si>
  <si>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</si>
  <si>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</si>
  <si>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</si>
  <si>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</si>
  <si>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</si>
  <si>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</si>
  <si>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</si>
  <si>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</si>
  <si>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</si>
  <si>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</si>
  <si>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</si>
  <si>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</si>
  <si>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</si>
  <si>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</si>
  <si>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</si>
  <si>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</si>
  <si>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</si>
  <si>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</si>
  <si>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</si>
  <si>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</si>
  <si>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</si>
  <si>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</si>
  <si>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</si>
  <si>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</si>
  <si>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</si>
  <si>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</si>
  <si>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</si>
  <si>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</si>
  <si>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</si>
  <si>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</si>
  <si>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</si>
  <si>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</si>
  <si>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</si>
  <si>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</si>
  <si>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</si>
  <si>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</si>
  <si>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</si>
  <si>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</si>
  <si>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</si>
  <si>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</si>
  <si>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</si>
  <si>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</si>
  <si>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</si>
  <si>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</si>
  <si>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</si>
  <si>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</si>
  <si>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KONDUKTOR</t>
  </si>
  <si>
    <t>B2</t>
  </si>
  <si>
    <t>DS SURODADI KEC SAYUNG</t>
  </si>
  <si>
    <t>Trafo 3 Fasa 50 KVA 1 Tiang (G312-A)</t>
  </si>
  <si>
    <t>Pemasangan APP 3 Fasa Di Bangunan</t>
  </si>
  <si>
    <t>KOORDINAT : -6.939476, 110.708713</t>
  </si>
  <si>
    <t>CC7</t>
  </si>
  <si>
    <t>CE1-3</t>
  </si>
  <si>
    <t>F1-3</t>
  </si>
  <si>
    <t>CM2-12</t>
  </si>
  <si>
    <t>SUMITRO</t>
  </si>
  <si>
    <t>Daya 16.500 VA</t>
  </si>
  <si>
    <t>CG312A</t>
  </si>
  <si>
    <t>C12-350</t>
  </si>
  <si>
    <t>CM2-12A</t>
  </si>
  <si>
    <t>UNIT</t>
  </si>
  <si>
    <t>A3C 70</t>
  </si>
  <si>
    <t>LVTC 4X16</t>
  </si>
  <si>
    <t>CM5-5</t>
  </si>
  <si>
    <t>K3-169/116/1</t>
  </si>
  <si>
    <t>KDS16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</si>
</sst>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_(* #,##0.0_);_(* \(#,##0.0\);_(* &quot;-&quot;??_);_(@_)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167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167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8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49" fillId="0" borderId="0" applyFont="0" applyFill="0" applyBorder="0" applyAlignment="0" applyProtection="0"/>
    <xf numFmtId="18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206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6" fontId="38" fillId="0" borderId="3"/>
    <xf numFmtId="186" fontId="24" fillId="0" borderId="3"/>
    <xf numFmtId="164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72" fillId="0" borderId="0" applyFont="0" applyFill="0" applyBorder="0" applyAlignment="0" applyProtection="0"/>
    <xf numFmtId="188" fontId="74" fillId="0" borderId="0">
      <protection locked="0"/>
    </xf>
    <xf numFmtId="14" fontId="66" fillId="0" borderId="0" applyFill="0" applyBorder="0" applyAlignment="0"/>
    <xf numFmtId="189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90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1" fontId="79" fillId="0" borderId="0">
      <protection locked="0"/>
    </xf>
    <xf numFmtId="191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2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3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24" fillId="0" borderId="0"/>
    <xf numFmtId="193" fontId="38" fillId="0" borderId="0"/>
    <xf numFmtId="172" fontId="85" fillId="0" borderId="0"/>
    <xf numFmtId="172" fontId="86" fillId="0" borderId="0"/>
    <xf numFmtId="172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4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2" fontId="86" fillId="0" borderId="0"/>
    <xf numFmtId="0" fontId="86" fillId="0" borderId="0"/>
    <xf numFmtId="195" fontId="86" fillId="0" borderId="0"/>
    <xf numFmtId="196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5" fontId="86" fillId="0" borderId="0"/>
    <xf numFmtId="0" fontId="86" fillId="0" borderId="0"/>
    <xf numFmtId="0" fontId="38" fillId="0" borderId="0"/>
    <xf numFmtId="0" fontId="24" fillId="0" borderId="0"/>
    <xf numFmtId="182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7" fontId="86" fillId="0" borderId="0"/>
    <xf numFmtId="199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4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4" fontId="45" fillId="0" borderId="0"/>
    <xf numFmtId="194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200" fontId="38" fillId="0" borderId="0" applyFont="0" applyFill="0" applyBorder="0" applyAlignment="0" applyProtection="0"/>
    <xf numFmtId="200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6" fillId="0" borderId="0"/>
    <xf numFmtId="201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38" fillId="0" borderId="0" applyFill="0" applyBorder="0" applyAlignment="0"/>
    <xf numFmtId="203" fontId="24" fillId="0" borderId="0" applyFill="0" applyBorder="0" applyAlignment="0"/>
    <xf numFmtId="204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1" fillId="0" borderId="0"/>
    <xf numFmtId="41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41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" fillId="0" borderId="0"/>
    <xf numFmtId="41" fontId="24" fillId="0" borderId="0" applyFont="0" applyFill="0" applyBorder="0" applyAlignment="0" applyProtection="0"/>
    <xf numFmtId="0" fontId="7" fillId="0" borderId="0"/>
    <xf numFmtId="43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43" fontId="24" fillId="0" borderId="0" applyFont="0" applyFill="0" applyBorder="0" applyAlignment="0" applyProtection="0"/>
  </cellStyleXfs>
  <cellXfs count="727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165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165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165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167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9" fontId="47" fillId="0" borderId="0" xfId="714" applyFont="1" applyFill="1" applyAlignment="1">
      <alignment horizontal="center" wrapText="1"/>
    </xf>
    <xf numFmtId="169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9" fontId="47" fillId="0" borderId="21" xfId="715" applyNumberFormat="1" applyFont="1" applyFill="1" applyBorder="1" applyAlignment="1">
      <alignment horizontal="center" vertical="center" wrapText="1"/>
    </xf>
    <xf numFmtId="169" fontId="47" fillId="0" borderId="21" xfId="714" applyFont="1" applyFill="1" applyBorder="1" applyAlignment="1">
      <alignment horizontal="center" vertical="center" wrapText="1"/>
    </xf>
    <xf numFmtId="169" fontId="47" fillId="0" borderId="33" xfId="714" applyFont="1" applyFill="1" applyBorder="1" applyAlignment="1">
      <alignment horizontal="center" vertical="center" wrapText="1"/>
    </xf>
    <xf numFmtId="167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7" fontId="46" fillId="0" borderId="0" xfId="1615" applyNumberFormat="1" applyFont="1" applyAlignment="1">
      <alignment horizontal="left" vertical="center"/>
    </xf>
    <xf numFmtId="167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7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5" fontId="98" fillId="0" borderId="0" xfId="1448" applyNumberFormat="1" applyFont="1" applyAlignment="1">
      <alignment wrapText="1"/>
    </xf>
    <xf numFmtId="165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7" fillId="0" borderId="21" xfId="717" applyNumberFormat="1" applyFont="1" applyFill="1" applyBorder="1" applyAlignment="1" applyProtection="1">
      <alignment horizontal="center" vertical="center" wrapText="1"/>
    </xf>
    <xf numFmtId="165" fontId="47" fillId="0" borderId="21" xfId="1451" applyNumberFormat="1" applyFont="1" applyBorder="1" applyAlignment="1">
      <alignment horizontal="center" vertical="center" wrapText="1"/>
    </xf>
    <xf numFmtId="169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9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9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9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7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165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9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5" fillId="0" borderId="0" xfId="1538"/>
    <xf numFmtId="167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7" fontId="0" fillId="0" borderId="3" xfId="1026" applyFont="1" applyFill="1" applyBorder="1" applyProtection="1"/>
    <xf numFmtId="167" fontId="115" fillId="0" borderId="3" xfId="1538" applyNumberFormat="1" applyBorder="1"/>
    <xf numFmtId="167" fontId="143" fillId="0" borderId="3" xfId="1026" applyFont="1" applyBorder="1" applyProtection="1"/>
    <xf numFmtId="167" fontId="0" fillId="0" borderId="3" xfId="1026" applyFont="1" applyBorder="1" applyProtection="1"/>
    <xf numFmtId="167" fontId="131" fillId="0" borderId="3" xfId="1538" applyNumberFormat="1" applyFont="1" applyBorder="1"/>
    <xf numFmtId="0" fontId="64" fillId="0" borderId="3" xfId="1538" applyFont="1" applyBorder="1"/>
    <xf numFmtId="165" fontId="115" fillId="0" borderId="3" xfId="1538" applyNumberFormat="1" applyBorder="1"/>
    <xf numFmtId="167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167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167" fontId="52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7" fontId="115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167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7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165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167" fontId="144" fillId="40" borderId="85" xfId="2672" applyFont="1" applyFill="1" applyBorder="1" applyAlignment="1" applyProtection="1">
      <alignment horizontal="right" vertical="center" wrapText="1"/>
      <protection locked="0"/>
    </xf>
    <xf numFmtId="167" fontId="144" fillId="40" borderId="87" xfId="2672" applyFont="1" applyFill="1" applyBorder="1" applyAlignment="1" applyProtection="1">
      <alignment horizontal="right" vertical="center"/>
      <protection locked="0"/>
    </xf>
    <xf numFmtId="169" fontId="144" fillId="40" borderId="87" xfId="2672" applyNumberFormat="1" applyFont="1" applyFill="1" applyBorder="1" applyAlignment="1" applyProtection="1">
      <alignment horizontal="right" vertical="center"/>
      <protection locked="0"/>
    </xf>
    <xf numFmtId="169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1" xfId="0" applyNumberFormat="1" applyFont="1" applyFill="1" applyBorder="1" applyAlignment="1">
      <alignment horizontal="left" vertical="center"/>
    </xf>
    <xf numFmtId="41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7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9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0" fontId="131" fillId="48" borderId="21" xfId="1652" applyFont="1" applyFill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9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209" fontId="144" fillId="40" borderId="87" xfId="2672" applyNumberFormat="1" applyFont="1" applyFill="1" applyBorder="1" applyAlignment="1" applyProtection="1">
      <alignment horizontal="right" vertical="center"/>
      <protection locked="0"/>
    </xf>
    <xf numFmtId="209" fontId="148" fillId="36" borderId="0" xfId="2672" applyNumberFormat="1" applyFont="1" applyFill="1" applyBorder="1" applyAlignment="1" applyProtection="1">
      <alignment horizontal="right" vertical="center"/>
    </xf>
    <xf numFmtId="0" fontId="123" fillId="0" borderId="99" xfId="1450" applyFont="1" applyBorder="1" applyAlignment="1">
      <alignment horizontal="center" vertical="center"/>
    </xf>
    <xf numFmtId="49" fontId="95" fillId="33" borderId="60" xfId="0" applyNumberFormat="1" applyFont="1" applyFill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53" fillId="0" borderId="21" xfId="1614" applyFont="1" applyFill="1" applyBorder="1" applyAlignment="1">
      <alignment horizontal="center"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9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43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43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43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9" fillId="35" borderId="3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8" fontId="123" fillId="0" borderId="73" xfId="1450" applyNumberFormat="1" applyFont="1" applyBorder="1" applyAlignment="1">
      <alignment horizontal="left" vertical="center"/>
    </xf>
    <xf numFmtId="208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0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4203471" y="14461690"/>
          <a:ext cx="7031023" cy="45676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148</xdr:row>
      <xdr:rowOff>81642</xdr:rowOff>
    </xdr:from>
    <xdr:to>
      <xdr:col>12</xdr:col>
      <xdr:colOff>41108</xdr:colOff>
      <xdr:row>151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107950</xdr:rowOff>
    </xdr:from>
    <xdr:to>
      <xdr:col>11</xdr:col>
      <xdr:colOff>127000</xdr:colOff>
      <xdr:row>37</xdr:row>
      <xdr:rowOff>6350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32B82F94-84F6-4CD6-B756-485CF3EC4D60}"/>
            </a:ext>
          </a:extLst>
        </xdr:cNvPr>
        <xdr:cNvCxnSpPr>
          <a:cxnSpLocks/>
        </xdr:cNvCxnSpPr>
      </xdr:nvCxnSpPr>
      <xdr:spPr>
        <a:xfrm flipV="1">
          <a:off x="3409950" y="1339850"/>
          <a:ext cx="641350" cy="4318000"/>
        </a:xfrm>
        <a:prstGeom prst="line">
          <a:avLst/>
        </a:prstGeom>
        <a:ln w="1524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50800</xdr:colOff>
      <xdr:row>9</xdr:row>
      <xdr:rowOff>57150</xdr:rowOff>
    </xdr:from>
    <xdr:to>
      <xdr:col>11</xdr:col>
      <xdr:colOff>292100</xdr:colOff>
      <xdr:row>37</xdr:row>
      <xdr:rowOff>107950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4F43C209-E53E-4023-905A-5E7DB7F3766D}"/>
            </a:ext>
          </a:extLst>
        </xdr:cNvPr>
        <xdr:cNvCxnSpPr>
          <a:cxnSpLocks/>
        </xdr:cNvCxnSpPr>
      </xdr:nvCxnSpPr>
      <xdr:spPr>
        <a:xfrm flipV="1">
          <a:off x="3575050" y="1441450"/>
          <a:ext cx="641350" cy="4318000"/>
        </a:xfrm>
        <a:prstGeom prst="line">
          <a:avLst/>
        </a:prstGeom>
        <a:ln w="190500">
          <a:solidFill>
            <a:schemeClr val="tx2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260350</xdr:colOff>
      <xdr:row>9</xdr:row>
      <xdr:rowOff>82550</xdr:rowOff>
    </xdr:from>
    <xdr:to>
      <xdr:col>12</xdr:col>
      <xdr:colOff>101600</xdr:colOff>
      <xdr:row>37</xdr:row>
      <xdr:rowOff>133350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3784600" y="1466850"/>
          <a:ext cx="641350" cy="431800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987119" y="812772"/>
          <a:ext cx="1544523" cy="1786799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101601</xdr:colOff>
      <xdr:row>16</xdr:row>
      <xdr:rowOff>31750</xdr:rowOff>
    </xdr:from>
    <xdr:to>
      <xdr:col>17</xdr:col>
      <xdr:colOff>44451</xdr:colOff>
      <xdr:row>27</xdr:row>
      <xdr:rowOff>12700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453281">
          <a:off x="4425951" y="2489200"/>
          <a:ext cx="1943100" cy="1657350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SUMITRO</a:t>
          </a:r>
        </a:p>
      </xdr:txBody>
    </xdr:sp>
    <xdr:clientData/>
  </xdr:twoCellAnchor>
  <xdr:twoCellAnchor>
    <xdr:from>
      <xdr:col>8</xdr:col>
      <xdr:colOff>77957</xdr:colOff>
      <xdr:row>14</xdr:row>
      <xdr:rowOff>90278</xdr:rowOff>
    </xdr:from>
    <xdr:to>
      <xdr:col>9</xdr:col>
      <xdr:colOff>288761</xdr:colOff>
      <xdr:row>20</xdr:row>
      <xdr:rowOff>38100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2802107" y="2242928"/>
          <a:ext cx="610854" cy="86222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K3-169/116</a:t>
          </a:r>
        </a:p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CC1-A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CC7</a:t>
          </a:r>
        </a:p>
        <a:p>
          <a:pPr algn="l"/>
          <a:r>
            <a:rPr lang="en-US" sz="600">
              <a:solidFill>
                <a:srgbClr val="FF0000"/>
              </a:solidFill>
            </a:rPr>
            <a:t>1CM5-5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1CM2-12A</a:t>
          </a:r>
        </a:p>
      </xdr:txBody>
    </xdr:sp>
    <xdr:clientData/>
  </xdr:twoCellAnchor>
  <xdr:twoCellAnchor>
    <xdr:from>
      <xdr:col>10</xdr:col>
      <xdr:colOff>80069</xdr:colOff>
      <xdr:row>17</xdr:row>
      <xdr:rowOff>17605</xdr:rowOff>
    </xdr:from>
    <xdr:to>
      <xdr:col>10</xdr:col>
      <xdr:colOff>168435</xdr:colOff>
      <xdr:row>17</xdr:row>
      <xdr:rowOff>111744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604319" y="2627455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168435</xdr:colOff>
      <xdr:row>17</xdr:row>
      <xdr:rowOff>64675</xdr:rowOff>
    </xdr:from>
    <xdr:to>
      <xdr:col>12</xdr:col>
      <xdr:colOff>200025</xdr:colOff>
      <xdr:row>20</xdr:row>
      <xdr:rowOff>21670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8" idx="2"/>
          <a:endCxn id="191" idx="6"/>
        </xdr:cNvCxnSpPr>
      </xdr:nvCxnSpPr>
      <xdr:spPr>
        <a:xfrm flipH="1" flipV="1">
          <a:off x="3692685" y="2674525"/>
          <a:ext cx="831690" cy="41419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292100</xdr:colOff>
      <xdr:row>24</xdr:row>
      <xdr:rowOff>146050</xdr:rowOff>
    </xdr:from>
    <xdr:to>
      <xdr:col>9</xdr:col>
      <xdr:colOff>399516</xdr:colOff>
      <xdr:row>25</xdr:row>
      <xdr:rowOff>87789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3416300" y="3822700"/>
          <a:ext cx="10741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200025</xdr:colOff>
      <xdr:row>19</xdr:row>
      <xdr:rowOff>127000</xdr:rowOff>
    </xdr:from>
    <xdr:to>
      <xdr:col>12</xdr:col>
      <xdr:colOff>307441</xdr:colOff>
      <xdr:row>20</xdr:row>
      <xdr:rowOff>68739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BB423E5-22DE-415A-9736-7AAB9C8B68D6}"/>
            </a:ext>
          </a:extLst>
        </xdr:cNvPr>
        <xdr:cNvGrpSpPr/>
      </xdr:nvGrpSpPr>
      <xdr:grpSpPr>
        <a:xfrm>
          <a:off x="4524375" y="3041650"/>
          <a:ext cx="10741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D6735759-6C3D-C4BF-56D8-17A6FADB57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CAD3D8F-170A-EA70-D253-2344C48F9FF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10287F1D-655E-8215-925A-5299104B334B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279400</xdr:colOff>
      <xdr:row>9</xdr:row>
      <xdr:rowOff>38100</xdr:rowOff>
    </xdr:from>
    <xdr:to>
      <xdr:col>10</xdr:col>
      <xdr:colOff>367766</xdr:colOff>
      <xdr:row>9</xdr:row>
      <xdr:rowOff>132239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19C1CF1-3FE0-4D44-9E43-980B7D77F4FC}"/>
            </a:ext>
          </a:extLst>
        </xdr:cNvPr>
        <xdr:cNvGrpSpPr/>
      </xdr:nvGrpSpPr>
      <xdr:grpSpPr>
        <a:xfrm>
          <a:off x="3803650" y="1422400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317AAAA0-C346-FA7A-A610-EC90F99FA3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A7321DBA-6DEC-0F56-A3E8-F7F91A1EB8DD}"/>
              </a:ext>
            </a:extLst>
          </xdr:cNvPr>
          <xdr:cNvCxnSpPr>
            <a:stCxn id="42" idx="1"/>
            <a:endCxn id="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3162DFF-C2CA-C27B-0788-B024BDD55903}"/>
              </a:ext>
            </a:extLst>
          </xdr:cNvPr>
          <xdr:cNvCxnSpPr>
            <a:stCxn id="42" idx="3"/>
            <a:endCxn id="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266700</xdr:colOff>
      <xdr:row>8</xdr:row>
      <xdr:rowOff>25400</xdr:rowOff>
    </xdr:from>
    <xdr:to>
      <xdr:col>10</xdr:col>
      <xdr:colOff>355600</xdr:colOff>
      <xdr:row>28</xdr:row>
      <xdr:rowOff>76200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/>
      </xdr:nvCxnSpPr>
      <xdr:spPr>
        <a:xfrm flipV="1">
          <a:off x="3390900" y="1257300"/>
          <a:ext cx="488950" cy="31051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374650</xdr:colOff>
      <xdr:row>17</xdr:row>
      <xdr:rowOff>19050</xdr:rowOff>
    </xdr:from>
    <xdr:to>
      <xdr:col>10</xdr:col>
      <xdr:colOff>80069</xdr:colOff>
      <xdr:row>17</xdr:row>
      <xdr:rowOff>64675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F549466-6232-4833-81BD-9D3B53DA8F62}"/>
            </a:ext>
          </a:extLst>
        </xdr:cNvPr>
        <xdr:cNvCxnSpPr>
          <a:cxnSpLocks/>
          <a:stCxn id="191" idx="2"/>
        </xdr:cNvCxnSpPr>
      </xdr:nvCxnSpPr>
      <xdr:spPr>
        <a:xfrm flipH="1" flipV="1">
          <a:off x="3498850" y="2628900"/>
          <a:ext cx="105469" cy="456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319630</xdr:colOff>
      <xdr:row>40</xdr:row>
      <xdr:rowOff>107951</xdr:rowOff>
    </xdr:from>
    <xdr:to>
      <xdr:col>9</xdr:col>
      <xdr:colOff>242117</xdr:colOff>
      <xdr:row>53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8DD16D-1E87-4F4B-B9C9-01309542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830" y="6223001"/>
          <a:ext cx="2843487" cy="2127250"/>
        </a:xfrm>
        <a:prstGeom prst="rect">
          <a:avLst/>
        </a:prstGeom>
      </xdr:spPr>
    </xdr:pic>
    <xdr:clientData/>
  </xdr:twoCellAnchor>
  <xdr:twoCellAnchor>
    <xdr:from>
      <xdr:col>12</xdr:col>
      <xdr:colOff>200269</xdr:colOff>
      <xdr:row>18</xdr:row>
      <xdr:rowOff>41052</xdr:rowOff>
    </xdr:from>
    <xdr:to>
      <xdr:col>13</xdr:col>
      <xdr:colOff>76444</xdr:colOff>
      <xdr:row>19</xdr:row>
      <xdr:rowOff>47402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DE9EABA4-1EAE-4345-B213-3B0EE95CFCF2}"/>
            </a:ext>
          </a:extLst>
        </xdr:cNvPr>
        <xdr:cNvGrpSpPr/>
      </xdr:nvGrpSpPr>
      <xdr:grpSpPr>
        <a:xfrm>
          <a:off x="4524619" y="2803302"/>
          <a:ext cx="276225" cy="158750"/>
          <a:chOff x="4529992" y="2801837"/>
          <a:chExt cx="276714" cy="158750"/>
        </a:xfrm>
      </xdr:grpSpPr>
      <xdr:sp macro="" textlink="">
        <xdr:nvSpPr>
          <xdr:cNvPr id="75" name="Isosceles Triangle 74">
            <a:extLst>
              <a:ext uri="{FF2B5EF4-FFF2-40B4-BE49-F238E27FC236}">
                <a16:creationId xmlns:a16="http://schemas.microsoft.com/office/drawing/2014/main" id="{3D9459FA-1445-4DA4-B88B-3D1612AAD79E}"/>
              </a:ext>
            </a:extLst>
          </xdr:cNvPr>
          <xdr:cNvSpPr/>
        </xdr:nvSpPr>
        <xdr:spPr>
          <a:xfrm>
            <a:off x="4529992" y="2801837"/>
            <a:ext cx="142875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63">
            <a:extLst>
              <a:ext uri="{FF2B5EF4-FFF2-40B4-BE49-F238E27FC236}">
                <a16:creationId xmlns:a16="http://schemas.microsoft.com/office/drawing/2014/main" id="{A11D9E5E-1DC0-4AC0-96C1-1E3418707326}"/>
              </a:ext>
            </a:extLst>
          </xdr:cNvPr>
          <xdr:cNvSpPr/>
        </xdr:nvSpPr>
        <xdr:spPr>
          <a:xfrm>
            <a:off x="4593492" y="280818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64">
            <a:extLst>
              <a:ext uri="{FF2B5EF4-FFF2-40B4-BE49-F238E27FC236}">
                <a16:creationId xmlns:a16="http://schemas.microsoft.com/office/drawing/2014/main" id="{F96D9AC5-C29C-4A7B-9920-D1E9CE3E8AE6}"/>
              </a:ext>
            </a:extLst>
          </xdr:cNvPr>
          <xdr:cNvSpPr/>
        </xdr:nvSpPr>
        <xdr:spPr>
          <a:xfrm>
            <a:off x="4663342" y="280183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269962</xdr:colOff>
      <xdr:row>24</xdr:row>
      <xdr:rowOff>78378</xdr:rowOff>
    </xdr:from>
    <xdr:to>
      <xdr:col>15</xdr:col>
      <xdr:colOff>111037</xdr:colOff>
      <xdr:row>25</xdr:row>
      <xdr:rowOff>150222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44CDA726-9E5E-4EA0-B08B-B74FFCBD0FCD}"/>
            </a:ext>
          </a:extLst>
        </xdr:cNvPr>
        <xdr:cNvSpPr/>
      </xdr:nvSpPr>
      <xdr:spPr>
        <a:xfrm rot="453281">
          <a:off x="5394412" y="3755028"/>
          <a:ext cx="241125" cy="224244"/>
        </a:xfrm>
        <a:prstGeom prst="rect">
          <a:avLst/>
        </a:prstGeom>
        <a:solidFill>
          <a:srgbClr val="FF0000"/>
        </a:solidFill>
        <a:ln w="9525"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12</xdr:col>
      <xdr:colOff>291710</xdr:colOff>
      <xdr:row>20</xdr:row>
      <xdr:rowOff>54953</xdr:rowOff>
    </xdr:from>
    <xdr:to>
      <xdr:col>14</xdr:col>
      <xdr:colOff>271009</xdr:colOff>
      <xdr:row>25</xdr:row>
      <xdr:rowOff>22249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7B48754-D2CB-4322-8D27-6D6FA87F357F}"/>
            </a:ext>
          </a:extLst>
        </xdr:cNvPr>
        <xdr:cNvCxnSpPr>
          <a:stCxn id="166" idx="1"/>
          <a:endCxn id="38" idx="5"/>
        </xdr:cNvCxnSpPr>
      </xdr:nvCxnSpPr>
      <xdr:spPr>
        <a:xfrm flipH="1" flipV="1">
          <a:off x="4616060" y="3122003"/>
          <a:ext cx="779399" cy="72929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36724</xdr:colOff>
      <xdr:row>21</xdr:row>
      <xdr:rowOff>52515</xdr:rowOff>
    </xdr:from>
    <xdr:to>
      <xdr:col>14</xdr:col>
      <xdr:colOff>93357</xdr:colOff>
      <xdr:row>23</xdr:row>
      <xdr:rowOff>119047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F3C2C38F-9F25-499D-942D-8DE39C41A12A}"/>
            </a:ext>
          </a:extLst>
        </xdr:cNvPr>
        <xdr:cNvSpPr/>
      </xdr:nvSpPr>
      <xdr:spPr>
        <a:xfrm rot="2885550">
          <a:off x="4803800" y="3229289"/>
          <a:ext cx="371332" cy="45668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39856</xdr:colOff>
      <xdr:row>11</xdr:row>
      <xdr:rowOff>50800</xdr:rowOff>
    </xdr:from>
    <xdr:to>
      <xdr:col>13</xdr:col>
      <xdr:colOff>393699</xdr:colOff>
      <xdr:row>17</xdr:row>
      <xdr:rowOff>57151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D023CCF2-0A1C-482B-ABFF-1BE72A4F5BDC}"/>
            </a:ext>
          </a:extLst>
        </xdr:cNvPr>
        <xdr:cNvSpPr/>
      </xdr:nvSpPr>
      <xdr:spPr>
        <a:xfrm>
          <a:off x="4364206" y="1739900"/>
          <a:ext cx="753893" cy="92710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K3-169/116/1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CC7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CG312A</a:t>
          </a:r>
        </a:p>
        <a:p>
          <a:pPr algn="l"/>
          <a:r>
            <a:rPr lang="en-US" sz="600">
              <a:solidFill>
                <a:srgbClr val="FF0000"/>
              </a:solidFill>
            </a:rPr>
            <a:t>1CM2-11M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1CM2-12A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12</xdr:col>
      <xdr:colOff>307441</xdr:colOff>
      <xdr:row>20</xdr:row>
      <xdr:rowOff>21670</xdr:rowOff>
    </xdr:from>
    <xdr:to>
      <xdr:col>13</xdr:col>
      <xdr:colOff>31750</xdr:colOff>
      <xdr:row>20</xdr:row>
      <xdr:rowOff>44450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40F63ED3-3C78-4CFF-9D8E-D65F6B629956}"/>
            </a:ext>
          </a:extLst>
        </xdr:cNvPr>
        <xdr:cNvCxnSpPr>
          <a:cxnSpLocks/>
          <a:stCxn id="38" idx="6"/>
        </xdr:cNvCxnSpPr>
      </xdr:nvCxnSpPr>
      <xdr:spPr>
        <a:xfrm>
          <a:off x="4631791" y="3088720"/>
          <a:ext cx="124359" cy="22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192257</xdr:colOff>
      <xdr:row>19</xdr:row>
      <xdr:rowOff>7729</xdr:rowOff>
    </xdr:from>
    <xdr:to>
      <xdr:col>11</xdr:col>
      <xdr:colOff>76201</xdr:colOff>
      <xdr:row>20</xdr:row>
      <xdr:rowOff>6350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5086A68B-4EEB-4D1E-A654-CA8CEF26EA1F}"/>
            </a:ext>
          </a:extLst>
        </xdr:cNvPr>
        <xdr:cNvSpPr/>
      </xdr:nvSpPr>
      <xdr:spPr>
        <a:xfrm>
          <a:off x="3716507" y="2922379"/>
          <a:ext cx="283994" cy="15102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50</a:t>
          </a:r>
        </a:p>
      </xdr:txBody>
    </xdr:sp>
    <xdr:clientData/>
  </xdr:twoCellAnchor>
  <xdr:twoCellAnchor>
    <xdr:from>
      <xdr:col>12</xdr:col>
      <xdr:colOff>395457</xdr:colOff>
      <xdr:row>23</xdr:row>
      <xdr:rowOff>58529</xdr:rowOff>
    </xdr:from>
    <xdr:to>
      <xdr:col>13</xdr:col>
      <xdr:colOff>279401</xdr:colOff>
      <xdr:row>24</xdr:row>
      <xdr:rowOff>114300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94EC20C2-789C-4411-BB9A-B8073639355B}"/>
            </a:ext>
          </a:extLst>
        </xdr:cNvPr>
        <xdr:cNvSpPr/>
      </xdr:nvSpPr>
      <xdr:spPr>
        <a:xfrm>
          <a:off x="4719807" y="3582779"/>
          <a:ext cx="283994" cy="20817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55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18</xdr:col>
      <xdr:colOff>471714</xdr:colOff>
      <xdr:row>54</xdr:row>
      <xdr:rowOff>69328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EBC2F-47C8-43E7-A7CE-BAA1D0D2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286" y="1442357"/>
          <a:ext cx="10132785" cy="75804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7" t="s">
        <v>1134</v>
      </c>
      <c r="C4" s="537"/>
      <c r="D4" s="537"/>
      <c r="E4" s="537"/>
      <c r="F4" s="537"/>
      <c r="G4" s="537"/>
      <c r="H4" s="53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8" t="s">
        <v>0</v>
      </c>
      <c r="C7" s="538" t="s">
        <v>1</v>
      </c>
      <c r="D7" s="539" t="s">
        <v>42</v>
      </c>
      <c r="E7" s="539" t="s">
        <v>43</v>
      </c>
      <c r="F7" s="539" t="s">
        <v>1135</v>
      </c>
      <c r="G7" s="540" t="s">
        <v>41</v>
      </c>
      <c r="H7" s="536" t="s">
        <v>1042</v>
      </c>
      <c r="I7" s="536" t="s">
        <v>1137</v>
      </c>
      <c r="J7" s="536" t="s">
        <v>1026</v>
      </c>
      <c r="K7" s="530" t="s">
        <v>1024</v>
      </c>
      <c r="L7" s="531"/>
    </row>
    <row r="8" spans="1:12" ht="15" customHeight="1">
      <c r="B8" s="538"/>
      <c r="C8" s="538"/>
      <c r="D8" s="539"/>
      <c r="E8" s="539"/>
      <c r="F8" s="539"/>
      <c r="G8" s="540"/>
      <c r="H8" s="536"/>
      <c r="I8" s="536"/>
      <c r="J8" s="536"/>
      <c r="K8" s="532"/>
      <c r="L8" s="533"/>
    </row>
    <row r="9" spans="1:12" ht="15" customHeight="1">
      <c r="B9" s="538"/>
      <c r="C9" s="538"/>
      <c r="D9" s="539"/>
      <c r="E9" s="539"/>
      <c r="F9" s="539"/>
      <c r="G9" s="540"/>
      <c r="H9" s="536"/>
      <c r="I9" s="536"/>
      <c r="J9" s="536"/>
      <c r="K9" s="534"/>
      <c r="L9" s="53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219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 4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55</v>
      </c>
      <c r="G21" s="41">
        <f ca="1">IF(ISERROR(OFFSET('HARGA SATUAN'!$I$6,MATCH(C21,'HARGA SATUAN'!$C$7:$C$1492,0),0)),"",OFFSET('HARGA SATUAN'!$I$6,MATCH(C21,'HARGA SATUAN'!$C$7:$C$1492,0),0))</f>
        <v>13500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SUMIFS(RAB!$F$14:$F$132,RAB!$C$14:$C$132,C714)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SUMIFS(RAB!$F$14:$F$132,RAB!$C$14:$C$132,C715)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SUMIFS(RAB!$F$14:$F$132,RAB!$C$14:$C$132,C716)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SUMIFS(RAB!$F$14:$F$132,RAB!$C$14:$C$132,C717)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SUMIFS(RAB!$F$14:$F$132,RAB!$C$14:$C$132,C718)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SUMIFS(RAB!$F$14:$F$132,RAB!$C$14:$C$132,C719)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SUMIFS(RAB!$F$14:$F$132,RAB!$C$14:$C$132,C720)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SUMIFS(RAB!$F$14:$F$132,RAB!$C$14:$C$132,C721)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SUMIFS(RAB!$F$14:$F$132,RAB!$C$14:$C$132,C722)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SUMIFS(RAB!$F$14:$F$132,RAB!$C$14:$C$132,C723)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SUMIFS(RAB!$F$14:$F$132,RAB!$C$14:$C$132,C724)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SUMIFS(RAB!$F$14:$F$132,RAB!$C$14:$C$132,C725)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SUMIFS(RAB!$F$14:$F$132,RAB!$C$14:$C$132,C726)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SUMIFS(RAB!$F$14:$F$132,RAB!$C$14:$C$132,C727)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SUMIFS(RAB!$F$14:$F$132,RAB!$C$14:$C$132,C728)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SUMIFS(RAB!$F$14:$F$132,RAB!$C$14:$C$132,C729)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SUMIFS(RAB!$F$14:$F$132,RAB!$C$14:$C$132,C730)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SUMIFS(RAB!$F$14:$F$132,RAB!$C$14:$C$132,C731)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SUMIFS(RAB!$F$14:$F$132,RAB!$C$14:$C$132,C732)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SUMIFS(RAB!$F$14:$F$132,RAB!$C$14:$C$132,C733)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SUMIFS(RAB!$F$14:$F$132,RAB!$C$14:$C$132,C734)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SUMIFS(RAB!$F$14:$F$132,RAB!$C$14:$C$132,C735)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SUMIFS(RAB!$F$14:$F$132,RAB!$C$14:$C$132,C736)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SUMIFS(RAB!$F$14:$F$132,RAB!$C$14:$C$132,C737)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SUMIFS(RAB!$F$14:$F$132,RAB!$C$14:$C$132,C738)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SUMIFS(RAB!$F$14:$F$132,RAB!$C$14:$C$132,C739)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SUMIFS(RAB!$F$14:$F$132,RAB!$C$14:$C$132,C740)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SUMIFS(RAB!$F$14:$F$132,RAB!$C$14:$C$132,C741)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SUMIFS(RAB!$F$14:$F$132,RAB!$C$14:$C$132,C742)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SUMIFS(RAB!$F$14:$F$132,RAB!$C$14:$C$132,C743)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SUMIFS(RAB!$F$14:$F$132,RAB!$C$14:$C$132,C744)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SUMIFS(RAB!$F$14:$F$132,RAB!$C$14:$C$132,C745)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SUMIFS(RAB!$F$14:$F$132,RAB!$C$14:$C$132,C746)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SUMIFS(RAB!$F$14:$F$132,RAB!$C$14:$C$132,C747)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SUMIFS(RAB!$F$14:$F$132,RAB!$C$14:$C$132,C748)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SUMIFS(RAB!$F$14:$F$132,RAB!$C$14:$C$132,C749)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SUMIFS(RAB!$F$14:$F$132,RAB!$C$14:$C$132,C750)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SUMIFS(RAB!$F$14:$F$132,RAB!$C$14:$C$132,C751)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SUMIFS(RAB!$F$14:$F$132,RAB!$C$14:$C$132,C752)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SUMIFS(RAB!$F$14:$F$132,RAB!$C$14:$C$132,C753)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SUMIFS(RAB!$F$14:$F$132,RAB!$C$14:$C$132,C754)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SUMIFS(RAB!$F$14:$F$132,RAB!$C$14:$C$132,C755)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SUMIFS(RAB!$F$14:$F$132,RAB!$C$14:$C$132,C756)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SUMIFS(RAB!$F$14:$F$132,RAB!$C$14:$C$132,C757)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SUMIFS(RAB!$F$14:$F$132,RAB!$C$14:$C$132,C758)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SUMIFS(RAB!$F$14:$F$132,RAB!$C$14:$C$132,C759)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SUMIFS(RAB!$F$14:$F$132,RAB!$C$14:$C$132,C760)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SUMIFS(RAB!$F$14:$F$132,RAB!$C$14:$C$132,C761)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SUMIFS(RAB!$F$14:$F$132,RAB!$C$14:$C$132,C762)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SUMIFS(RAB!$F$14:$F$132,RAB!$C$14:$C$132,C763)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SUMIFS(RAB!$F$14:$F$132,RAB!$C$14:$C$132,C764)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SUMIFS(RAB!$F$14:$F$132,RAB!$C$14:$C$132,C765)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SUMIFS(RAB!$F$14:$F$132,RAB!$C$14:$C$132,C766)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SUMIFS(RAB!$F$14:$F$132,RAB!$C$14:$C$132,C767)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SUMIFS(RAB!$F$14:$F$132,RAB!$C$14:$C$132,C768)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SUMIFS(RAB!$F$14:$F$132,RAB!$C$14:$C$132,C769)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SUMIFS(RAB!$F$14:$F$132,RAB!$C$14:$C$132,C770)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SUMIFS(RAB!$F$14:$F$132,RAB!$C$14:$C$132,C771)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SUMIFS(RAB!$F$14:$F$132,RAB!$C$14:$C$132,C772)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SUMIFS(RAB!$F$14:$F$132,RAB!$C$14:$C$132,C773)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SUMIFS(RAB!$F$14:$F$132,RAB!$C$14:$C$132,C774)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SUMIFS(RAB!$F$14:$F$132,RAB!$C$14:$C$132,C775)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SUMIFS(RAB!$F$14:$F$132,RAB!$C$14:$C$132,C776)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SUMIFS(RAB!$F$14:$F$132,RAB!$C$14:$C$132,C777)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SUMIFS(RAB!$F$14:$F$132,RAB!$C$14:$C$132,C778)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SUMIFS(RAB!$F$14:$F$132,RAB!$C$14:$C$132,C779)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SUMIFS(RAB!$F$14:$F$132,RAB!$C$14:$C$132,C780)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SUMIFS(RAB!$F$14:$F$132,RAB!$C$14:$C$132,C781)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SUMIFS(RAB!$F$14:$F$132,RAB!$C$14:$C$132,C782)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SUMIFS(RAB!$F$14:$F$132,RAB!$C$14:$C$132,C783)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SUMIFS(RAB!$F$14:$F$132,RAB!$C$14:$C$132,C784)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SUMIFS(RAB!$F$14:$F$132,RAB!$C$14:$C$132,C785)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SUMIFS(RAB!$F$14:$F$132,RAB!$C$14:$C$132,C786)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SUMIFS(RAB!$F$14:$F$132,RAB!$C$14:$C$132,C787)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SUMIFS(RAB!$F$14:$F$132,RAB!$C$14:$C$132,C788)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SUMIFS(RAB!$F$14:$F$132,RAB!$C$14:$C$132,C789)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SUMIFS(RAB!$F$14:$F$132,RAB!$C$14:$C$132,C790)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SUMIFS(RAB!$F$14:$F$132,RAB!$C$14:$C$132,C791)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SUMIFS(RAB!$F$14:$F$132,RAB!$C$14:$C$132,C792)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SUMIFS(RAB!$F$14:$F$132,RAB!$C$14:$C$132,C793)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SUMIFS(RAB!$F$14:$F$132,RAB!$C$14:$C$132,C794)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SUMIFS(RAB!$F$14:$F$132,RAB!$C$14:$C$132,C795)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SUMIFS(RAB!$F$14:$F$132,RAB!$C$14:$C$132,C796)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SUMIFS(RAB!$F$14:$F$132,RAB!$C$14:$C$132,C797)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SUMIFS(RAB!$F$14:$F$132,RAB!$C$14:$C$132,C798)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SUMIFS(RAB!$F$14:$F$132,RAB!$C$14:$C$132,C799)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SUMIFS(RAB!$F$14:$F$132,RAB!$C$14:$C$132,C800)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SUMIFS(RAB!$F$14:$F$132,RAB!$C$14:$C$132,C801)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SUMIFS(RAB!$F$14:$F$132,RAB!$C$14:$C$132,C802)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SUMIFS(RAB!$F$14:$F$132,RAB!$C$14:$C$132,C803)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SUMIFS(RAB!$F$14:$F$132,RAB!$C$14:$C$132,C804)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SUMIFS(RAB!$F$14:$F$132,RAB!$C$14:$C$132,C805)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SUMIFS(RAB!$F$14:$F$132,RAB!$C$14:$C$132,C806)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SUMIFS(RAB!$F$14:$F$132,RAB!$C$14:$C$132,C807)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SUMIFS(RAB!$F$14:$F$132,RAB!$C$14:$C$132,C808)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SUMIFS(RAB!$F$14:$F$132,RAB!$C$14:$C$132,C809)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SUMIFS(RAB!$F$14:$F$132,RAB!$C$14:$C$132,C810)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SUMIFS(RAB!$F$14:$F$132,RAB!$C$14:$C$132,C811)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SUMIFS(RAB!$F$14:$F$132,RAB!$C$14:$C$132,C812)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SUMIFS(RAB!$F$14:$F$132,RAB!$C$14:$C$132,C813)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SUMIFS(RAB!$F$14:$F$132,RAB!$C$14:$C$132,C814)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SUMIFS(RAB!$F$14:$F$132,RAB!$C$14:$C$132,C815)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SUMIFS(RAB!$F$14:$F$132,RAB!$C$14:$C$132,C816)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SUMIFS(RAB!$F$14:$F$132,RAB!$C$14:$C$132,C817)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SUMIFS(RAB!$F$14:$F$132,RAB!$C$14:$C$132,C818)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SUMIFS(RAB!$F$14:$F$132,RAB!$C$14:$C$132,C819)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SUMIFS(RAB!$F$14:$F$132,RAB!$C$14:$C$132,C820)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SUMIFS(RAB!$F$14:$F$132,RAB!$C$14:$C$132,C821)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SUMIFS(RAB!$F$14:$F$132,RAB!$C$14:$C$132,C822)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SUMIFS(RAB!$F$14:$F$132,RAB!$C$14:$C$132,C823)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SUMIFS(RAB!$F$14:$F$132,RAB!$C$14:$C$132,C824)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SUMIFS(RAB!$F$14:$F$132,RAB!$C$14:$C$132,C825)</f>
        <v>1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SUMIFS(RAB!$F$14:$F$132,RAB!$C$14:$C$132,C826)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SUMIFS(RAB!$F$14:$F$132,RAB!$C$14:$C$132,C827)</f>
        <v>6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SUMIFS(RAB!$F$14:$F$132,RAB!$C$14:$C$132,C828)</f>
        <v>219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SUMIFS(RAB!$F$14:$F$132,RAB!$C$14:$C$132,C829)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SUMIFS(RAB!$F$14:$F$132,RAB!$C$14:$C$132,C830)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SUMIFS(RAB!$F$14:$F$132,RAB!$C$14:$C$132,C831)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SUMIFS(RAB!$F$14:$F$132,RAB!$C$14:$C$132,C832)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SUMIFS(RAB!$F$14:$F$132,RAB!$C$14:$C$132,C833)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SUMIFS(RAB!$F$14:$F$132,RAB!$C$14:$C$132,C834)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SUMIFS(RAB!$F$14:$F$132,RAB!$C$14:$C$132,C835)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SUMIFS(RAB!$F$14:$F$132,RAB!$C$14:$C$132,C836)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SUMIFS(RAB!$F$14:$F$132,RAB!$C$14:$C$132,C837)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SUMIFS(RAB!$F$14:$F$132,RAB!$C$14:$C$132,C838)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SUMIFS(RAB!$F$14:$F$132,RAB!$C$14:$C$132,C839)</f>
        <v>55</v>
      </c>
      <c r="E839" s="26">
        <f t="shared" ca="1" si="34"/>
        <v>1</v>
      </c>
      <c r="F839" s="26">
        <f ca="1">IF(D839=0,0,SUM($E$713:E839))</f>
        <v>10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SUMIFS(RAB!$F$14:$F$132,RAB!$C$14:$C$132,C840)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SUMIFS(RAB!$F$14:$F$132,RAB!$C$14:$C$132,C841)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SUMIFS(RAB!$F$14:$F$132,RAB!$C$14:$C$132,C842)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SUMIFS(RAB!$F$14:$F$132,RAB!$C$14:$C$132,C843)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SUMIFS(RAB!$F$14:$F$132,RAB!$C$14:$C$132,C844)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SUMIFS(RAB!$F$14:$F$132,RAB!$C$14:$C$132,C845)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SUMIFS(RAB!$F$14:$F$132,RAB!$C$14:$C$132,C846)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SUMIFS(RAB!$F$14:$F$132,RAB!$C$14:$C$132,C847)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SUMIFS(RAB!$F$14:$F$132,RAB!$C$14:$C$132,C848)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SUMIFS(RAB!$F$14:$F$132,RAB!$C$14:$C$132,C849)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SUMIFS(RAB!$F$14:$F$132,RAB!$C$14:$C$132,C850)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SUMIFS(RAB!$F$14:$F$132,RAB!$C$14:$C$132,C851)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SUMIFS(RAB!$F$14:$F$132,RAB!$C$14:$C$132,C852)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SUMIFS(RAB!$F$14:$F$132,RAB!$C$14:$C$132,C853)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SUMIFS(RAB!$F$14:$F$132,RAB!$C$14:$C$132,C854)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SUMIFS(RAB!$F$14:$F$132,RAB!$C$14:$C$132,C855)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SUMIFS(RAB!$F$14:$F$132,RAB!$C$14:$C$132,C856)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SUMIFS(RAB!$F$14:$F$132,RAB!$C$14:$C$132,C857)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SUMIFS(RAB!$F$14:$F$132,RAB!$C$14:$C$132,C858)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SUMIFS(RAB!$F$14:$F$132,RAB!$C$14:$C$132,C859)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SUMIFS(RAB!$F$14:$F$132,RAB!$C$14:$C$132,C860)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SUMIFS(RAB!$F$14:$F$132,RAB!$C$14:$C$132,C861)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SUMIFS(RAB!$F$14:$F$132,RAB!$C$14:$C$132,C862)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SUMIFS(RAB!$F$14:$F$132,RAB!$C$14:$C$132,C863)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SUMIFS(RAB!$F$14:$F$132,RAB!$C$14:$C$132,C864)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SUMIFS(RAB!$F$14:$F$132,RAB!$C$14:$C$132,C865)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SUMIFS(RAB!$F$14:$F$132,RAB!$C$14:$C$132,C866)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SUMIFS(RAB!$F$14:$F$132,RAB!$C$14:$C$132,C867)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SUMIFS(RAB!$F$14:$F$132,RAB!$C$14:$C$132,C868)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SUMIFS(RAB!$F$14:$F$132,RAB!$C$14:$C$132,C869)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SUMIFS(RAB!$F$14:$F$132,RAB!$C$14:$C$132,C870)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SUMIFS(RAB!$F$14:$F$132,RAB!$C$14:$C$132,C871)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SUMIFS(RAB!$F$14:$F$132,RAB!$C$14:$C$132,C872)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SUMIFS(RAB!$F$14:$F$132,RAB!$C$14:$C$132,C873)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SUMIFS(RAB!$F$14:$F$132,RAB!$C$14:$C$132,C874)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SUMIFS(RAB!$F$14:$F$132,RAB!$C$14:$C$132,C875)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SUMIFS(RAB!$F$14:$F$132,RAB!$C$14:$C$132,C876)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SUMIFS(RAB!$F$14:$F$132,RAB!$C$14:$C$132,C877)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SUMIFS(RAB!$F$14:$F$132,RAB!$C$14:$C$132,C878)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SUMIFS(RAB!$F$14:$F$132,RAB!$C$14:$C$132,C879)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SUMIFS(RAB!$F$14:$F$132,RAB!$C$14:$C$132,C880)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SUMIFS(RAB!$F$14:$F$132,RAB!$C$14:$C$132,C881)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SUMIFS(RAB!$F$14:$F$132,RAB!$C$14:$C$132,C882)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SUMIFS(RAB!$F$14:$F$132,RAB!$C$14:$C$132,C883)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SUMIFS(RAB!$F$14:$F$132,RAB!$C$14:$C$132,C884)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SUMIFS(RAB!$F$14:$F$132,RAB!$C$14:$C$132,C885)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SUMIFS(RAB!$F$14:$F$132,RAB!$C$14:$C$132,C886)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SUMIFS(RAB!$F$14:$F$132,RAB!$C$14:$C$132,C887)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SUMIFS(RAB!$F$14:$F$132,RAB!$C$14:$C$132,C888)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SUMIFS(RAB!$F$14:$F$132,RAB!$C$14:$C$132,C889)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SUMIFS(RAB!$F$14:$F$132,RAB!$C$14:$C$132,C890)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SUMIFS(RAB!$F$14:$F$132,RAB!$C$14:$C$132,C891)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SUMIFS(RAB!$F$14:$F$132,RAB!$C$14:$C$132,C892)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SUMIFS(RAB!$F$14:$F$132,RAB!$C$14:$C$132,C893)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SUMIFS(RAB!$F$14:$F$132,RAB!$C$14:$C$132,C894)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SUMIFS(RAB!$F$14:$F$132,RAB!$C$14:$C$132,C895)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SUMIFS(RAB!$F$14:$F$132,RAB!$C$14:$C$132,C896)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SUMIFS(RAB!$F$14:$F$132,RAB!$C$14:$C$132,C897)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SUMIFS(RAB!$F$14:$F$132,RAB!$C$14:$C$132,C898)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SUMIFS(RAB!$F$14:$F$132,RAB!$C$14:$C$132,C899)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SUMIFS(RAB!$F$14:$F$132,RAB!$C$14:$C$132,C900)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SUMIFS(RAB!$F$14:$F$132,RAB!$C$14:$C$132,C901)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SUMIFS(RAB!$F$14:$F$132,RAB!$C$14:$C$132,C902)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SUMIFS(RAB!$F$14:$F$132,RAB!$C$14:$C$132,C903)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SUMIFS(RAB!$F$14:$F$132,RAB!$C$14:$C$132,C904)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SUMIFS(RAB!$F$14:$F$132,RAB!$C$14:$C$132,C905)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SUMIFS(RAB!$F$14:$F$132,RAB!$C$14:$C$132,C906)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SUMIFS(RAB!$F$14:$F$132,RAB!$C$14:$C$132,C907)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SUMIFS(RAB!$F$14:$F$132,RAB!$C$14:$C$132,C908)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SUMIFS(RAB!$F$14:$F$132,RAB!$C$14:$C$132,C909)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SUMIFS(RAB!$F$14:$F$132,RAB!$C$14:$C$132,C910)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SUMIFS(RAB!$F$14:$F$132,RAB!$C$14:$C$132,C911)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SUMIFS(RAB!$F$14:$F$132,RAB!$C$14:$C$132,C912)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SUMIFS(RAB!$F$14:$F$132,RAB!$C$14:$C$132,C913)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SUMIFS(RAB!$F$14:$F$132,RAB!$C$14:$C$132,C914)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SUMIFS(RAB!$F$14:$F$132,RAB!$C$14:$C$132,C915)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SUMIFS(RAB!$F$14:$F$132,RAB!$C$14:$C$132,C916)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SUMIFS(RAB!$F$14:$F$132,RAB!$C$14:$C$132,C917)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SUMIFS(RAB!$F$14:$F$132,RAB!$C$14:$C$132,C918)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SUMIFS(RAB!$F$14:$F$132,RAB!$C$14:$C$132,C919)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SUMIFS(RAB!$F$14:$F$132,RAB!$C$14:$C$132,C920)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SUMIFS(RAB!$F$14:$F$132,RAB!$C$14:$C$132,C921)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SUMIFS(RAB!$F$14:$F$132,RAB!$C$14:$C$132,C922)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SUMIFS(RAB!$F$14:$F$132,RAB!$C$14:$C$132,C923)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SUMIFS(RAB!$F$14:$F$132,RAB!$C$14:$C$132,C924)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SUMIFS(RAB!$F$14:$F$132,RAB!$C$14:$C$132,C925)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SUMIFS(RAB!$F$14:$F$132,RAB!$C$14:$C$132,C926)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SUMIFS(RAB!$F$14:$F$132,RAB!$C$14:$C$132,C927)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SUMIFS(RAB!$F$14:$F$132,RAB!$C$14:$C$132,C928)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SUMIFS(RAB!$F$14:$F$132,RAB!$C$14:$C$132,C929)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SUMIFS(RAB!$F$14:$F$132,RAB!$C$14:$C$132,C930)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SUMIFS(RAB!$F$14:$F$132,RAB!$C$14:$C$132,C931)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SUMIFS(RAB!$F$14:$F$132,RAB!$C$14:$C$132,C932)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SUMIFS(RAB!$F$14:$F$132,RAB!$C$14:$C$132,C933)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SUMIFS(RAB!$F$14:$F$132,RAB!$C$14:$C$132,C934)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SUMIFS(RAB!$F$14:$F$132,RAB!$C$14:$C$132,C935)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SUMIFS(RAB!$F$14:$F$132,RAB!$C$14:$C$132,C936)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SUMIFS(RAB!$F$14:$F$132,RAB!$C$14:$C$132,C937)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SUMIFS(RAB!$F$14:$F$132,RAB!$C$14:$C$132,C938)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SUMIFS(RAB!$F$14:$F$132,RAB!$C$14:$C$132,C939)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SUMIFS(RAB!$F$14:$F$132,RAB!$C$14:$C$132,C940)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SUMIFS(RAB!$F$14:$F$132,RAB!$C$14:$C$132,C941)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SUMIFS(RAB!$F$14:$F$132,RAB!$C$14:$C$132,C942)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SUMIFS(RAB!$F$14:$F$132,RAB!$C$14:$C$132,C943)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SUMIFS(RAB!$F$14:$F$132,RAB!$C$14:$C$132,C944)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SUMIFS(RAB!$F$14:$F$132,RAB!$C$14:$C$132,C945)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SUMIFS(RAB!$F$14:$F$132,RAB!$C$14:$C$132,C946)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SUMIFS(RAB!$F$14:$F$132,RAB!$C$14:$C$132,C947)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SUMIFS(RAB!$F$14:$F$132,RAB!$C$14:$C$132,C948)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SUMIFS(RAB!$F$14:$F$132,RAB!$C$14:$C$132,C949)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SUMIFS(RAB!$F$14:$F$132,RAB!$C$14:$C$132,C950)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SUMIFS(RAB!$F$14:$F$132,RAB!$C$14:$C$132,C951)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SUMIFS(RAB!$F$14:$F$132,RAB!$C$14:$C$132,C952)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SUMIFS(RAB!$F$14:$F$132,RAB!$C$14:$C$132,C953)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SUMIFS(RAB!$F$14:$F$132,RAB!$C$14:$C$132,C954)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SUMIFS(RAB!$F$14:$F$132,RAB!$C$14:$C$132,C955)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SUMIFS(RAB!$F$14:$F$132,RAB!$C$14:$C$132,C956)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SUMIFS(RAB!$F$14:$F$132,RAB!$C$14:$C$132,C957)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SUMIFS(RAB!$F$14:$F$132,RAB!$C$14:$C$132,C958)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SUMIFS(RAB!$F$14:$F$132,RAB!$C$14:$C$132,C959)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SUMIFS(RAB!$F$14:$F$132,RAB!$C$14:$C$132,C960)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SUMIFS(RAB!$F$14:$F$132,RAB!$C$14:$C$132,C961)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SUMIFS(RAB!$F$14:$F$132,RAB!$C$14:$C$132,C962)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SUMIFS(RAB!$F$14:$F$132,RAB!$C$14:$C$132,C963)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SUMIFS(RAB!$F$14:$F$132,RAB!$C$14:$C$132,C964)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SUMIFS(RAB!$F$14:$F$132,RAB!$C$14:$C$132,C965)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SUMIFS(RAB!$F$14:$F$132,RAB!$C$14:$C$132,C966)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SUMIFS(RAB!$F$14:$F$132,RAB!$C$14:$C$132,C967)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SUMIFS(RAB!$F$14:$F$132,RAB!$C$14:$C$132,C968)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SUMIFS(RAB!$F$14:$F$132,RAB!$C$14:$C$132,C969)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SUMIFS(RAB!$F$14:$F$132,RAB!$C$14:$C$132,C970)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SUMIFS(RAB!$F$14:$F$132,RAB!$C$14:$C$132,C971)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SUMIFS(RAB!$F$14:$F$132,RAB!$C$14:$C$132,C972)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SUMIFS(RAB!$F$14:$F$132,RAB!$C$14:$C$132,C973)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SUMIFS(RAB!$F$14:$F$132,RAB!$C$14:$C$132,C974)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SUMIFS(RAB!$F$14:$F$132,RAB!$C$14:$C$132,C975)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SUMIFS(RAB!$F$14:$F$132,RAB!$C$14:$C$132,C976)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SUMIFS(RAB!$F$14:$F$132,RAB!$C$14:$C$132,C977)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SUMIFS(RAB!$F$14:$F$132,RAB!$C$14:$C$132,C978)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SUMIFS(RAB!$F$14:$F$132,RAB!$C$14:$C$132,C979)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SUMIFS(RAB!$F$14:$F$132,RAB!$C$14:$C$132,C980)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SUMIFS(RAB!$F$14:$F$132,RAB!$C$14:$C$132,C981)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SUMIFS(RAB!$F$14:$F$132,RAB!$C$14:$C$132,C982)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SUMIFS(RAB!$F$14:$F$132,RAB!$C$14:$C$132,C983)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SUMIFS(RAB!$F$14:$F$132,RAB!$C$14:$C$132,C984)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SUMIFS(RAB!$F$14:$F$132,RAB!$C$14:$C$132,C985)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SUMIFS(RAB!$F$14:$F$132,RAB!$C$14:$C$132,C986)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SUMIFS(RAB!$F$14:$F$132,RAB!$C$14:$C$132,C987)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SUMIFS(RAB!$F$14:$F$132,RAB!$C$14:$C$132,C988)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SUMIFS(RAB!$F$14:$F$132,RAB!$C$14:$C$132,C989)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SUMIFS(RAB!$F$14:$F$132,RAB!$C$14:$C$132,C990)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SUMIFS(RAB!$F$14:$F$132,RAB!$C$14:$C$132,C991)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SUMIFS(RAB!$F$14:$F$132,RAB!$C$14:$C$132,C992)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SUMIFS(RAB!$F$14:$F$132,RAB!$C$14:$C$132,C993)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SUMIFS(RAB!$F$14:$F$132,RAB!$C$14:$C$132,C994)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SUMIFS(RAB!$F$14:$F$132,RAB!$C$14:$C$132,C995)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SUMIFS(RAB!$F$14:$F$132,RAB!$C$14:$C$132,C996)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SUMIFS(RAB!$F$14:$F$132,RAB!$C$14:$C$132,C997)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SUMIFS(RAB!$F$14:$F$132,RAB!$C$14:$C$132,C998)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SUMIFS(RAB!$F$14:$F$132,RAB!$C$14:$C$132,C999)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SUMIFS(RAB!$F$14:$F$132,RAB!$C$14:$C$132,C1000)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SUMIFS(RAB!$F$14:$F$132,RAB!$C$14:$C$132,C1001)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SUMIFS(RAB!$F$14:$F$132,RAB!$C$14:$C$132,C1002)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SUMIFS(RAB!$F$14:$F$132,RAB!$C$14:$C$132,C1003)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SUMIFS(RAB!$F$14:$F$132,RAB!$C$14:$C$132,C1004)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SUMIFS(RAB!$F$14:$F$132,RAB!$C$14:$C$132,C1005)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SUMIFS(RAB!$F$14:$F$132,RAB!$C$14:$C$132,C1006)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SUMIFS(RAB!$F$14:$F$132,RAB!$C$14:$C$132,C1007)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SUMIFS(RAB!$F$14:$F$132,RAB!$C$14:$C$132,C1008)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SUMIFS(RAB!$F$14:$F$132,RAB!$C$14:$C$132,C1009)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SUMIFS(RAB!$F$14:$F$132,RAB!$C$14:$C$132,C1010)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SUMIFS(RAB!$F$14:$F$132,RAB!$C$14:$C$132,C1011)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SUMIFS(RAB!$F$14:$F$132,RAB!$C$14:$C$132,C1012)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SUMIFS(RAB!$F$14:$F$132,RAB!$C$14:$C$132,C1013)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SUMIFS(RAB!$F$14:$F$132,RAB!$C$14:$C$132,C1014)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SUMIFS(RAB!$F$14:$F$132,RAB!$C$14:$C$132,C1015)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SUMIFS(RAB!$F$14:$F$132,RAB!$C$14:$C$132,C1016)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SUMIFS(RAB!$F$14:$F$132,RAB!$C$14:$C$132,C1017)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SUMIFS(RAB!$F$14:$F$132,RAB!$C$14:$C$132,C1018)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SUMIFS(RAB!$F$14:$F$132,RAB!$C$14:$C$132,C1019)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SUMIFS(RAB!$F$14:$F$132,RAB!$C$14:$C$132,C1020)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SUMIFS(RAB!$F$14:$F$132,RAB!$C$14:$C$132,C1021)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SUMIFS(RAB!$F$14:$F$132,RAB!$C$14:$C$132,C1022)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SUMIFS(RAB!$F$14:$F$132,RAB!$C$14:$C$132,C1023)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SUMIFS(RAB!$F$14:$F$132,RAB!$C$14:$C$132,C1024)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SUMIFS(RAB!$F$14:$F$132,RAB!$C$14:$C$132,C1025)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SUMIFS(RAB!$F$14:$F$132,RAB!$C$14:$C$132,C1026)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SUMIFS(RAB!$F$14:$F$132,RAB!$C$14:$C$132,C1027)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SUMIFS(RAB!$F$14:$F$132,RAB!$C$14:$C$132,C1028)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SUMIFS(RAB!$F$14:$F$132,RAB!$C$14:$C$132,C1029)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SUMIFS(RAB!$F$14:$F$132,RAB!$C$14:$C$132,C1030)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SUMIFS(RAB!$F$14:$F$132,RAB!$C$14:$C$132,C1031)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SUMIFS(RAB!$F$14:$F$132,RAB!$C$14:$C$132,C1032)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SUMIFS(RAB!$F$14:$F$132,RAB!$C$14:$C$132,C1033)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SUMIFS(RAB!$F$14:$F$132,RAB!$C$14:$C$132,C1034)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SUMIFS(RAB!$F$14:$F$132,RAB!$C$14:$C$132,C1035)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SUMIFS(RAB!$F$14:$F$132,RAB!$C$14:$C$132,C1036)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SUMIFS(RAB!$F$14:$F$132,RAB!$C$14:$C$132,C1037)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SUMIFS(RAB!$F$14:$F$132,RAB!$C$14:$C$132,C1038)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SUMIFS(RAB!$F$14:$F$132,RAB!$C$14:$C$132,C1039)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SUMIFS(RAB!$F$14:$F$132,RAB!$C$14:$C$132,C1040)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SUMIFS(RAB!$F$14:$F$132,RAB!$C$14:$C$132,C1041)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SUMIFS(RAB!$F$14:$F$132,RAB!$C$14:$C$132,C1042)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SUMIFS(RAB!$F$14:$F$132,RAB!$C$14:$C$132,C1043)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SUMIFS(RAB!$F$14:$F$132,RAB!$C$14:$C$132,C1044)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SUMIFS(RAB!$F$14:$F$132,RAB!$C$14:$C$132,C1045)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SUMIFS(RAB!$F$14:$F$132,RAB!$C$14:$C$132,C1046)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SUMIFS(RAB!$F$14:$F$132,RAB!$C$14:$C$132,C1047)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SUMIFS(RAB!$F$14:$F$132,RAB!$C$14:$C$132,C1048)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SUMIFS(RAB!$F$14:$F$132,RAB!$C$14:$C$132,C1049)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SUMIFS(RAB!$F$14:$F$132,RAB!$C$14:$C$132,C1050)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SUMIFS(RAB!$F$14:$F$132,RAB!$C$14:$C$132,C1051)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SUMIFS(RAB!$F$14:$F$132,RAB!$C$14:$C$132,C1052)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SUMIFS(RAB!$F$14:$F$132,RAB!$C$14:$C$132,C1053)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SUMIFS(RAB!$F$14:$F$132,RAB!$C$14:$C$132,C1054)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SUMIFS(RAB!$F$14:$F$132,RAB!$C$14:$C$132,C1055)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SUMIFS(RAB!$F$14:$F$132,RAB!$C$14:$C$132,C1056)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SUMIFS(RAB!$F$14:$F$132,RAB!$C$14:$C$132,C1057)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SUMIFS(RAB!$F$14:$F$132,RAB!$C$14:$C$132,C1058)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SUMIFS(RAB!$F$14:$F$132,RAB!$C$14:$C$132,C1059)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SUMIFS(RAB!$F$14:$F$132,RAB!$C$14:$C$132,C1060)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SUMIFS(RAB!$F$14:$F$132,RAB!$C$14:$C$132,C1061)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SUMIFS(RAB!$F$14:$F$132,RAB!$C$14:$C$132,C1062)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SUMIFS(RAB!$F$14:$F$132,RAB!$C$14:$C$132,C1063)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SUMIFS(RAB!$F$14:$F$132,RAB!$C$14:$C$132,C1064)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SUMIFS(RAB!$F$14:$F$132,RAB!$C$14:$C$132,C1065)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SUMIFS(RAB!$F$14:$F$132,RAB!$C$14:$C$132,C1066)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SUMIFS(RAB!$F$14:$F$132,RAB!$C$14:$C$132,C1067)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SUMIFS(RAB!$F$14:$F$132,RAB!$C$14:$C$132,C1068)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SUMIFS(RAB!$F$14:$F$132,RAB!$C$14:$C$132,C1069)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SUMIFS(RAB!$F$14:$F$132,RAB!$C$14:$C$132,C1070)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SUMIFS(RAB!$F$14:$F$132,RAB!$C$14:$C$132,C1071)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SUMIFS(RAB!$F$14:$F$132,RAB!$C$14:$C$132,C1072)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SUMIFS(RAB!$F$14:$F$132,RAB!$C$14:$C$132,C1073)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SUMIFS(RAB!$F$14:$F$132,RAB!$C$14:$C$132,C1074)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SUMIFS(RAB!$F$14:$F$132,RAB!$C$14:$C$132,C1075)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SUMIFS(RAB!$F$14:$F$132,RAB!$C$14:$C$132,C1076)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SUMIFS(RAB!$F$14:$F$132,RAB!$C$14:$C$132,C1077)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SUMIFS(RAB!$F$14:$F$132,RAB!$C$14:$C$132,C1078)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SUMIFS(RAB!$F$14:$F$132,RAB!$C$14:$C$132,C1079)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SUMIFS(RAB!$F$14:$F$132,RAB!$C$14:$C$132,C1080)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SUMIFS(RAB!$F$14:$F$132,RAB!$C$14:$C$132,C1081)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SUMIFS(RAB!$F$14:$F$132,RAB!$C$14:$C$132,C1082)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SUMIFS(RAB!$F$14:$F$132,RAB!$C$14:$C$132,C1083)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SUMIFS(RAB!$F$14:$F$132,RAB!$C$14:$C$132,C1084)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SUMIFS(RAB!$F$14:$F$132,RAB!$C$14:$C$132,C1085)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SUMIFS(RAB!$F$14:$F$132,RAB!$C$14:$C$132,C1086)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SUMIFS(RAB!$F$14:$F$132,RAB!$C$14:$C$132,C1087)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SUMIFS(RAB!$F$14:$F$132,RAB!$C$14:$C$132,C1088)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SUMIFS(RAB!$F$14:$F$132,RAB!$C$14:$C$132,C1089)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SUMIFS(RAB!$F$14:$F$132,RAB!$C$14:$C$132,C1090)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SUMIFS(RAB!$F$14:$F$132,RAB!$C$14:$C$132,C1091)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SUMIFS(RAB!$F$14:$F$132,RAB!$C$14:$C$132,C1092)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SUMIFS(RAB!$F$14:$F$132,RAB!$C$14:$C$132,C1093)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SUMIFS(RAB!$F$14:$F$132,RAB!$C$14:$C$132,C1094)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SUMIFS(RAB!$F$14:$F$132,RAB!$C$14:$C$132,C1095)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SUMIFS(RAB!$F$14:$F$132,RAB!$C$14:$C$132,C1096)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SUMIFS(RAB!$F$14:$F$132,RAB!$C$14:$C$132,C1097)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SUMIFS(RAB!$F$14:$F$132,RAB!$C$14:$C$132,C1098)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SUMIFS(RAB!$F$14:$F$132,RAB!$C$14:$C$132,C1099)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SUMIFS(RAB!$F$14:$F$132,RAB!$C$14:$C$132,C1100)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SUMIFS(RAB!$F$14:$F$132,RAB!$C$14:$C$132,C1101)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SUMIFS(RAB!$F$14:$F$132,RAB!$C$14:$C$132,C1102)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SUMIFS(RAB!$F$14:$F$132,RAB!$C$14:$C$132,C1103)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SUMIFS(RAB!$F$14:$F$132,RAB!$C$14:$C$132,C1104)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SUMIFS(RAB!$F$14:$F$132,RAB!$C$14:$C$132,C1105)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SUMIFS(RAB!$F$14:$F$132,RAB!$C$14:$C$132,C1106)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SUMIFS(RAB!$F$14:$F$132,RAB!$C$14:$C$132,C1107)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SUMIFS(RAB!$F$14:$F$132,RAB!$C$14:$C$132,C1108)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SUMIFS(RAB!$F$14:$F$132,RAB!$C$14:$C$132,C1109)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SUMIFS(RAB!$F$14:$F$132,RAB!$C$14:$C$132,C1110)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SUMIFS(RAB!$F$14:$F$132,RAB!$C$14:$C$132,C1111)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SUMIFS(RAB!$F$14:$F$132,RAB!$C$14:$C$132,C1112)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SUMIFS(RAB!$F$14:$F$132,RAB!$C$14:$C$132,C1113)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SUMIFS(RAB!$F$14:$F$132,RAB!$C$14:$C$132,C1114)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SUMIFS(RAB!$F$14:$F$132,RAB!$C$14:$C$132,C1115)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SUMIFS(RAB!$F$14:$F$132,RAB!$C$14:$C$132,C1116)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SUMIFS(RAB!$F$14:$F$132,RAB!$C$14:$C$132,C1117)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SUMIFS(RAB!$F$14:$F$132,RAB!$C$14:$C$132,C1118)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SUMIFS(RAB!$F$14:$F$132,RAB!$C$14:$C$132,C1119)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SUMIFS(RAB!$F$14:$F$132,RAB!$C$14:$C$132,C1120)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SUMIFS(RAB!$F$14:$F$132,RAB!$C$14:$C$132,C1121)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SUMIFS(RAB!$F$14:$F$132,RAB!$C$14:$C$132,C1122)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SUMIFS(RAB!$F$14:$F$132,RAB!$C$14:$C$132,C1123)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SUMIFS(RAB!$F$14:$F$132,RAB!$C$14:$C$132,C1124)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SUMIFS(RAB!$F$14:$F$132,RAB!$C$14:$C$132,C1125)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SUMIFS(RAB!$F$14:$F$132,RAB!$C$14:$C$132,C1126)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SUMIFS(RAB!$F$14:$F$132,RAB!$C$14:$C$132,C1127)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SUMIFS(RAB!$F$14:$F$132,RAB!$C$14:$C$132,C1128)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SUMIFS(RAB!$F$14:$F$132,RAB!$C$14:$C$132,C1129)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SUMIFS(RAB!$F$14:$F$132,RAB!$C$14:$C$132,C1130)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SUMIFS(RAB!$F$14:$F$132,RAB!$C$14:$C$132,C1131)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SUMIFS(RAB!$F$14:$F$132,RAB!$C$14:$C$132,C1132)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SUMIFS(RAB!$F$14:$F$132,RAB!$C$14:$C$132,C1133)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SUMIFS(RAB!$F$14:$F$132,RAB!$C$14:$C$132,C1134)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SUMIFS(RAB!$F$14:$F$132,RAB!$C$14:$C$132,C1135)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SUMIFS(RAB!$F$14:$F$132,RAB!$C$14:$C$132,C1136)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SUMIFS(RAB!$F$14:$F$132,RAB!$C$14:$C$132,C1137)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SUMIFS(RAB!$F$14:$F$132,RAB!$C$14:$C$132,C1138)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SUMIFS(RAB!$F$14:$F$132,RAB!$C$14:$C$132,C1139)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SUMIFS(RAB!$F$14:$F$132,RAB!$C$14:$C$132,C1140)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SUMIFS(RAB!$F$14:$F$132,RAB!$C$14:$C$132,C1141)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SUMIFS(RAB!$F$14:$F$132,RAB!$C$14:$C$132,C1142)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SUMIFS(RAB!$F$14:$F$132,RAB!$C$14:$C$132,C1143)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SUMIFS(RAB!$F$14:$F$132,RAB!$C$14:$C$132,C1144)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SUMIFS(RAB!$F$14:$F$132,RAB!$C$14:$C$132,C1145)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SUMIFS(RAB!$F$14:$F$132,RAB!$C$14:$C$132,C1146)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SUMIFS(RAB!$F$14:$F$132,RAB!$C$14:$C$132,C1147)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SUMIFS(RAB!$F$14:$F$132,RAB!$C$14:$C$132,C1148)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SUMIFS(RAB!$F$14:$F$132,RAB!$C$14:$C$132,C1149)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SUMIFS(RAB!$F$14:$F$132,RAB!$C$14:$C$132,C1150)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SUMIFS(RAB!$F$14:$F$132,RAB!$C$14:$C$132,C1151)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SUMIFS(RAB!$F$14:$F$132,RAB!$C$14:$C$132,C1152)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SUMIFS(RAB!$F$14:$F$132,RAB!$C$14:$C$132,C1153)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SUMIFS(RAB!$F$14:$F$132,RAB!$C$14:$C$132,C1154)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SUMIFS(RAB!$F$14:$F$132,RAB!$C$14:$C$132,C1155)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SUMIFS(RAB!$F$14:$F$132,RAB!$C$14:$C$132,C1156)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SUMIFS(RAB!$F$14:$F$132,RAB!$C$14:$C$132,C1157)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SUMIFS(RAB!$F$14:$F$132,RAB!$C$14:$C$132,C1158)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SUMIFS(RAB!$F$14:$F$132,RAB!$C$14:$C$132,C1159)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SUMIFS(RAB!$F$14:$F$132,RAB!$C$14:$C$132,C1160)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SUMIFS(RAB!$F$14:$F$132,RAB!$C$14:$C$132,C1161)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SUMIFS(RAB!$F$14:$F$132,RAB!$C$14:$C$132,C1162)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SUMIFS(RAB!$F$14:$F$132,RAB!$C$14:$C$132,C1163)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SUMIFS(RAB!$F$14:$F$132,RAB!$C$14:$C$132,C1164)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SUMIFS(RAB!$F$14:$F$132,RAB!$C$14:$C$132,C1165)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SUMIFS(RAB!$F$14:$F$132,RAB!$C$14:$C$132,C1166)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SUMIFS(RAB!$F$14:$F$132,RAB!$C$14:$C$132,C1167)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SUMIFS(RAB!$F$14:$F$132,RAB!$C$14:$C$132,C1168)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SUMIFS(RAB!$F$14:$F$132,RAB!$C$14:$C$132,C1169)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SUMIFS(RAB!$F$14:$F$132,RAB!$C$14:$C$132,C1170)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SUMIFS(RAB!$F$14:$F$132,RAB!$C$14:$C$132,C1171)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SUMIFS(RAB!$F$14:$F$132,RAB!$C$14:$C$132,C1172)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SUMIFS(RAB!$F$14:$F$132,RAB!$C$14:$C$132,C1173)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SUMIFS(RAB!$F$14:$F$132,RAB!$C$14:$C$132,C1174)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SUMIFS(RAB!$F$14:$F$132,RAB!$C$14:$C$132,C1175)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SUMIFS(RAB!$F$14:$F$132,RAB!$C$14:$C$132,C1176)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SUMIFS(RAB!$F$14:$F$132,RAB!$C$14:$C$132,C1177)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SUMIFS(RAB!$F$14:$F$132,RAB!$C$14:$C$132,C1178)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SUMIFS(RAB!$F$14:$F$132,RAB!$C$14:$C$132,C1179)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SUMIFS(RAB!$F$14:$F$132,RAB!$C$14:$C$132,C1180)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SUMIFS(RAB!$F$14:$F$132,RAB!$C$14:$C$132,C1181)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SUMIFS(RAB!$F$14:$F$132,RAB!$C$14:$C$132,C1182)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SUMIFS(RAB!$F$14:$F$132,RAB!$C$14:$C$132,C1183)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SUMIFS(RAB!$F$14:$F$132,RAB!$C$14:$C$132,C1184)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SUMIFS(RAB!$F$14:$F$132,RAB!$C$14:$C$132,C1185)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SUMIFS(RAB!$F$14:$F$132,RAB!$C$14:$C$132,C1186)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SUMIFS(RAB!$F$14:$F$132,RAB!$C$14:$C$132,C1187)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SUMIFS(RAB!$F$14:$F$132,RAB!$C$14:$C$132,C1188)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SUMIFS(RAB!$F$14:$F$132,RAB!$C$14:$C$132,C1189)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SUMIFS(RAB!$F$14:$F$132,RAB!$C$14:$C$132,C1190)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SUMIFS(RAB!$F$14:$F$132,RAB!$C$14:$C$132,C1191)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SUMIFS(RAB!$F$14:$F$132,RAB!$C$14:$C$132,C1192)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SUMIFS(RAB!$F$14:$F$132,RAB!$C$14:$C$132,C1193)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SUMIFS(RAB!$F$14:$F$132,RAB!$C$14:$C$132,C1194)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SUMIFS(RAB!$F$14:$F$132,RAB!$C$14:$C$132,C1195)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SUMIFS(RAB!$F$14:$F$132,RAB!$C$14:$C$132,C1196)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SUMIFS(RAB!$F$14:$F$132,RAB!$C$14:$C$132,C1197)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SUMIFS(RAB!$F$14:$F$132,RAB!$C$14:$C$132,C1198)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SUMIFS(RAB!$F$14:$F$132,RAB!$C$14:$C$132,C1199)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SUMIFS(RAB!$F$14:$F$132,RAB!$C$14:$C$132,C1200)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SUMIFS(RAB!$F$14:$F$132,RAB!$C$14:$C$132,C1201)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SUMIFS(RAB!$F$14:$F$132,RAB!$C$14:$C$132,C1202)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SUMIFS(RAB!$F$14:$F$132,RAB!$C$14:$C$132,C1203)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SUMIFS(RAB!$F$14:$F$132,RAB!$C$14:$C$132,C1204)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SUMIFS(RAB!$F$14:$F$132,RAB!$C$14:$C$132,C1205)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SUMIFS(RAB!$F$14:$F$132,RAB!$C$14:$C$132,C1206)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SUMIFS(RAB!$F$14:$F$132,RAB!$C$14:$C$132,C1207)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SUMIFS(RAB!$F$14:$F$132,RAB!$C$14:$C$132,C1208)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SUMIFS(RAB!$F$14:$F$132,RAB!$C$14:$C$132,C1209)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SUMIFS(RAB!$F$14:$F$132,RAB!$C$14:$C$132,C1210)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SUMIFS(RAB!$F$14:$F$132,RAB!$C$14:$C$132,C1211)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SUMIFS(RAB!$F$14:$F$132,RAB!$C$14:$C$132,C1212)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SUMIFS(RAB!$F$14:$F$132,RAB!$C$14:$C$132,C1213)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SUMIFS(RAB!$F$14:$F$132,RAB!$C$14:$C$132,C1214)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SUMIFS(RAB!$F$14:$F$132,RAB!$C$14:$C$132,C1215)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SUMIFS(RAB!$F$14:$F$132,RAB!$C$14:$C$132,C1216)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SUMIFS(RAB!$F$14:$F$132,RAB!$C$14:$C$132,C1217)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SUMIFS(RAB!$F$14:$F$132,RAB!$C$14:$C$132,C1218)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SUMIFS(RAB!$F$14:$F$132,RAB!$C$14:$C$132,C1219)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SUMIFS(RAB!$F$14:$F$132,RAB!$C$14:$C$132,C1220)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SUMIFS(RAB!$F$14:$F$132,RAB!$C$14:$C$132,C1221)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SUMIFS(RAB!$F$14:$F$132,RAB!$C$14:$C$132,C1222)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SUMIFS(RAB!$F$14:$F$132,RAB!$C$14:$C$132,C1223)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SUMIFS(RAB!$F$14:$F$132,RAB!$C$14:$C$132,C1224)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SUMIFS(RAB!$F$14:$F$132,RAB!$C$14:$C$132,C1225)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SUMIFS(RAB!$F$14:$F$132,RAB!$C$14:$C$132,C1226)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SUMIFS(RAB!$F$14:$F$132,RAB!$C$14:$C$132,C1227)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SUMIFS(RAB!$F$14:$F$132,RAB!$C$14:$C$132,C1228)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SUMIFS(RAB!$F$14:$F$132,RAB!$C$14:$C$132,C1229)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SUMIFS(RAB!$F$14:$F$132,RAB!$C$14:$C$132,C1230)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SUMIFS(RAB!$F$14:$F$132,RAB!$C$14:$C$132,C1231)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SUMIFS(RAB!$F$14:$F$132,RAB!$C$14:$C$132,C1232)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SUMIFS(RAB!$F$14:$F$132,RAB!$C$14:$C$132,C1233)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SUMIFS(RAB!$F$14:$F$132,RAB!$C$14:$C$132,C1234)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SUMIFS(RAB!$F$14:$F$132,RAB!$C$14:$C$132,C1235)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SUMIFS(RAB!$F$14:$F$132,RAB!$C$14:$C$132,C1236)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SUMIFS(RAB!$F$14:$F$132,RAB!$C$14:$C$132,C1237)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SUMIFS(RAB!$F$14:$F$132,RAB!$C$14:$C$132,C1238)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SUMIFS(RAB!$F$14:$F$132,RAB!$C$14:$C$132,C1239)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SUMIFS(RAB!$F$14:$F$132,RAB!$C$14:$C$132,C1240)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SUMIFS(RAB!$F$14:$F$132,RAB!$C$14:$C$132,C1241)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SUMIFS(RAB!$F$14:$F$132,RAB!$C$14:$C$132,C1242)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SUMIFS(RAB!$F$14:$F$132,RAB!$C$14:$C$132,C1243)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SUMIFS(RAB!$F$14:$F$132,RAB!$C$14:$C$132,C1244)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SUMIFS(RAB!$F$14:$F$132,RAB!$C$14:$C$132,C1245)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SUMIFS(RAB!$F$14:$F$132,RAB!$C$14:$C$132,C1246)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SUMIFS(RAB!$F$14:$F$132,RAB!$C$14:$C$132,C1247)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SUMIFS(RAB!$F$14:$F$132,RAB!$C$14:$C$132,C1248)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SUMIFS(RAB!$F$14:$F$132,RAB!$C$14:$C$132,C1249)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SUMIFS(RAB!$F$14:$F$132,RAB!$C$14:$C$132,C1250)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SUMIFS(RAB!$F$14:$F$132,RAB!$C$14:$C$132,C1251)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SUMIFS(RAB!$F$14:$F$132,RAB!$C$14:$C$132,C1252)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SUMIFS(RAB!$F$14:$F$132,RAB!$C$14:$C$132,C1253)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SUMIFS(RAB!$F$14:$F$132,RAB!$C$14:$C$132,C1254)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SUMIFS(RAB!$F$14:$F$132,RAB!$C$14:$C$132,C1255)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SUMIFS(RAB!$F$14:$F$132,RAB!$C$14:$C$132,C1256)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SUMIFS(RAB!$F$14:$F$132,RAB!$C$14:$C$132,C1257)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SUMIFS(RAB!$F$14:$F$132,RAB!$C$14:$C$132,C1258)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SUMIFS(RAB!$F$14:$F$132,RAB!$C$14:$C$132,C1259)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SUMIFS(RAB!$F$14:$F$132,RAB!$C$14:$C$132,C1260)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SUMIFS(RAB!$F$14:$F$132,RAB!$C$14:$C$132,C1261)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SUMIFS(RAB!$F$14:$F$132,RAB!$C$14:$C$132,C1262)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SUMIFS(RAB!$F$14:$F$132,RAB!$C$14:$C$132,C1263)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SUMIFS(RAB!$F$14:$F$132,RAB!$C$14:$C$132,C1264)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SUMIFS(RAB!$F$14:$F$132,RAB!$C$14:$C$132,C1265)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SUMIFS(RAB!$F$14:$F$132,RAB!$C$14:$C$132,C1266)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SUMIFS(RAB!$F$14:$F$132,RAB!$C$14:$C$132,C1267)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SUMIFS(RAB!$F$14:$F$132,RAB!$C$14:$C$132,C1268)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SUMIFS(RAB!$F$14:$F$132,RAB!$C$14:$C$132,C1269)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SUMIFS(RAB!$F$14:$F$132,RAB!$C$14:$C$132,C1270)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SUMIFS(RAB!$F$14:$F$132,RAB!$C$14:$C$132,C1271)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SUMIFS(RAB!$F$14:$F$132,RAB!$C$14:$C$132,C1272)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SUMIFS(RAB!$F$14:$F$132,RAB!$C$14:$C$132,C1273)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SUMIFS(RAB!$F$14:$F$132,RAB!$C$14:$C$132,C1274)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SUMIFS(RAB!$F$14:$F$132,RAB!$C$14:$C$132,C1275)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SUMIFS(RAB!$F$14:$F$132,RAB!$C$14:$C$132,C1276)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SUMIFS(RAB!$F$14:$F$132,RAB!$C$14:$C$132,C1277)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SUMIFS(RAB!$F$14:$F$132,RAB!$C$14:$C$132,C1278)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SUMIFS(RAB!$F$14:$F$132,RAB!$C$14:$C$132,C1279)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SUMIFS(RAB!$F$14:$F$132,RAB!$C$14:$C$132,C1280)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SUMIFS(RAB!$F$14:$F$132,RAB!$C$14:$C$132,C1281)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SUMIFS(RAB!$F$14:$F$132,RAB!$C$14:$C$132,C1282)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SUMIFS(RAB!$F$14:$F$132,RAB!$C$14:$C$132,C1283)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SUMIFS(RAB!$F$14:$F$132,RAB!$C$14:$C$132,C1284)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SUMIFS(RAB!$F$14:$F$132,RAB!$C$14:$C$132,C1285)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SUMIFS(RAB!$F$14:$F$132,RAB!$C$14:$C$132,C1286)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SUMIFS(RAB!$F$14:$F$132,RAB!$C$14:$C$132,C1287)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SUMIFS(RAB!$F$14:$F$132,RAB!$C$14:$C$132,C1288)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SUMIFS(RAB!$F$14:$F$132,RAB!$C$14:$C$132,C1289)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SUMIFS(RAB!$F$14:$F$132,RAB!$C$14:$C$132,C1290)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SUMIFS(RAB!$F$14:$F$132,RAB!$C$14:$C$132,C1291)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SUMIFS(RAB!$F$14:$F$132,RAB!$C$14:$C$132,C1292)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SUMIFS(RAB!$F$14:$F$132,RAB!$C$14:$C$132,C1293)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SUMIFS(RAB!$F$14:$F$132,RAB!$C$14:$C$132,C1294)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SUMIFS(RAB!$F$14:$F$132,RAB!$C$14:$C$132,C1295)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SUMIFS(RAB!$F$14:$F$132,RAB!$C$14:$C$132,C1296)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SUMIFS(RAB!$F$14:$F$132,RAB!$C$14:$C$132,C1297)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SUMIFS(RAB!$F$14:$F$132,RAB!$C$14:$C$132,C1298)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SUMIFS(RAB!$F$14:$F$132,RAB!$C$14:$C$132,C1299)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SUMIFS(RAB!$F$14:$F$132,RAB!$C$14:$C$132,C1300)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SUMIFS(RAB!$F$14:$F$132,RAB!$C$14:$C$132,C1301)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SUMIFS(RAB!$F$14:$F$132,RAB!$C$14:$C$132,C1302)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SUMIFS(RAB!$F$14:$F$132,RAB!$C$14:$C$132,C1303)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SUMIFS(RAB!$F$14:$F$132,RAB!$C$14:$C$132,C1304)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SUMIFS(RAB!$F$14:$F$132,RAB!$C$14:$C$132,C1305)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SUMIFS(RAB!$F$14:$F$132,RAB!$C$14:$C$132,C1306)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SUMIFS(RAB!$F$14:$F$132,RAB!$C$14:$C$132,C1307)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SUMIFS(RAB!$F$14:$F$132,RAB!$C$14:$C$132,C1308)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SUMIFS(RAB!$F$14:$F$132,RAB!$C$14:$C$132,C1309)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SUMIFS(RAB!$F$14:$F$132,RAB!$C$14:$C$132,C1310)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SUMIFS(RAB!$F$14:$F$132,RAB!$C$14:$C$132,C1311)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SUMIFS(RAB!$F$14:$F$132,RAB!$C$14:$C$132,C1312)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SUMIFS(RAB!$F$14:$F$132,RAB!$C$14:$C$132,C1313)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SUMIFS(RAB!$F$14:$F$132,RAB!$C$14:$C$132,C1314)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SUMIFS(RAB!$F$14:$F$132,RAB!$C$14:$C$132,C1315)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SUMIFS(RAB!$F$14:$F$132,RAB!$C$14:$C$132,C1316)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SUMIFS(RAB!$F$14:$F$132,RAB!$C$14:$C$132,C1317)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SUMIFS(RAB!$F$14:$F$132,RAB!$C$14:$C$132,C1318)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SUMIFS(RAB!$F$14:$F$132,RAB!$C$14:$C$132,C1319)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SUMIFS(RAB!$F$14:$F$132,RAB!$C$14:$C$132,C1320)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2" priority="5" operator="equal">
      <formula>0</formula>
    </cfRule>
  </conditionalFormatting>
  <conditionalFormatting sqref="A10:L65536">
    <cfRule type="cellIs" dxfId="71" priority="1" operator="equal">
      <formula>0</formula>
    </cfRule>
  </conditionalFormatting>
  <conditionalFormatting sqref="C12:C711">
    <cfRule type="cellIs" dxfId="70" priority="66" stopIfTrue="1" operator="equal">
      <formula>0</formula>
    </cfRule>
  </conditionalFormatting>
  <conditionalFormatting sqref="E712:E65536">
    <cfRule type="cellIs" dxfId="69" priority="16" stopIfTrue="1" operator="equal">
      <formula>0</formula>
    </cfRule>
  </conditionalFormatting>
  <conditionalFormatting sqref="G1:G11 E6:E11 E1:E3 H7 H10:H11 F10:F711 G712:G65536">
    <cfRule type="cellIs" dxfId="68" priority="69" stopIfTrue="1" operator="equal">
      <formula>0</formula>
    </cfRule>
  </conditionalFormatting>
  <conditionalFormatting sqref="G12:H711">
    <cfRule type="cellIs" dxfId="67" priority="12" stopIfTrue="1" operator="equal">
      <formula>0</formula>
    </cfRule>
  </conditionalFormatting>
  <conditionalFormatting sqref="I7:K7">
    <cfRule type="cellIs" dxfId="66" priority="4" stopIfTrue="1" operator="equal">
      <formula>0</formula>
    </cfRule>
  </conditionalFormatting>
  <conditionalFormatting sqref="I10:L711">
    <cfRule type="cellIs" dxfId="65" priority="2" stopIfTrue="1" operator="equal">
      <formula>0</formula>
    </cfRule>
  </conditionalFormatting>
  <conditionalFormatting sqref="L1:L6">
    <cfRule type="cellIs" dxfId="64" priority="10" operator="equal">
      <formula>0</formula>
    </cfRule>
  </conditionalFormatting>
  <conditionalFormatting sqref="M1:IV1048576 A8:G9">
    <cfRule type="cellIs" dxfId="6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5" t="str">
        <f>RAB!G6</f>
        <v>SUMITRO</v>
      </c>
      <c r="H6" s="565"/>
      <c r="I6" s="565"/>
      <c r="J6" s="565"/>
      <c r="K6" s="56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9" t="s">
        <v>41</v>
      </c>
      <c r="H11" s="547" t="s">
        <v>3</v>
      </c>
      <c r="I11" s="547"/>
      <c r="J11" s="547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48"/>
      <c r="E12" s="548"/>
      <c r="F12" s="548"/>
      <c r="G12" s="550"/>
      <c r="H12" s="556" t="s">
        <v>46</v>
      </c>
      <c r="I12" s="556" t="s">
        <v>5</v>
      </c>
      <c r="J12" s="548" t="s">
        <v>47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48"/>
      <c r="E13" s="548"/>
      <c r="F13" s="548"/>
      <c r="G13" s="551"/>
      <c r="H13" s="557"/>
      <c r="I13" s="557"/>
      <c r="J13" s="548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6" t="s">
        <v>1008</v>
      </c>
      <c r="D38" s="566"/>
      <c r="E38" s="566"/>
      <c r="F38" s="566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67" t="s">
        <v>462</v>
      </c>
      <c r="D39" s="567"/>
      <c r="E39" s="567"/>
      <c r="F39" s="567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58" t="s">
        <v>463</v>
      </c>
      <c r="D40" s="558"/>
      <c r="E40" s="558"/>
      <c r="F40" s="558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59" t="e">
        <f ca="1">"Terbilang : ( "&amp;L42&amp;" Rupiah )"</f>
        <v>#NAME?</v>
      </c>
      <c r="C41" s="560"/>
      <c r="D41" s="560"/>
      <c r="E41" s="560"/>
      <c r="F41" s="560"/>
      <c r="G41" s="560"/>
      <c r="H41" s="560"/>
      <c r="I41" s="560"/>
      <c r="J41" s="560"/>
      <c r="K41" s="561"/>
      <c r="L41" s="44"/>
      <c r="R41" s="58"/>
      <c r="S41" s="58"/>
      <c r="T41" s="58"/>
    </row>
    <row r="42" spans="1:20" s="36" customFormat="1">
      <c r="A42" s="30"/>
      <c r="B42" s="562"/>
      <c r="C42" s="563"/>
      <c r="D42" s="563"/>
      <c r="E42" s="563"/>
      <c r="F42" s="563"/>
      <c r="G42" s="563"/>
      <c r="H42" s="563"/>
      <c r="I42" s="563"/>
      <c r="J42" s="563"/>
      <c r="K42" s="564"/>
      <c r="L42" s="62" t="e">
        <f ca="1">PROPER([91]!terbilang(K40))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3"/>
      <c r="I45" s="553"/>
      <c r="J45" s="554"/>
      <c r="K45" s="55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3"/>
      <c r="I46" s="553"/>
      <c r="J46" s="554"/>
      <c r="K46" s="55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3"/>
      <c r="I47" s="553"/>
      <c r="J47" s="554"/>
      <c r="K47" s="55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3"/>
      <c r="I52" s="553"/>
      <c r="J52" s="554"/>
      <c r="K52" s="55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SUMIFS(RAB!$F$14:$F$132,RAB!$C$14:$C$132,'REKAP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SUMIFS(RAB!$F$14:$F$132,RAB!$C$14:$C$132,'REKAP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SUMIFS(RAB!$F$14:$F$132,RAB!$C$14:$C$132,'REKAP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SUMIFS(RAB!$F$14:$F$132,RAB!$C$14:$C$132,'REKAP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SUMIFS(RAB!$F$14:$F$132,RAB!$C$14:$C$132,'REKAP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SUMIFS(RAB!$F$14:$F$132,RAB!$C$14:$C$132,'REKAP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SUMIFS(RAB!$F$14:$F$132,RAB!$C$14:$C$132,'REKAP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SUMIFS(RAB!$F$14:$F$132,RAB!$C$14:$C$132,'REKAP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SUMIFS(RAB!$F$14:$F$132,RAB!$C$14:$C$132,'REKAP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SUMIFS(RAB!$F$14:$F$132,RAB!$C$14:$C$132,'REKAP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SUMIFS(RAB!$F$14:$F$132,RAB!$C$14:$C$132,'REKAP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SUMIFS(RAB!$F$14:$F$132,RAB!$C$14:$C$132,'REKAP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SUMIFS(RAB!$F$14:$F$132,RAB!$C$14:$C$132,'REKAP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SUMIFS(RAB!$F$14:$F$132,RAB!$C$14:$C$132,'REKAP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SUMIFS(RAB!$F$14:$F$132,RAB!$C$14:$C$132,'REKAP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SUMIFS(RAB!$F$14:$F$132,RAB!$C$14:$C$132,'REKAP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SUMIFS(RAB!$F$14:$F$132,RAB!$C$14:$C$132,'REKAP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SUMIFS(RAB!$F$14:$F$132,RAB!$C$14:$C$132,'REKAP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SUMIFS(RAB!$F$14:$F$132,RAB!$C$14:$C$132,'REKAP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SUMIFS(RAB!$F$14:$F$132,RAB!$C$14:$C$132,'REKAP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5" t="str">
        <f>RAB!G6</f>
        <v>SUMITRO</v>
      </c>
      <c r="H6" s="565"/>
      <c r="I6" s="565"/>
      <c r="J6" s="565"/>
      <c r="K6" s="56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9" t="s">
        <v>41</v>
      </c>
      <c r="H11" s="547" t="s">
        <v>3</v>
      </c>
      <c r="I11" s="547"/>
      <c r="J11" s="547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48"/>
      <c r="E12" s="548"/>
      <c r="F12" s="548"/>
      <c r="G12" s="550"/>
      <c r="H12" s="556" t="s">
        <v>46</v>
      </c>
      <c r="I12" s="556" t="s">
        <v>5</v>
      </c>
      <c r="J12" s="548" t="s">
        <v>47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48"/>
      <c r="E13" s="548"/>
      <c r="F13" s="548"/>
      <c r="G13" s="551"/>
      <c r="H13" s="557"/>
      <c r="I13" s="557"/>
      <c r="J13" s="548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176900</v>
      </c>
      <c r="I21" s="42">
        <f t="shared" ca="1" si="2"/>
        <v>0</v>
      </c>
      <c r="J21" s="42">
        <f t="shared" ca="1" si="3"/>
        <v>0</v>
      </c>
      <c r="K21" s="43">
        <f t="shared" ca="1" si="0"/>
        <v>176900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1234200</v>
      </c>
      <c r="I22" s="42">
        <f t="shared" ca="1" si="2"/>
        <v>0</v>
      </c>
      <c r="J22" s="42">
        <f t="shared" ca="1" si="3"/>
        <v>0</v>
      </c>
      <c r="K22" s="43">
        <f t="shared" ca="1" si="0"/>
        <v>1234200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219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3109800</v>
      </c>
      <c r="I23" s="42">
        <f t="shared" ca="1" si="2"/>
        <v>0</v>
      </c>
      <c r="J23" s="42">
        <f t="shared" ca="1" si="3"/>
        <v>0</v>
      </c>
      <c r="K23" s="43">
        <f t="shared" ca="1" si="0"/>
        <v>3109800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 4 x 16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55</v>
      </c>
      <c r="G25" s="41">
        <f ca="1">IF(ISERROR(OFFSET('HARGA SATUAN'!$I$6,MATCH(C25,'HARGA SATUAN'!$C$7:$C$1492,0),0)),"",OFFSET('HARGA SATUAN'!$I$6,MATCH(C25,'HARGA SATUAN'!$C$7:$C$1492,0),0))</f>
        <v>13500</v>
      </c>
      <c r="H25" s="42">
        <f t="shared" ca="1" si="1"/>
        <v>742500</v>
      </c>
      <c r="I25" s="42">
        <f t="shared" ca="1" si="2"/>
        <v>0</v>
      </c>
      <c r="J25" s="42">
        <f t="shared" ca="1" si="3"/>
        <v>0</v>
      </c>
      <c r="K25" s="43">
        <f t="shared" ca="1" si="0"/>
        <v>742500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6" t="s">
        <v>1008</v>
      </c>
      <c r="D168" s="566"/>
      <c r="E168" s="566"/>
      <c r="F168" s="566"/>
      <c r="G168" s="77" t="s">
        <v>9</v>
      </c>
      <c r="H168" s="55">
        <f ca="1">SUM(H14:H167)</f>
        <v>57898850</v>
      </c>
      <c r="I168" s="55">
        <f ca="1">SUM(I14:I167)</f>
        <v>0</v>
      </c>
      <c r="J168" s="55">
        <f ca="1">SUM(J14:J167)</f>
        <v>0</v>
      </c>
      <c r="K168" s="55">
        <f ca="1">SUM(K14:K167)</f>
        <v>57898850</v>
      </c>
      <c r="L168" s="44"/>
      <c r="R168" s="99"/>
      <c r="S168" s="99"/>
      <c r="T168" s="99"/>
    </row>
    <row r="169" spans="1:20" s="36" customFormat="1">
      <c r="A169" s="30"/>
      <c r="B169" s="56"/>
      <c r="C169" s="567" t="s">
        <v>462</v>
      </c>
      <c r="D169" s="567"/>
      <c r="E169" s="567"/>
      <c r="F169" s="567"/>
      <c r="G169" s="59" t="s">
        <v>9</v>
      </c>
      <c r="H169" s="60">
        <f ca="1">H168*0.1</f>
        <v>5789885</v>
      </c>
      <c r="I169" s="60">
        <f ca="1">I168*0.1</f>
        <v>0</v>
      </c>
      <c r="J169" s="60">
        <f ca="1">J168*0.1</f>
        <v>0</v>
      </c>
      <c r="K169" s="60">
        <f ca="1">K168*0.1</f>
        <v>5789885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58" t="s">
        <v>463</v>
      </c>
      <c r="D170" s="558"/>
      <c r="E170" s="558"/>
      <c r="F170" s="558"/>
      <c r="G170" s="61" t="s">
        <v>9</v>
      </c>
      <c r="H170" s="78">
        <f ca="1">SUM(H168:H169)</f>
        <v>63688735</v>
      </c>
      <c r="I170" s="78">
        <f ca="1">SUM(I168:I169)</f>
        <v>0</v>
      </c>
      <c r="J170" s="61">
        <f ca="1">SUM(J168:J169)</f>
        <v>0</v>
      </c>
      <c r="K170" s="61">
        <f ca="1">SUM(K168:K169)</f>
        <v>63688735</v>
      </c>
      <c r="L170" s="44"/>
      <c r="R170" s="99"/>
      <c r="S170" s="99"/>
      <c r="T170" s="99"/>
    </row>
    <row r="171" spans="1:20" s="36" customFormat="1">
      <c r="A171" s="30"/>
      <c r="B171" s="559" t="e">
        <f ca="1">"Terbilang : ( "&amp;L172&amp;" Rupiah )"</f>
        <v>#NAME?</v>
      </c>
      <c r="C171" s="560"/>
      <c r="D171" s="560"/>
      <c r="E171" s="560"/>
      <c r="F171" s="560"/>
      <c r="G171" s="560"/>
      <c r="H171" s="560"/>
      <c r="I171" s="560"/>
      <c r="J171" s="560"/>
      <c r="K171" s="561"/>
      <c r="L171" s="44"/>
      <c r="R171" s="58"/>
      <c r="S171" s="58"/>
      <c r="T171" s="58"/>
    </row>
    <row r="172" spans="1:20" s="36" customFormat="1">
      <c r="A172" s="30"/>
      <c r="B172" s="562"/>
      <c r="C172" s="563"/>
      <c r="D172" s="563"/>
      <c r="E172" s="563"/>
      <c r="F172" s="563"/>
      <c r="G172" s="563"/>
      <c r="H172" s="563"/>
      <c r="I172" s="563"/>
      <c r="J172" s="563"/>
      <c r="K172" s="564"/>
      <c r="L172" s="62" t="e">
        <f ca="1">PROPER([91]!terbilang(K170))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3"/>
      <c r="I175" s="553"/>
      <c r="J175" s="554"/>
      <c r="K175" s="55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3"/>
      <c r="I176" s="553"/>
      <c r="J176" s="554"/>
      <c r="K176" s="55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3"/>
      <c r="I177" s="553"/>
      <c r="J177" s="554"/>
      <c r="K177" s="55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3"/>
      <c r="I182" s="553"/>
      <c r="J182" s="554"/>
      <c r="K182" s="55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SUMIFS(RAB!$F$14:$F$132,RAB!$C$14:$C$132,C224)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SUMIFS(RAB!$F$14:$F$132,RAB!$C$14:$C$132,C225)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SUMIFS(RAB!$F$14:$F$132,RAB!$C$14:$C$132,C226)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SUMIFS(RAB!$F$14:$F$132,RAB!$C$14:$C$132,C227)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SUMIFS(RAB!$F$14:$F$132,RAB!$C$14:$C$132,C228)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SUMIFS(RAB!$F$14:$F$132,RAB!$C$14:$C$132,C229)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SUMIFS(RAB!$F$14:$F$132,RAB!$C$14:$C$132,C230)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SUMIFS(RAB!$F$14:$F$132,RAB!$C$14:$C$132,C231)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SUMIFS(RAB!$F$14:$F$132,RAB!$C$14:$C$132,C232)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SUMIFS(RAB!$F$14:$F$132,RAB!$C$14:$C$132,C233)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SUMIFS(RAB!$F$14:$F$132,RAB!$C$14:$C$132,C234)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SUMIFS(RAB!$F$14:$F$132,RAB!$C$14:$C$132,C235)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SUMIFS(RAB!$F$14:$F$132,RAB!$C$14:$C$132,C236)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SUMIFS(RAB!$F$14:$F$132,RAB!$C$14:$C$132,C237)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SUMIFS(RAB!$F$14:$F$132,RAB!$C$14:$C$132,C238)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SUMIFS(RAB!$F$14:$F$132,RAB!$C$14:$C$132,C239)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SUMIFS(RAB!$F$14:$F$132,RAB!$C$14:$C$132,C240)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SUMIFS(RAB!$F$14:$F$132,RAB!$C$14:$C$132,C241)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SUMIFS(RAB!$F$14:$F$132,RAB!$C$14:$C$132,C242)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SUMIFS(RAB!$F$14:$F$132,RAB!$C$14:$C$132,C243)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SUMIFS(RAB!$F$14:$F$132,RAB!$C$14:$C$132,C244)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SUMIFS(RAB!$F$14:$F$132,RAB!$C$14:$C$132,C245)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SUMIFS(RAB!$F$14:$F$132,RAB!$C$14:$C$132,C246)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SUMIFS(RAB!$F$14:$F$132,RAB!$C$14:$C$132,C247)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SUMIFS(RAB!$F$14:$F$132,RAB!$C$14:$C$132,C248)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SUMIFS(RAB!$F$14:$F$132,RAB!$C$14:$C$132,C249)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SUMIFS(RAB!$F$14:$F$132,RAB!$C$14:$C$132,C250)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SUMIFS(RAB!$F$14:$F$132,RAB!$C$14:$C$132,C251)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SUMIFS(RAB!$F$14:$F$132,RAB!$C$14:$C$132,C252)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SUMIFS(RAB!$F$14:$F$132,RAB!$C$14:$C$132,C253)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SUMIFS(RAB!$F$14:$F$132,RAB!$C$14:$C$132,C254)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SUMIFS(RAB!$F$14:$F$132,RAB!$C$14:$C$132,C255)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SUMIFS(RAB!$F$14:$F$132,RAB!$C$14:$C$132,C256)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SUMIFS(RAB!$F$14:$F$132,RAB!$C$14:$C$132,C257)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SUMIFS(RAB!$F$14:$F$132,RAB!$C$14:$C$132,C258)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SUMIFS(RAB!$F$14:$F$132,RAB!$C$14:$C$132,C259)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SUMIFS(RAB!$F$14:$F$132,RAB!$C$14:$C$132,C260)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SUMIFS(RAB!$F$14:$F$132,RAB!$C$14:$C$132,C261)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SUMIFS(RAB!$F$14:$F$132,RAB!$C$14:$C$132,C262)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SUMIFS(RAB!$F$14:$F$132,RAB!$C$14:$C$132,C263)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SUMIFS(RAB!$F$14:$F$132,RAB!$C$14:$C$132,C264)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SUMIFS(RAB!$F$14:$F$132,RAB!$C$14:$C$132,C265)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SUMIFS(RAB!$F$14:$F$132,RAB!$C$14:$C$132,C266)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SUMIFS(RAB!$F$14:$F$132,RAB!$C$14:$C$132,C267)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SUMIFS(RAB!$F$14:$F$132,RAB!$C$14:$C$132,C268)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SUMIFS(RAB!$F$14:$F$132,RAB!$C$14:$C$132,C269)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SUMIFS(RAB!$F$14:$F$132,RAB!$C$14:$C$132,C270)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SUMIFS(RAB!$F$14:$F$132,RAB!$C$14:$C$132,C271)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SUMIFS(RAB!$F$14:$F$132,RAB!$C$14:$C$132,C272)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SUMIFS(RAB!$F$14:$F$132,RAB!$C$14:$C$132,C273)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SUMIFS(RAB!$F$14:$F$132,RAB!$C$14:$C$132,C274)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SUMIFS(RAB!$F$14:$F$132,RAB!$C$14:$C$132,C275)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SUMIFS(RAB!$F$14:$F$132,RAB!$C$14:$C$132,C276)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SUMIFS(RAB!$F$14:$F$132,RAB!$C$14:$C$132,C277)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SUMIFS(RAB!$F$14:$F$132,RAB!$C$14:$C$132,C278)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SUMIFS(RAB!$F$14:$F$132,RAB!$C$14:$C$132,C279)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SUMIFS(RAB!$F$14:$F$132,RAB!$C$14:$C$132,C280)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SUMIFS(RAB!$F$14:$F$132,RAB!$C$14:$C$132,C281)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SUMIFS(RAB!$F$14:$F$132,RAB!$C$14:$C$132,C282)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SUMIFS(RAB!$F$14:$F$132,RAB!$C$14:$C$132,C283)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SUMIFS(RAB!$F$14:$F$132,RAB!$C$14:$C$132,C284)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SUMIFS(RAB!$F$14:$F$132,RAB!$C$14:$C$132,C285)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SUMIFS(RAB!$F$14:$F$132,RAB!$C$14:$C$132,C286)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SUMIFS(RAB!$F$14:$F$132,RAB!$C$14:$C$132,C287)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SUMIFS(RAB!$F$14:$F$132,RAB!$C$14:$C$132,C288)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SUMIFS(RAB!$F$14:$F$132,RAB!$C$14:$C$132,C289)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SUMIFS(RAB!$F$14:$F$132,RAB!$C$14:$C$132,C290)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SUMIFS(RAB!$F$14:$F$132,RAB!$C$14:$C$132,C291)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SUMIFS(RAB!$F$14:$F$132,RAB!$C$14:$C$132,C292)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SUMIFS(RAB!$F$14:$F$132,RAB!$C$14:$C$132,C293)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SUMIFS(RAB!$F$14:$F$132,RAB!$C$14:$C$132,C294)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SUMIFS(RAB!$F$14:$F$132,RAB!$C$14:$C$132,C295)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SUMIFS(RAB!$F$14:$F$132,RAB!$C$14:$C$132,C296)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SUMIFS(RAB!$F$14:$F$132,RAB!$C$14:$C$132,C297)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SUMIFS(RAB!$F$14:$F$132,RAB!$C$14:$C$132,C298)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SUMIFS(RAB!$F$14:$F$132,RAB!$C$14:$C$132,C299)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SUMIFS(RAB!$F$14:$F$132,RAB!$C$14:$C$132,C300)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SUMIFS(RAB!$F$14:$F$132,RAB!$C$14:$C$132,C301)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SUMIFS(RAB!$F$14:$F$132,RAB!$C$14:$C$132,C302)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SUMIFS(RAB!$F$14:$F$132,RAB!$C$14:$C$132,C303)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SUMIFS(RAB!$F$14:$F$132,RAB!$C$14:$C$132,C304)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SUMIFS(RAB!$F$14:$F$132,RAB!$C$14:$C$132,C305)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SUMIFS(RAB!$F$14:$F$132,RAB!$C$14:$C$132,C306)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SUMIFS(RAB!$F$14:$F$132,RAB!$C$14:$C$132,C307)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SUMIFS(RAB!$F$14:$F$132,RAB!$C$14:$C$132,C308)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SUMIFS(RAB!$F$14:$F$132,RAB!$C$14:$C$132,C309)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SUMIFS(RAB!$F$14:$F$132,RAB!$C$14:$C$132,C310)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SUMIFS(RAB!$F$14:$F$132,RAB!$C$14:$C$132,C311)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SUMIFS(RAB!$F$14:$F$132,RAB!$C$14:$C$132,C312)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SUMIFS(RAB!$F$14:$F$132,RAB!$C$14:$C$132,C313)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SUMIFS(RAB!$F$14:$F$132,RAB!$C$14:$C$132,C314)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SUMIFS(RAB!$F$14:$F$132,RAB!$C$14:$C$132,C315)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SUMIFS(RAB!$F$14:$F$132,RAB!$C$14:$C$132,C316)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SUMIFS(RAB!$F$14:$F$132,RAB!$C$14:$C$132,C317)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SUMIFS(RAB!$F$14:$F$132,RAB!$C$14:$C$132,C318)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SUMIFS(RAB!$F$14:$F$132,RAB!$C$14:$C$132,C319)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SUMIFS(RAB!$F$14:$F$132,RAB!$C$14:$C$132,C320)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SUMIFS(RAB!$F$14:$F$132,RAB!$C$14:$C$132,C321)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SUMIFS(RAB!$F$14:$F$132,RAB!$C$14:$C$132,C322)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SUMIFS(RAB!$F$14:$F$132,RAB!$C$14:$C$132,C323)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SUMIFS(RAB!$F$14:$F$132,RAB!$C$14:$C$132,C324)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SUMIFS(RAB!$F$14:$F$132,RAB!$C$14:$C$132,C325)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SUMIFS(RAB!$F$14:$F$132,RAB!$C$14:$C$132,C326)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SUMIFS(RAB!$F$14:$F$132,RAB!$C$14:$C$132,C327)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SUMIFS(RAB!$F$14:$F$132,RAB!$C$14:$C$132,C328)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SUMIFS(RAB!$F$14:$F$132,RAB!$C$14:$C$132,C329)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SUMIFS(RAB!$F$14:$F$132,RAB!$C$14:$C$132,C330)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SUMIFS(RAB!$F$14:$F$132,RAB!$C$14:$C$132,C331)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SUMIFS(RAB!$F$14:$F$132,RAB!$C$14:$C$132,C332)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SUMIFS(RAB!$F$14:$F$132,RAB!$C$14:$C$132,C333)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SUMIFS(RAB!$F$14:$F$132,RAB!$C$14:$C$132,C334)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SUMIFS(RAB!$F$14:$F$132,RAB!$C$14:$C$132,C335)</f>
        <v>1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SUMIFS(RAB!$F$14:$F$132,RAB!$C$14:$C$132,C336)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SUMIFS(RAB!$F$14:$F$132,RAB!$C$14:$C$132,C337)</f>
        <v>6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SUMIFS(RAB!$F$14:$F$132,RAB!$C$14:$C$132,C338)</f>
        <v>219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SUMIFS(RAB!$F$14:$F$132,RAB!$C$14:$C$132,C339)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SUMIFS(RAB!$F$14:$F$132,RAB!$C$14:$C$132,C340)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SUMIFS(RAB!$F$14:$F$132,RAB!$C$14:$C$132,C341)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SUMIFS(RAB!$F$14:$F$132,RAB!$C$14:$C$132,C342)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SUMIFS(RAB!$F$14:$F$132,RAB!$C$14:$C$132,C343)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SUMIFS(RAB!$F$14:$F$132,RAB!$C$14:$C$132,C344)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SUMIFS(RAB!$F$14:$F$132,RAB!$C$14:$C$132,C345)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SUMIFS(RAB!$F$14:$F$132,RAB!$C$14:$C$132,C346)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SUMIFS(RAB!$F$14:$F$132,RAB!$C$14:$C$132,C347)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SUMIFS(RAB!$F$14:$F$132,RAB!$C$14:$C$132,C348)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SUMIFS(RAB!$F$14:$F$132,RAB!$C$14:$C$132,C349)</f>
        <v>55</v>
      </c>
      <c r="E349" s="24">
        <f t="shared" ca="1" si="22"/>
        <v>1</v>
      </c>
      <c r="F349" s="24">
        <f ca="1">IF(D349=0,0,SUM($E$223:E349))</f>
        <v>10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SUMIFS(RAB!$F$14:$F$132,RAB!$C$14:$C$132,C350)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SUMIFS(RAB!$F$14:$F$132,RAB!$C$14:$C$132,C351)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SUMIFS(RAB!$F$14:$F$132,RAB!$C$14:$C$132,C352)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SUMIFS(RAB!$F$14:$F$132,RAB!$C$14:$C$132,C353)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SUMIFS(RAB!$F$14:$F$132,RAB!$C$14:$C$132,C354)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SUMIFS(RAB!$F$14:$F$132,RAB!$C$14:$C$132,C355)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SUMIFS(RAB!$F$14:$F$132,RAB!$C$14:$C$132,C356)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SUMIFS(RAB!$F$14:$F$132,RAB!$C$14:$C$132,C357)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SUMIFS(RAB!$F$14:$F$132,RAB!$C$14:$C$132,C358)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SUMIFS(RAB!$F$14:$F$132,RAB!$C$14:$C$132,C359)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SUMIFS(RAB!$F$14:$F$132,RAB!$C$14:$C$132,C360)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SUMIFS(RAB!$F$14:$F$132,RAB!$C$14:$C$132,C361)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SUMIFS(RAB!$F$14:$F$132,RAB!$C$14:$C$132,C362)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SUMIFS(RAB!$F$14:$F$132,RAB!$C$14:$C$132,C363)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SUMIFS(RAB!$F$14:$F$132,RAB!$C$14:$C$132,C364)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SUMIFS(RAB!$F$14:$F$132,RAB!$C$14:$C$132,C365)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SUMIFS(RAB!$F$14:$F$132,RAB!$C$14:$C$132,C366)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SUMIFS(RAB!$F$14:$F$132,RAB!$C$14:$C$132,C367)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SUMIFS(RAB!$F$14:$F$132,RAB!$C$14:$C$132,C368)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SUMIFS(RAB!$F$14:$F$132,RAB!$C$14:$C$132,C369)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SUMIFS(RAB!$F$14:$F$132,RAB!$C$14:$C$132,C370)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SUMIFS(RAB!$F$14:$F$132,RAB!$C$14:$C$132,C371)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SUMIFS(RAB!$F$14:$F$132,RAB!$C$14:$C$132,C372)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SUMIFS(RAB!$F$14:$F$132,RAB!$C$14:$C$132,C373)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0" priority="5" operator="equal">
      <formula>0</formula>
    </cfRule>
  </conditionalFormatting>
  <conditionalFormatting sqref="C16:C165">
    <cfRule type="cellIs" dxfId="59" priority="4" stopIfTrue="1" operator="equal">
      <formula>0</formula>
    </cfRule>
  </conditionalFormatting>
  <conditionalFormatting sqref="C16:E165">
    <cfRule type="cellIs" dxfId="58" priority="1" operator="equal">
      <formula>0</formula>
    </cfRule>
  </conditionalFormatting>
  <conditionalFormatting sqref="D224:F373">
    <cfRule type="cellIs" dxfId="57" priority="8" operator="equal">
      <formula>0</formula>
    </cfRule>
  </conditionalFormatting>
  <conditionalFormatting sqref="E1:E3 G1:G115 E6:E15 H12:I12 N13 F14:F15 H14:K115 E166:K166 G166:G223 E167:F167 H167:K167">
    <cfRule type="cellIs" dxfId="56" priority="43" stopIfTrue="1" operator="equal">
      <formula>0</formula>
    </cfRule>
  </conditionalFormatting>
  <conditionalFormatting sqref="E171:E65536">
    <cfRule type="cellIs" dxfId="55" priority="9" stopIfTrue="1" operator="equal">
      <formula>0</formula>
    </cfRule>
  </conditionalFormatting>
  <conditionalFormatting sqref="G224">
    <cfRule type="cellIs" dxfId="54" priority="10" operator="equal">
      <formula>0</formula>
    </cfRule>
  </conditionalFormatting>
  <conditionalFormatting sqref="G225:G65536">
    <cfRule type="cellIs" dxfId="53" priority="14" stopIfTrue="1" operator="equal">
      <formula>0</formula>
    </cfRule>
  </conditionalFormatting>
  <conditionalFormatting sqref="R14:T166 G116:K165">
    <cfRule type="cellIs" dxfId="5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6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58.269531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69" t="s">
        <v>41</v>
      </c>
      <c r="C2" s="56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0" t="s">
        <v>23</v>
      </c>
      <c r="C4" s="571" t="s">
        <v>1012</v>
      </c>
      <c r="D4" s="571" t="s">
        <v>42</v>
      </c>
      <c r="E4" s="570" t="s">
        <v>43</v>
      </c>
      <c r="F4" s="108" t="s">
        <v>1609</v>
      </c>
      <c r="G4" s="108" t="s">
        <v>1608</v>
      </c>
      <c r="H4" s="56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0"/>
      <c r="C5" s="571"/>
      <c r="D5" s="571"/>
      <c r="E5" s="570"/>
      <c r="F5" s="93"/>
      <c r="G5" s="93"/>
      <c r="H5" s="568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6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6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7">
        <v>2740</v>
      </c>
      <c r="G1433" s="48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8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8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8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8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8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1" priority="138" operator="equal">
      <formula>0</formula>
    </cfRule>
  </conditionalFormatting>
  <conditionalFormatting sqref="B8:C135">
    <cfRule type="cellIs" dxfId="50" priority="51" operator="equal">
      <formula>0</formula>
    </cfRule>
  </conditionalFormatting>
  <conditionalFormatting sqref="B150:G1493">
    <cfRule type="cellIs" dxfId="49" priority="1" operator="equal">
      <formula>0</formula>
    </cfRule>
  </conditionalFormatting>
  <conditionalFormatting sqref="C143:G149">
    <cfRule type="cellIs" dxfId="48" priority="5" operator="equal">
      <formula>0</formula>
    </cfRule>
  </conditionalFormatting>
  <conditionalFormatting sqref="D9:G142">
    <cfRule type="cellIs" dxfId="47" priority="11" operator="equal">
      <formula>0</formula>
    </cfRule>
  </conditionalFormatting>
  <conditionalFormatting sqref="D1:IV5 A1:C7 D6:K6 H1455:IV1457 H1458:XFD1485 H1486:H1493 I1486:XFD1494 A1494:H1494 A1495:XFD65536">
    <cfRule type="cellIs" dxfId="46" priority="163" operator="equal">
      <formula>0</formula>
    </cfRule>
  </conditionalFormatting>
  <conditionalFormatting sqref="D7:IV8 C136:C142 B136:B149">
    <cfRule type="cellIs" dxfId="45" priority="62" operator="equal">
      <formula>0</formula>
    </cfRule>
  </conditionalFormatting>
  <conditionalFormatting sqref="H9:H1418">
    <cfRule type="cellIs" dxfId="44" priority="129" operator="equal">
      <formula>0</formula>
    </cfRule>
  </conditionalFormatting>
  <conditionalFormatting sqref="H1419:I1454">
    <cfRule type="cellIs" dxfId="43" priority="128" operator="equal">
      <formula>0</formula>
    </cfRule>
  </conditionalFormatting>
  <conditionalFormatting sqref="I108:I1418">
    <cfRule type="cellIs" dxfId="42" priority="125" operator="equal">
      <formula>0</formula>
    </cfRule>
  </conditionalFormatting>
  <conditionalFormatting sqref="J108:IV1454">
    <cfRule type="cellIs" dxfId="41" priority="139" operator="equal">
      <formula>0</formula>
    </cfRule>
  </conditionalFormatting>
  <conditionalFormatting sqref="M6:IV6">
    <cfRule type="cellIs" dxfId="4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24" sqref="N24"/>
    </sheetView>
  </sheetViews>
  <sheetFormatPr defaultColWidth="9.1796875" defaultRowHeight="14.5"/>
  <cols>
    <col min="1" max="1" width="4.26953125" style="202" customWidth="1"/>
    <col min="2" max="2" width="33.26953125" style="202" customWidth="1"/>
    <col min="3" max="3" width="3.7265625" style="203" customWidth="1"/>
    <col min="4" max="4" width="15" style="202" customWidth="1"/>
    <col min="5" max="5" width="12.453125" style="202" customWidth="1"/>
    <col min="6" max="6" width="5.453125" style="202" customWidth="1"/>
    <col min="7" max="7" width="5.453125" style="202" hidden="1" customWidth="1"/>
    <col min="8" max="8" width="5.1796875" style="202" customWidth="1"/>
    <col min="9" max="9" width="34.1796875" style="202" customWidth="1"/>
    <col min="10" max="10" width="3.54296875" style="202" customWidth="1"/>
    <col min="11" max="11" width="12.7265625" style="202" customWidth="1"/>
    <col min="12" max="12" width="12.453125" style="202" customWidth="1"/>
    <col min="13" max="13" width="15" style="202" customWidth="1"/>
    <col min="14" max="14" width="17" style="202" customWidth="1"/>
    <col min="15" max="15" width="18.1796875" style="202" customWidth="1"/>
    <col min="16" max="16" width="20.26953125" style="202" customWidth="1"/>
    <col min="17" max="17" width="14.54296875" style="202" customWidth="1"/>
    <col min="18" max="16384" width="9.1796875" style="202"/>
  </cols>
  <sheetData>
    <row r="2" spans="1:12" s="205" customFormat="1" ht="18.75" customHeight="1">
      <c r="B2" s="603" t="s">
        <v>1454</v>
      </c>
      <c r="C2" s="603"/>
      <c r="D2" s="603"/>
      <c r="E2" s="60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8" t="s">
        <v>1532</v>
      </c>
      <c r="C4" s="609"/>
      <c r="D4" s="609"/>
      <c r="E4" s="610"/>
      <c r="F4" s="442"/>
      <c r="G4" s="442"/>
      <c r="H4" s="443"/>
      <c r="I4" s="572" t="s">
        <v>1533</v>
      </c>
      <c r="J4" s="573"/>
      <c r="K4" s="573"/>
      <c r="L4" s="574"/>
    </row>
    <row r="5" spans="1:12" ht="34.5" customHeight="1">
      <c r="A5" s="204"/>
      <c r="B5" s="445" t="s">
        <v>1379</v>
      </c>
      <c r="C5" s="277" t="s">
        <v>9</v>
      </c>
      <c r="D5" s="604" t="str">
        <f>DATA!D14</f>
        <v>SUMITRO</v>
      </c>
      <c r="E5" s="605"/>
      <c r="F5" s="208"/>
      <c r="G5" s="208"/>
      <c r="I5" s="446" t="s">
        <v>1379</v>
      </c>
      <c r="J5" s="277" t="s">
        <v>9</v>
      </c>
      <c r="K5" s="575" t="str">
        <f>D5</f>
        <v>SUMITRO</v>
      </c>
      <c r="L5" s="576"/>
    </row>
    <row r="6" spans="1:12" ht="31.5" customHeight="1">
      <c r="A6" s="204"/>
      <c r="B6" s="445" t="s">
        <v>1529</v>
      </c>
      <c r="C6" s="277" t="s">
        <v>9</v>
      </c>
      <c r="D6" s="613">
        <f>DATA!D17*1000</f>
        <v>5500</v>
      </c>
      <c r="E6" s="614"/>
      <c r="F6" s="208"/>
      <c r="G6" s="208"/>
      <c r="I6" s="446" t="s">
        <v>1530</v>
      </c>
      <c r="J6" s="277" t="s">
        <v>9</v>
      </c>
      <c r="K6" s="577">
        <f>DATA!D20*1000</f>
        <v>16500</v>
      </c>
      <c r="L6" s="578"/>
    </row>
    <row r="7" spans="1:12" ht="30.75" customHeight="1">
      <c r="A7" s="204"/>
      <c r="B7" s="445" t="s">
        <v>1441</v>
      </c>
      <c r="C7" s="277" t="s">
        <v>9</v>
      </c>
      <c r="D7" s="611">
        <f>DATA!D18</f>
        <v>1</v>
      </c>
      <c r="E7" s="612"/>
      <c r="F7" s="444" t="s">
        <v>1453</v>
      </c>
      <c r="I7" s="446" t="s">
        <v>1441</v>
      </c>
      <c r="J7" s="277" t="s">
        <v>9</v>
      </c>
      <c r="K7" s="579">
        <f>DATA!D21</f>
        <v>3</v>
      </c>
      <c r="L7" s="580"/>
    </row>
    <row r="8" spans="1:12" ht="51" customHeight="1">
      <c r="A8" s="204"/>
      <c r="B8" s="445" t="s">
        <v>1442</v>
      </c>
      <c r="C8" s="277" t="s">
        <v>9</v>
      </c>
      <c r="D8" s="611">
        <f>DATA!D19</f>
        <v>220</v>
      </c>
      <c r="E8" s="612"/>
      <c r="F8" s="444" t="s">
        <v>1453</v>
      </c>
      <c r="G8" s="439">
        <v>220</v>
      </c>
      <c r="I8" s="446" t="s">
        <v>1442</v>
      </c>
      <c r="J8" s="277" t="s">
        <v>9</v>
      </c>
      <c r="K8" s="579">
        <f>DATA!D22</f>
        <v>380</v>
      </c>
      <c r="L8" s="580"/>
    </row>
    <row r="9" spans="1:12" ht="30" customHeight="1" thickBot="1">
      <c r="A9" s="204"/>
      <c r="B9" s="451" t="s">
        <v>1541</v>
      </c>
      <c r="C9" s="441" t="s">
        <v>9</v>
      </c>
      <c r="D9" s="606">
        <f>IF(D7=1,D6/(380/3^0.5),(D6/(380*3^0.5)))</f>
        <v>25.069156425339013</v>
      </c>
      <c r="E9" s="607"/>
      <c r="F9" s="207"/>
      <c r="G9" s="440">
        <v>380</v>
      </c>
      <c r="I9" s="452" t="s">
        <v>1541</v>
      </c>
      <c r="J9" s="441" t="s">
        <v>9</v>
      </c>
      <c r="K9" s="583">
        <f>IF(K7=1,K6/(380/3^0.5),(K6/(380*3^0.5)))</f>
        <v>25.069156425339017</v>
      </c>
      <c r="L9" s="58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15"/>
      <c r="E12" s="616"/>
      <c r="F12" s="208"/>
      <c r="G12" s="208"/>
      <c r="I12" s="468" t="s">
        <v>1534</v>
      </c>
      <c r="J12" s="469" t="s">
        <v>9</v>
      </c>
      <c r="K12" s="615" t="s">
        <v>1642</v>
      </c>
      <c r="L12" s="616"/>
    </row>
    <row r="13" spans="1:12" ht="31.5" customHeight="1">
      <c r="A13" s="204"/>
      <c r="B13" s="476" t="s">
        <v>1380</v>
      </c>
      <c r="C13" s="456" t="s">
        <v>9</v>
      </c>
      <c r="D13" s="581"/>
      <c r="E13" s="582"/>
      <c r="F13" s="208"/>
      <c r="G13" s="208"/>
      <c r="I13" s="470" t="s">
        <v>1380</v>
      </c>
      <c r="J13" s="456" t="s">
        <v>9</v>
      </c>
      <c r="K13" s="581" t="s">
        <v>1643</v>
      </c>
      <c r="L13" s="582"/>
    </row>
    <row r="14" spans="1:12" ht="30.75" customHeight="1">
      <c r="A14" s="204"/>
      <c r="B14" s="476" t="s">
        <v>1535</v>
      </c>
      <c r="C14" s="456" t="s">
        <v>9</v>
      </c>
      <c r="D14" s="585"/>
      <c r="E14" s="586"/>
      <c r="F14" s="444" t="s">
        <v>1453</v>
      </c>
      <c r="G14" s="448">
        <v>50</v>
      </c>
      <c r="I14" s="470" t="s">
        <v>1535</v>
      </c>
      <c r="J14" s="456" t="s">
        <v>9</v>
      </c>
      <c r="K14" s="587">
        <v>50</v>
      </c>
      <c r="L14" s="58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9">
        <v>0</v>
      </c>
      <c r="E16" s="590"/>
      <c r="F16" s="444"/>
      <c r="G16" s="448">
        <v>160</v>
      </c>
      <c r="I16" s="470" t="s">
        <v>1537</v>
      </c>
      <c r="J16" s="456" t="s">
        <v>9</v>
      </c>
      <c r="K16" s="593">
        <f>K9</f>
        <v>25.069156425339017</v>
      </c>
      <c r="L16" s="594"/>
    </row>
    <row r="17" spans="1:12" ht="34.5" customHeight="1">
      <c r="A17" s="204"/>
      <c r="B17" s="476" t="s">
        <v>1538</v>
      </c>
      <c r="C17" s="456" t="s">
        <v>9</v>
      </c>
      <c r="D17" s="591">
        <f>IF(D15=1,D14/(20/3^0.5),(D14/(20*3^0.5)))</f>
        <v>0</v>
      </c>
      <c r="E17" s="592"/>
      <c r="F17" s="444" t="s">
        <v>1453</v>
      </c>
      <c r="G17" s="449">
        <v>200</v>
      </c>
      <c r="I17" s="470" t="s">
        <v>1538</v>
      </c>
      <c r="J17" s="456" t="s">
        <v>9</v>
      </c>
      <c r="K17" s="597">
        <f>IF(K15=1,K14/(20/3^0.5),(K14/(20*3^0.5)))</f>
        <v>1.4433756729740645</v>
      </c>
      <c r="L17" s="598"/>
    </row>
    <row r="18" spans="1:12" ht="34.5" customHeight="1">
      <c r="A18" s="204"/>
      <c r="B18" s="476" t="s">
        <v>1539</v>
      </c>
      <c r="C18" s="456" t="s">
        <v>9</v>
      </c>
      <c r="D18" s="591">
        <f>IF(D15=1,D14/(380/3^0.5),(D14/(380*3^0.5)))*1000</f>
        <v>0</v>
      </c>
      <c r="E18" s="592"/>
      <c r="F18" s="444" t="s">
        <v>1453</v>
      </c>
      <c r="G18" s="449">
        <v>250</v>
      </c>
      <c r="I18" s="470" t="s">
        <v>1539</v>
      </c>
      <c r="J18" s="456" t="s">
        <v>9</v>
      </c>
      <c r="K18" s="597">
        <f>IF(K15=1,K14/(380/3^0.5),(K14/(380*3^0.5)))*1000</f>
        <v>75.96714068284551</v>
      </c>
      <c r="L18" s="598"/>
    </row>
    <row r="19" spans="1:12" ht="30" customHeight="1">
      <c r="A19" s="204"/>
      <c r="B19" s="477" t="s">
        <v>1531</v>
      </c>
      <c r="C19" s="455" t="s">
        <v>9</v>
      </c>
      <c r="D19" s="591">
        <f>IF(D15=1,D14/(380/3^0.5),(D14/(380*3^0.5)))</f>
        <v>0</v>
      </c>
      <c r="E19" s="592"/>
      <c r="F19" s="207"/>
      <c r="G19" s="440"/>
      <c r="I19" s="472" t="s">
        <v>1531</v>
      </c>
      <c r="J19" s="455" t="s">
        <v>9</v>
      </c>
      <c r="K19" s="597">
        <f>IF(K15=1,K14/(380/3^0.5),(K14/(380*3^0.5)))</f>
        <v>7.5967140682845505E-2</v>
      </c>
      <c r="L19" s="598"/>
    </row>
    <row r="20" spans="1:12" ht="30" customHeight="1" thickBot="1">
      <c r="A20" s="204"/>
      <c r="B20" s="478" t="s">
        <v>1540</v>
      </c>
      <c r="C20" s="474" t="s">
        <v>9</v>
      </c>
      <c r="D20" s="617" t="e">
        <f>D16/D18</f>
        <v>#DIV/0!</v>
      </c>
      <c r="E20" s="618"/>
      <c r="F20" s="207"/>
      <c r="G20" s="440"/>
      <c r="I20" s="473" t="s">
        <v>1531</v>
      </c>
      <c r="J20" s="474" t="s">
        <v>9</v>
      </c>
      <c r="K20" s="595">
        <f>K16/K18</f>
        <v>0.32999999999999996</v>
      </c>
      <c r="L20" s="596"/>
    </row>
    <row r="21" spans="1:12" ht="9.75" customHeight="1">
      <c r="A21" s="204"/>
      <c r="B21" s="463" t="s">
        <v>1540</v>
      </c>
      <c r="C21" s="464" t="s">
        <v>9</v>
      </c>
      <c r="D21" s="602">
        <v>1</v>
      </c>
      <c r="E21" s="602"/>
      <c r="F21" s="465"/>
      <c r="G21" s="466"/>
      <c r="H21" s="467"/>
      <c r="I21" s="463" t="s">
        <v>1531</v>
      </c>
      <c r="J21" s="464" t="s">
        <v>9</v>
      </c>
      <c r="K21" s="602">
        <v>1</v>
      </c>
      <c r="L21" s="602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" thickBot="1"/>
    <row r="24" spans="1:12" ht="200.25" customHeight="1" thickBot="1">
      <c r="B24" s="599"/>
      <c r="C24" s="600"/>
      <c r="D24" s="600"/>
      <c r="E24" s="601"/>
      <c r="I24" s="599"/>
      <c r="J24" s="600"/>
      <c r="K24" s="600"/>
      <c r="L24" s="601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9" priority="5" stopIfTrue="1" operator="greaterThan">
      <formula>0.89</formula>
    </cfRule>
    <cfRule type="cellIs" dxfId="3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Normal="100" workbookViewId="0">
      <selection activeCell="D8" sqref="D8"/>
    </sheetView>
  </sheetViews>
  <sheetFormatPr defaultColWidth="9.1796875" defaultRowHeight="14.5"/>
  <cols>
    <col min="1" max="1" width="1.26953125" style="287" customWidth="1"/>
    <col min="2" max="2" width="25.26953125" style="287" customWidth="1"/>
    <col min="3" max="3" width="3.26953125" style="287" customWidth="1"/>
    <col min="4" max="4" width="26.26953125" style="301" customWidth="1"/>
    <col min="5" max="5" width="6.453125" style="287" customWidth="1"/>
    <col min="6" max="6" width="12" style="287" bestFit="1" customWidth="1"/>
    <col min="7" max="8" width="9.1796875" style="287" hidden="1" customWidth="1"/>
    <col min="9" max="9" width="9.1796875" style="287"/>
    <col min="10" max="10" width="3.81640625" style="287" customWidth="1"/>
    <col min="11" max="11" width="2.7265625" style="287" customWidth="1"/>
    <col min="12" max="16384" width="9.1796875" style="287"/>
  </cols>
  <sheetData>
    <row r="1" spans="2:11" ht="12.75" customHeight="1">
      <c r="B1" s="619"/>
      <c r="C1" s="619"/>
      <c r="D1" s="619"/>
    </row>
    <row r="2" spans="2:11" ht="15.75" customHeight="1">
      <c r="B2" s="288" t="s">
        <v>1443</v>
      </c>
      <c r="C2" s="289"/>
      <c r="D2" s="290"/>
    </row>
    <row r="3" spans="2:11" ht="20.149999999999999" customHeight="1">
      <c r="B3" s="291" t="s">
        <v>1349</v>
      </c>
      <c r="C3" s="292" t="s">
        <v>9</v>
      </c>
      <c r="D3" s="293">
        <v>2022</v>
      </c>
    </row>
    <row r="4" spans="2:11" ht="20.149999999999999" customHeight="1">
      <c r="B4" s="291" t="s">
        <v>1030</v>
      </c>
      <c r="C4" s="292" t="s">
        <v>9</v>
      </c>
      <c r="D4" s="294">
        <v>0.12</v>
      </c>
    </row>
    <row r="5" spans="2:11" ht="20.149999999999999" customHeight="1">
      <c r="B5" s="291" t="s">
        <v>1350</v>
      </c>
      <c r="C5" s="292" t="s">
        <v>9</v>
      </c>
      <c r="D5" s="490">
        <v>1084.1250458865841</v>
      </c>
      <c r="F5" s="485" t="s">
        <v>1611</v>
      </c>
      <c r="K5" s="484"/>
    </row>
    <row r="6" spans="2:11" ht="20.149999999999999" customHeight="1">
      <c r="B6" s="291" t="s">
        <v>1351</v>
      </c>
      <c r="C6" s="292" t="s">
        <v>9</v>
      </c>
      <c r="D6" s="296">
        <v>25</v>
      </c>
      <c r="F6" s="485"/>
    </row>
    <row r="7" spans="2:11" ht="20.149999999999999" customHeight="1">
      <c r="B7" s="291" t="s">
        <v>1352</v>
      </c>
      <c r="C7" s="292" t="s">
        <v>9</v>
      </c>
      <c r="D7" s="297">
        <v>2.2499999999999999E-2</v>
      </c>
    </row>
    <row r="8" spans="2:11" ht="20.149999999999999" customHeight="1">
      <c r="B8" s="291" t="s">
        <v>1444</v>
      </c>
      <c r="C8" s="292" t="s">
        <v>9</v>
      </c>
      <c r="D8" s="524">
        <f>D20-D17</f>
        <v>11</v>
      </c>
    </row>
    <row r="9" spans="2:11" ht="20.149999999999999" customHeight="1">
      <c r="B9" s="291" t="s">
        <v>1445</v>
      </c>
      <c r="C9" s="292" t="s">
        <v>9</v>
      </c>
      <c r="D9" s="298">
        <f>(D8*D25)*1000</f>
        <v>10659000</v>
      </c>
    </row>
    <row r="10" spans="2:11" ht="20.149999999999999" customHeight="1">
      <c r="B10" s="291" t="s">
        <v>1446</v>
      </c>
      <c r="C10" s="292" t="s">
        <v>9</v>
      </c>
      <c r="D10" s="298">
        <f ca="1">RAB!K138</f>
        <v>89881302.709350005</v>
      </c>
    </row>
    <row r="11" spans="2:11" ht="20.149999999999999" customHeight="1">
      <c r="B11" s="291" t="s">
        <v>1356</v>
      </c>
      <c r="C11" s="292" t="s">
        <v>9</v>
      </c>
      <c r="D11" s="295">
        <f ca="1">2%*D10</f>
        <v>1797626.054187</v>
      </c>
    </row>
    <row r="12" spans="2:11" ht="9" customHeight="1">
      <c r="B12" s="620"/>
      <c r="C12" s="620"/>
      <c r="D12" s="620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1633</v>
      </c>
      <c r="E14" s="300" t="s">
        <v>1453</v>
      </c>
    </row>
    <row r="15" spans="2:11" ht="20.149999999999999" customHeight="1">
      <c r="B15" s="417" t="s">
        <v>1447</v>
      </c>
      <c r="C15" s="418" t="s">
        <v>9</v>
      </c>
      <c r="D15" s="422" t="s">
        <v>1624</v>
      </c>
      <c r="E15" s="300" t="s">
        <v>1453</v>
      </c>
    </row>
    <row r="16" spans="2:11" ht="20.149999999999999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49999999999999" customHeight="1">
      <c r="B17" s="417" t="s">
        <v>1449</v>
      </c>
      <c r="C17" s="418" t="s">
        <v>9</v>
      </c>
      <c r="D17" s="523">
        <v>5.5</v>
      </c>
      <c r="E17" s="300" t="s">
        <v>1453</v>
      </c>
    </row>
    <row r="18" spans="2:5" ht="20.149999999999999" hidden="1" customHeight="1">
      <c r="B18" s="417" t="s">
        <v>1543</v>
      </c>
      <c r="C18" s="418"/>
      <c r="D18" s="523">
        <f>IF((D17&lt;=11),1,3)</f>
        <v>1</v>
      </c>
      <c r="E18" s="300"/>
    </row>
    <row r="19" spans="2:5" ht="20.149999999999999" hidden="1" customHeight="1">
      <c r="B19" s="417" t="s">
        <v>1544</v>
      </c>
      <c r="C19" s="418"/>
      <c r="D19" s="523">
        <f>IF((D17&lt;=11),220,380)</f>
        <v>220</v>
      </c>
      <c r="E19" s="300"/>
    </row>
    <row r="20" spans="2:5" ht="20.149999999999999" customHeight="1">
      <c r="B20" s="417" t="s">
        <v>1450</v>
      </c>
      <c r="C20" s="418" t="s">
        <v>9</v>
      </c>
      <c r="D20" s="523">
        <v>16.5</v>
      </c>
      <c r="E20" s="300" t="s">
        <v>1453</v>
      </c>
    </row>
    <row r="21" spans="2:5" ht="20.149999999999999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49999999999999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49999999999999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49999999999999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49999999999999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49999999999999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25" activePane="bottomLeft" state="frozen"/>
      <selection activeCell="H1093" sqref="H1093"/>
      <selection pane="bottomLeft" activeCell="N16" sqref="N16"/>
    </sheetView>
  </sheetViews>
  <sheetFormatPr defaultColWidth="9.1796875" defaultRowHeight="14.5"/>
  <cols>
    <col min="1" max="1" width="5" style="302" customWidth="1"/>
    <col min="2" max="2" width="6.26953125" style="302" customWidth="1"/>
    <col min="3" max="3" width="15.1796875" style="302" customWidth="1"/>
    <col min="4" max="4" width="15" style="302" customWidth="1"/>
    <col min="5" max="5" width="15.1796875" style="302" bestFit="1" customWidth="1"/>
    <col min="6" max="6" width="12.1796875" style="302" bestFit="1" customWidth="1"/>
    <col min="7" max="7" width="10" style="302" bestFit="1" customWidth="1"/>
    <col min="8" max="8" width="15.7265625" style="302" bestFit="1" customWidth="1"/>
    <col min="9" max="9" width="14.1796875" style="302" bestFit="1" customWidth="1"/>
    <col min="10" max="10" width="13.81640625" style="302" bestFit="1" customWidth="1"/>
    <col min="11" max="11" width="15.7265625" style="302" customWidth="1"/>
    <col min="12" max="12" width="11.1796875" style="302" bestFit="1" customWidth="1"/>
    <col min="13" max="13" width="13.81640625" style="302" bestFit="1" customWidth="1"/>
    <col min="14" max="14" width="12.81640625" style="302" bestFit="1" customWidth="1"/>
    <col min="15" max="15" width="7" style="302" customWidth="1"/>
    <col min="16" max="17" width="12.81640625" style="302" bestFit="1" customWidth="1"/>
    <col min="18" max="18" width="1.26953125" style="302" hidden="1" customWidth="1"/>
    <col min="19" max="19" width="3" style="304" hidden="1" customWidth="1"/>
    <col min="20" max="16384" width="9.1796875" style="302"/>
  </cols>
  <sheetData>
    <row r="1" spans="1:21">
      <c r="G1" s="303"/>
    </row>
    <row r="2" spans="1:21">
      <c r="G2" s="303"/>
      <c r="K2" s="303"/>
    </row>
    <row r="3" spans="1:21">
      <c r="B3" s="627" t="s">
        <v>1357</v>
      </c>
      <c r="C3" s="627"/>
      <c r="D3" s="627"/>
      <c r="E3" s="627"/>
      <c r="F3" s="305" t="str">
        <f>DATA!D14</f>
        <v>SUMITRO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49999999999999" customHeight="1">
      <c r="B5" s="621" t="s">
        <v>1349</v>
      </c>
      <c r="C5" s="621" t="s">
        <v>1358</v>
      </c>
      <c r="D5" s="626" t="s">
        <v>1359</v>
      </c>
      <c r="E5" s="626" t="s">
        <v>1360</v>
      </c>
      <c r="F5" s="621" t="s">
        <v>1361</v>
      </c>
      <c r="G5" s="621"/>
      <c r="H5" s="621"/>
      <c r="I5" s="621"/>
      <c r="J5" s="621"/>
      <c r="K5" s="621" t="s">
        <v>1362</v>
      </c>
      <c r="L5" s="621"/>
      <c r="M5" s="307"/>
      <c r="N5" s="624" t="s">
        <v>1363</v>
      </c>
      <c r="O5" s="626" t="s">
        <v>1364</v>
      </c>
      <c r="P5" s="626" t="s">
        <v>1365</v>
      </c>
      <c r="Q5" s="626" t="s">
        <v>1366</v>
      </c>
      <c r="R5" s="308"/>
      <c r="S5" s="309"/>
      <c r="T5" s="622" t="s">
        <v>1367</v>
      </c>
      <c r="U5" s="310"/>
    </row>
    <row r="6" spans="1:21" ht="20.149999999999999" customHeight="1">
      <c r="B6" s="621"/>
      <c r="C6" s="621"/>
      <c r="D6" s="621"/>
      <c r="E6" s="62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5"/>
      <c r="O6" s="621"/>
      <c r="P6" s="621"/>
      <c r="Q6" s="621"/>
      <c r="R6" s="308"/>
      <c r="S6" s="309"/>
      <c r="T6" s="621"/>
      <c r="U6" s="312"/>
    </row>
    <row r="7" spans="1:21" ht="20.149999999999999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89.88130270935001</v>
      </c>
      <c r="G7" s="318">
        <f ca="1">DATA!$D$11/1000000</f>
        <v>1.7976260541869999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95.580911628692007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-79.836567628692009</v>
      </c>
      <c r="O7" s="314">
        <v>1</v>
      </c>
      <c r="P7" s="316">
        <f ca="1">O7*N7</f>
        <v>-79.836567628692009</v>
      </c>
      <c r="Q7" s="316">
        <f ca="1">P7</f>
        <v>-79.836567628692009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49999999999999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1.7976260541869999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7.6506003519194898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-2.2584351919490153E-2</v>
      </c>
      <c r="O8" s="315">
        <f>1/(1+'[93]Asumsi I'!$C$3)^(KKF!A8)</f>
        <v>0.89285714285714279</v>
      </c>
      <c r="P8" s="316">
        <f ca="1">O8*N8</f>
        <v>-2.0164599928116207E-2</v>
      </c>
      <c r="Q8" s="316">
        <f ca="1">Q7+P8</f>
        <v>-79.856732228620132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49999999999999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1.7976260541869999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7.6506003519194898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-2.2584351919490153E-2</v>
      </c>
      <c r="O9" s="322">
        <f>1/(1+'[93]Asumsi I'!$C$3)^(KKF!A9)</f>
        <v>0.79719387755102034</v>
      </c>
      <c r="P9" s="316">
        <f t="shared" ref="P9:P32" ca="1" si="7">O9*N9</f>
        <v>-1.8004107078675183E-2</v>
      </c>
      <c r="Q9" s="316">
        <f ca="1">Q8+P9</f>
        <v>-79.874736335698813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49999999999999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1.7976260541869999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7.6506003519194898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-2.2584351919490153E-2</v>
      </c>
      <c r="O10" s="315">
        <f>1/(1+'[93]Asumsi I'!$C$3)^(KKF!A10)</f>
        <v>0.71178024781341087</v>
      </c>
      <c r="P10" s="316">
        <f t="shared" ca="1" si="7"/>
        <v>-1.6075095605959981E-2</v>
      </c>
      <c r="Q10" s="316">
        <f t="shared" ref="Q10:Q30" ca="1" si="9">Q9+P10</f>
        <v>-79.890811431304769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49999999999999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1.7976260541869999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7.6506003519194898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-2.2584351919490153E-2</v>
      </c>
      <c r="O11" s="315">
        <f>1/(1+'[93]Asumsi I'!$C$3)^(KKF!A11)</f>
        <v>0.63551807840483121</v>
      </c>
      <c r="P11" s="316">
        <f t="shared" ca="1" si="7"/>
        <v>-1.4352763933892844E-2</v>
      </c>
      <c r="Q11" s="316">
        <f t="shared" ca="1" si="9"/>
        <v>-79.905164195238669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49999999999999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1.7976260541869999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7.6506003519194898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-2.2584351919490153E-2</v>
      </c>
      <c r="O12" s="315">
        <f>1/(1+'[93]Asumsi I'!$C$3)^(KKF!A12)</f>
        <v>0.56742685571859919</v>
      </c>
      <c r="P12" s="316">
        <f t="shared" ca="1" si="7"/>
        <v>-1.2814967798118608E-2</v>
      </c>
      <c r="Q12" s="316">
        <f t="shared" ca="1" si="9"/>
        <v>-79.91797916303679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49999999999999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1.7976260541869999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7.6506003519194898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-2.2584351919490153E-2</v>
      </c>
      <c r="O13" s="315">
        <f>1/(1+'[93]Asumsi I'!$C$3)^(KKF!A13)</f>
        <v>0.50663112117732068</v>
      </c>
      <c r="P13" s="316">
        <f t="shared" ca="1" si="7"/>
        <v>-1.1441935534034471E-2</v>
      </c>
      <c r="Q13" s="316">
        <f t="shared" ca="1" si="9"/>
        <v>-79.929421098570828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49999999999999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1.7976260541869999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7.6506003519194898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-2.2584351919490153E-2</v>
      </c>
      <c r="O14" s="315">
        <f>1/(1+'[93]Asumsi I'!$C$3)^(KKF!A14)</f>
        <v>0.45234921533689343</v>
      </c>
      <c r="P14" s="316">
        <f t="shared" ca="1" si="7"/>
        <v>-1.0216013869673633E-2</v>
      </c>
      <c r="Q14" s="316">
        <f t="shared" ca="1" si="9"/>
        <v>-79.939637112440508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49999999999999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1.7976260541869999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7.6506003519194898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-2.2584351919490153E-2</v>
      </c>
      <c r="O15" s="315">
        <f>1/(1+'[93]Asumsi I'!$C$3)^(KKF!A15)</f>
        <v>0.4038832279793691</v>
      </c>
      <c r="P15" s="316">
        <f t="shared" ca="1" si="7"/>
        <v>-9.1214409550657433E-3</v>
      </c>
      <c r="Q15" s="316">
        <f t="shared" ca="1" si="9"/>
        <v>-79.948758553395578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49999999999999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1.7976260541869999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7.6506003519194898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-2.2584351919490153E-2</v>
      </c>
      <c r="O16" s="315">
        <f>1/(1+'[93]Asumsi I'!$C$3)^(KKF!A16)</f>
        <v>0.36061002498157957</v>
      </c>
      <c r="P16" s="316">
        <f t="shared" ca="1" si="7"/>
        <v>-8.1441437098801282E-3</v>
      </c>
      <c r="Q16" s="316">
        <f t="shared" ca="1" si="9"/>
        <v>-79.956902697105463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49999999999999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1.7976260541869999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7.6506003519194898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-2.2584351919490153E-2</v>
      </c>
      <c r="O17" s="315">
        <f>1/(1+'[93]Asumsi I'!$C$3)^(KKF!A17)</f>
        <v>0.32197323659069599</v>
      </c>
      <c r="P17" s="316">
        <f t="shared" ca="1" si="7"/>
        <v>-7.2715568838215422E-3</v>
      </c>
      <c r="Q17" s="316">
        <f t="shared" ca="1" si="9"/>
        <v>-79.964174253989285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49999999999999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1.7976260541869999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7.6506003519194898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-2.2584351919490153E-2</v>
      </c>
      <c r="O18" s="315">
        <f>1/(1+'[93]Asumsi I'!$C$3)^(KKF!A18)</f>
        <v>0.28747610409883567</v>
      </c>
      <c r="P18" s="316">
        <f t="shared" ca="1" si="7"/>
        <v>-6.4924615034120904E-3</v>
      </c>
      <c r="Q18" s="316">
        <f t="shared" ca="1" si="9"/>
        <v>-79.970666715492698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49999999999999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1.7976260541869999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7.6506003519194898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-2.2584351919490153E-2</v>
      </c>
      <c r="O19" s="315">
        <f>1/(1+'[93]Asumsi I'!$C$3)^(KKF!A19)</f>
        <v>0.25667509294538904</v>
      </c>
      <c r="P19" s="316">
        <f t="shared" ca="1" si="7"/>
        <v>-5.7968406280465108E-3</v>
      </c>
      <c r="Q19" s="316">
        <f t="shared" ca="1" si="9"/>
        <v>-79.976463556120748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49999999999999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1.7976260541869999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7.6506003519194898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-2.2584351919490153E-2</v>
      </c>
      <c r="O20" s="315">
        <f>1/(1+'[93]Asumsi I'!$C$3)^(KKF!A20)</f>
        <v>0.22917419012981158</v>
      </c>
      <c r="P20" s="316">
        <f t="shared" ca="1" si="7"/>
        <v>-5.1757505607558114E-3</v>
      </c>
      <c r="Q20" s="316">
        <f t="shared" ca="1" si="9"/>
        <v>-79.981639306681501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49999999999999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1.7976260541869999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7.6506003519194898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-2.2584351919490153E-2</v>
      </c>
      <c r="O21" s="315">
        <f>1/(1+'[93]Asumsi I'!$C$3)^(KKF!A21)</f>
        <v>0.20461981261590317</v>
      </c>
      <c r="P21" s="316">
        <f t="shared" ca="1" si="7"/>
        <v>-4.6212058578176882E-3</v>
      </c>
      <c r="Q21" s="316">
        <f t="shared" ca="1" si="9"/>
        <v>-79.986260512539317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49999999999999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1.7976260541869999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7.6506003519194898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-2.2584351919490153E-2</v>
      </c>
      <c r="O22" s="315">
        <f>1/(1+'[93]Asumsi I'!$C$3)^(KKF!A22)</f>
        <v>0.18269626126419927</v>
      </c>
      <c r="P22" s="316">
        <f t="shared" ca="1" si="7"/>
        <v>-4.126076658765793E-3</v>
      </c>
      <c r="Q22" s="316">
        <f t="shared" ca="1" si="9"/>
        <v>-79.990386589198081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49999999999999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1.7976260541869999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7.6506003519194898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-2.2584351919490153E-2</v>
      </c>
      <c r="O23" s="315">
        <f>1/(1+'[93]Asumsi I'!$C$3)^(KKF!A23)</f>
        <v>0.16312166184303503</v>
      </c>
      <c r="P23" s="316">
        <f t="shared" ca="1" si="7"/>
        <v>-3.683997016755172E-3</v>
      </c>
      <c r="Q23" s="316">
        <f t="shared" ca="1" si="9"/>
        <v>-79.994070586214832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49999999999999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1.7976260541869999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7.6506003519194898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-2.2584351919490153E-2</v>
      </c>
      <c r="O24" s="315">
        <f>1/(1+'[93]Asumsi I'!$C$3)^(KKF!A24)</f>
        <v>0.14564434093128129</v>
      </c>
      <c r="P24" s="316">
        <f t="shared" ca="1" si="7"/>
        <v>-3.2892830506742608E-3</v>
      </c>
      <c r="Q24" s="316">
        <f t="shared" ca="1" si="9"/>
        <v>-79.997359869265509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49999999999999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1.7976260541869999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7.6506003519194898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-2.2584351919490153E-2</v>
      </c>
      <c r="O25" s="315">
        <f>1/(1+'[93]Asumsi I'!$C$3)^(KKF!A25)</f>
        <v>0.13003959011721541</v>
      </c>
      <c r="P25" s="316">
        <f t="shared" ca="1" si="7"/>
        <v>-2.9368598666734465E-3</v>
      </c>
      <c r="Q25" s="316">
        <f t="shared" ca="1" si="9"/>
        <v>-80.000296729132188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49999999999999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1.7976260541869999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7.6506003519194898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-2.2584351919490153E-2</v>
      </c>
      <c r="O26" s="315">
        <f>1/(1+'[93]Asumsi I'!$C$3)^(KKF!A26)</f>
        <v>0.1161067768903709</v>
      </c>
      <c r="P26" s="316">
        <f t="shared" ca="1" si="7"/>
        <v>-2.6221963095298629E-3</v>
      </c>
      <c r="Q26" s="316">
        <f t="shared" ca="1" si="9"/>
        <v>-80.002918925441719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49999999999999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1.7976260541869999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7.6506003519194898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-2.2584351919490153E-2</v>
      </c>
      <c r="O27" s="315">
        <f>1/(1+'[93]Asumsi I'!$C$3)^(KKF!A27)</f>
        <v>0.1036667650806883</v>
      </c>
      <c r="P27" s="316">
        <f t="shared" ca="1" si="7"/>
        <v>-2.3412467049373775E-3</v>
      </c>
      <c r="Q27" s="316">
        <f t="shared" ca="1" si="9"/>
        <v>-80.005260172146663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49999999999999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1.7976260541869999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7.6506003519194898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-2.2584351919490153E-2</v>
      </c>
      <c r="O28" s="315">
        <f>1/(1+'[93]Asumsi I'!$C$3)^(KKF!A28)</f>
        <v>9.2559611679185971E-2</v>
      </c>
      <c r="P28" s="316">
        <f t="shared" ca="1" si="7"/>
        <v>-2.0903988436940871E-3</v>
      </c>
      <c r="Q28" s="316">
        <f t="shared" ca="1" si="9"/>
        <v>-80.007350570990354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49999999999999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1.7976260541869999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7.6506003519194898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-2.2584351919490153E-2</v>
      </c>
      <c r="O29" s="315">
        <f>1/(1+'[93]Asumsi I'!$C$3)^(KKF!A29)</f>
        <v>8.2642510427844609E-2</v>
      </c>
      <c r="P29" s="316">
        <f t="shared" ca="1" si="7"/>
        <v>-1.8664275390125773E-3</v>
      </c>
      <c r="Q29" s="316">
        <f t="shared" ca="1" si="9"/>
        <v>-80.009216998529368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49999999999999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1.7976260541869999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7.6506003519194898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-2.2584351919490153E-2</v>
      </c>
      <c r="O30" s="315">
        <f>1/(1+'[93]Asumsi I'!$C$3)^(KKF!A30)</f>
        <v>7.3787955739146982E-2</v>
      </c>
      <c r="P30" s="316">
        <f t="shared" ca="1" si="7"/>
        <v>-1.6664531598326586E-3</v>
      </c>
      <c r="Q30" s="316">
        <f t="shared" ca="1" si="9"/>
        <v>-80.010883451689196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49999999999999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1.7976260541869999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7.6506003519194898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-2.2584351919490153E-2</v>
      </c>
      <c r="O31" s="315">
        <f>1/(1+'[93]Asumsi I'!$C$3)^(KKF!A31)</f>
        <v>6.5882103338524081E-2</v>
      </c>
      <c r="P31" s="316">
        <f t="shared" ca="1" si="7"/>
        <v>-1.4879046069934451E-3</v>
      </c>
      <c r="Q31" s="316">
        <f ca="1">Q30+P31</f>
        <v>-80.012371356296185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49999999999999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1.7976260541869999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7.6506003519194898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-2.2584351919490153E-2</v>
      </c>
      <c r="O32" s="315">
        <f>1/(1+'[93]Asumsi I'!$C$3)^(KKF!A32)</f>
        <v>5.8823306552253637E-2</v>
      </c>
      <c r="P32" s="316">
        <f t="shared" ca="1" si="7"/>
        <v>-1.3284862562441472E-3</v>
      </c>
      <c r="Q32" s="316">
        <f ca="1">Q31+P32</f>
        <v>-80.013699842552427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49999999999999" customHeight="1">
      <c r="B33" s="323"/>
      <c r="C33" s="323"/>
      <c r="D33" s="323"/>
      <c r="E33" s="323"/>
      <c r="F33" s="623" t="s">
        <v>1374</v>
      </c>
      <c r="G33" s="623"/>
      <c r="H33" s="623"/>
      <c r="I33" s="324"/>
      <c r="J33" s="325">
        <f ca="1">SUM(J7:J32)</f>
        <v>286.84592042667907</v>
      </c>
      <c r="K33" s="623" t="s">
        <v>1375</v>
      </c>
      <c r="L33" s="623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49999999999999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-4232.1742049284258</v>
      </c>
      <c r="V34" s="331"/>
    </row>
    <row r="35" spans="2:22" ht="20.149999999999999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49999999999999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0.71970604878366939</v>
      </c>
    </row>
    <row r="37" spans="2:22" ht="20.149999999999999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-71.44080343085038</v>
      </c>
    </row>
    <row r="38" spans="2:22" ht="20.149999999999999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49999999999999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7" priority="1" stopIfTrue="1" operator="greaterThanOrEqual">
      <formula>$F$7</formula>
    </cfRule>
    <cfRule type="cellIs" dxfId="36" priority="2" stopIfTrue="1" operator="lessThan">
      <formula>$F$7</formula>
    </cfRule>
  </conditionalFormatting>
  <conditionalFormatting sqref="Q7:Q32">
    <cfRule type="cellIs" dxfId="35" priority="3" operator="lessThan">
      <formula>0</formula>
    </cfRule>
    <cfRule type="cellIs" dxfId="34" priority="4" operator="lessThan">
      <formula>0</formula>
    </cfRule>
    <cfRule type="cellIs" dxfId="33" priority="5" operator="lessThan">
      <formula>-6395.81</formula>
    </cfRule>
    <cfRule type="cellIs" dxfId="3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3"/>
  <sheetViews>
    <sheetView showGridLines="0" zoomScale="70" zoomScaleNormal="70" zoomScaleSheetLayoutView="70" workbookViewId="0">
      <pane ySplit="13" topLeftCell="A116" activePane="bottomLeft" state="frozen"/>
      <selection activeCell="H1093" sqref="H1093"/>
      <selection pane="bottomLeft" activeCell="E118" sqref="E118"/>
    </sheetView>
  </sheetViews>
  <sheetFormatPr defaultColWidth="9.1796875" defaultRowHeight="14"/>
  <cols>
    <col min="1" max="1" width="8.26953125" style="336" customWidth="1"/>
    <col min="2" max="2" width="5.1796875" style="337" customWidth="1"/>
    <col min="3" max="3" width="53.453125" style="409" customWidth="1"/>
    <col min="4" max="4" width="13.7265625" style="409" customWidth="1"/>
    <col min="5" max="5" width="12.54296875" style="340" customWidth="1"/>
    <col min="6" max="6" width="7.7265625" style="340" customWidth="1"/>
    <col min="7" max="7" width="12.7265625" style="340" customWidth="1"/>
    <col min="8" max="8" width="18.1796875" style="341" customWidth="1"/>
    <col min="9" max="9" width="16.7265625" style="341" customWidth="1"/>
    <col min="10" max="11" width="16.7265625" style="342" customWidth="1"/>
    <col min="12" max="12" width="3.7265625" style="342" customWidth="1"/>
    <col min="13" max="13" width="14" style="342" customWidth="1"/>
    <col min="14" max="14" width="15" style="342" customWidth="1"/>
    <col min="15" max="15" width="9.1796875" style="343" customWidth="1"/>
    <col min="16" max="16" width="12.7265625" style="344" customWidth="1"/>
    <col min="17" max="17" width="12.7265625" style="343" customWidth="1"/>
    <col min="18" max="18" width="2.453125" style="343" customWidth="1"/>
    <col min="19" max="22" width="10.81640625" style="343" customWidth="1"/>
    <col min="23" max="24" width="9.1796875" style="343" customWidth="1"/>
    <col min="25" max="16384" width="9.179687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6" t="s">
        <v>1036</v>
      </c>
      <c r="P3" s="646"/>
      <c r="Q3" s="346"/>
      <c r="T3" s="344"/>
      <c r="U3" s="345" t="s">
        <v>1041</v>
      </c>
      <c r="V3" s="344"/>
    </row>
    <row r="4" spans="1:22" ht="15.75" customHeight="1">
      <c r="B4" s="647" t="s">
        <v>1023</v>
      </c>
      <c r="C4" s="647"/>
      <c r="D4" s="647"/>
      <c r="E4" s="647"/>
      <c r="F4" s="647"/>
      <c r="G4" s="647"/>
      <c r="H4" s="647"/>
      <c r="I4" s="647"/>
      <c r="J4" s="647"/>
      <c r="K4" s="647"/>
      <c r="O4" s="646"/>
      <c r="P4" s="64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0" t="str">
        <f>DATA!D14</f>
        <v>SUMITRO</v>
      </c>
      <c r="H6" s="630"/>
      <c r="I6" s="630"/>
      <c r="J6" s="630"/>
      <c r="K6" s="63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4.5" thickBot="1">
      <c r="C10" s="339"/>
      <c r="D10" s="339"/>
      <c r="T10" s="344"/>
      <c r="U10" s="344"/>
      <c r="V10" s="344"/>
    </row>
    <row r="11" spans="1:22" ht="21" customHeight="1">
      <c r="B11" s="649" t="s">
        <v>0</v>
      </c>
      <c r="C11" s="651" t="s">
        <v>1</v>
      </c>
      <c r="D11" s="640" t="s">
        <v>42</v>
      </c>
      <c r="E11" s="640" t="s">
        <v>43</v>
      </c>
      <c r="F11" s="640" t="s">
        <v>2</v>
      </c>
      <c r="G11" s="654" t="s">
        <v>41</v>
      </c>
      <c r="H11" s="640" t="s">
        <v>3</v>
      </c>
      <c r="I11" s="640"/>
      <c r="J11" s="640"/>
      <c r="K11" s="64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50"/>
      <c r="C12" s="652"/>
      <c r="D12" s="644"/>
      <c r="E12" s="644"/>
      <c r="F12" s="644"/>
      <c r="G12" s="655"/>
      <c r="H12" s="642" t="s">
        <v>46</v>
      </c>
      <c r="I12" s="642" t="s">
        <v>5</v>
      </c>
      <c r="J12" s="644" t="s">
        <v>47</v>
      </c>
      <c r="K12" s="64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50"/>
      <c r="C13" s="653"/>
      <c r="D13" s="644"/>
      <c r="E13" s="644"/>
      <c r="F13" s="644"/>
      <c r="G13" s="656"/>
      <c r="H13" s="643"/>
      <c r="I13" s="643"/>
      <c r="J13" s="644"/>
      <c r="K13" s="64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 ht="14.5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6074400</v>
      </c>
      <c r="J17" s="361">
        <f t="shared" ref="J17" ca="1" si="10">IF(D17="JASA",G17*F17,0)</f>
        <v>0</v>
      </c>
      <c r="K17" s="362">
        <f t="shared" ref="K17" ca="1" si="11">SUM(H17:J17)</f>
        <v>6074400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 ht="14.5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10066.666666666668</v>
      </c>
      <c r="K18" s="362">
        <f t="shared" ref="K18" ca="1" si="15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 ht="14.5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 ht="14.5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 ht="14.5">
      <c r="A22" s="336"/>
      <c r="B22" s="496"/>
      <c r="C22" s="49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 ht="14.5">
      <c r="A23" s="336"/>
      <c r="B23" s="513" t="s">
        <v>1035</v>
      </c>
      <c r="C23" s="514" t="s">
        <v>1629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22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 ht="14.5">
      <c r="A24" s="336"/>
      <c r="B24" s="513">
        <v>1</v>
      </c>
      <c r="C24" s="514" t="s">
        <v>1566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Set</v>
      </c>
      <c r="F24" s="522">
        <f>F23*3</f>
        <v>6</v>
      </c>
      <c r="G24" s="360">
        <f ca="1">IF(ISERROR(OFFSET('HARGA SATUAN'!$I$6,MATCH(RAB!C24,'HARGA SATUAN'!$C$7:$C$1492,0),0)),0,OFFSET('HARGA SATUAN'!$I$6,MATCH(RAB!C24,'HARGA SATUAN'!$C$7:$C$1492,0),0))</f>
        <v>205700</v>
      </c>
      <c r="H24" s="361">
        <f t="shared" ca="1" si="20"/>
        <v>1234200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1234200</v>
      </c>
      <c r="L24" s="342"/>
      <c r="M24" s="342"/>
      <c r="N24" s="369"/>
      <c r="O24" s="344"/>
      <c r="P24" s="397"/>
      <c r="Q24" s="344"/>
    </row>
    <row r="25" spans="1:22" s="365" customFormat="1" ht="14.5">
      <c r="A25" s="336"/>
      <c r="B25" s="513">
        <v>2</v>
      </c>
      <c r="C25" s="514" t="s">
        <v>152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22">
        <f>F23*1</f>
        <v>2</v>
      </c>
      <c r="G25" s="360">
        <f ca="1">IF(ISERROR(OFFSET('HARGA SATUAN'!$I$6,MATCH(RAB!C25,'HARGA SATUAN'!$C$7:$C$1492,0),0)),0,OFFSET('HARGA SATUAN'!$I$6,MATCH(RAB!C25,'HARGA SATUAN'!$C$7:$C$1492,0),0))</f>
        <v>7789</v>
      </c>
      <c r="H25" s="361">
        <f t="shared" ca="1" si="20"/>
        <v>0</v>
      </c>
      <c r="I25" s="361">
        <f t="shared" ca="1" si="21"/>
        <v>15578</v>
      </c>
      <c r="J25" s="361">
        <f t="shared" ca="1" si="22"/>
        <v>0</v>
      </c>
      <c r="K25" s="362">
        <f t="shared" ca="1" si="23"/>
        <v>15578</v>
      </c>
      <c r="L25" s="342"/>
      <c r="M25" s="342"/>
      <c r="N25" s="369"/>
      <c r="O25" s="344"/>
      <c r="P25" s="397"/>
      <c r="Q25" s="344"/>
    </row>
    <row r="26" spans="1:22" s="365" customFormat="1" ht="14.5">
      <c r="A26" s="336"/>
      <c r="B26" s="513">
        <v>3</v>
      </c>
      <c r="C26" s="514" t="s">
        <v>157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22">
        <f>F23*2</f>
        <v>4</v>
      </c>
      <c r="G26" s="360">
        <f ca="1">IF(ISERROR(OFFSET('HARGA SATUAN'!$I$6,MATCH(RAB!C26,'HARGA SATUAN'!$C$7:$C$1492,0),0)),0,OFFSET('HARGA SATUAN'!$I$6,MATCH(RAB!C26,'HARGA SATUAN'!$C$7:$C$1492,0),0))</f>
        <v>40000</v>
      </c>
      <c r="H26" s="361">
        <f t="shared" ca="1" si="20"/>
        <v>0</v>
      </c>
      <c r="I26" s="361">
        <f t="shared" ca="1" si="21"/>
        <v>160000</v>
      </c>
      <c r="J26" s="361">
        <f t="shared" ca="1" si="22"/>
        <v>0</v>
      </c>
      <c r="K26" s="362">
        <f t="shared" ca="1" si="23"/>
        <v>160000</v>
      </c>
      <c r="L26" s="342"/>
      <c r="M26" s="342"/>
      <c r="N26" s="369"/>
      <c r="O26" s="344"/>
      <c r="P26" s="397"/>
      <c r="Q26" s="344"/>
    </row>
    <row r="27" spans="1:22" s="365" customFormat="1" ht="14.5">
      <c r="A27" s="336"/>
      <c r="B27" s="513">
        <v>4</v>
      </c>
      <c r="C27" s="514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22">
        <f>F23*1</f>
        <v>2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20"/>
        <v>0</v>
      </c>
      <c r="I27" s="361">
        <f t="shared" ca="1" si="21"/>
        <v>53000</v>
      </c>
      <c r="J27" s="361">
        <f t="shared" ca="1" si="22"/>
        <v>0</v>
      </c>
      <c r="K27" s="362">
        <f t="shared" ca="1" si="23"/>
        <v>53000</v>
      </c>
      <c r="L27" s="342"/>
      <c r="M27" s="342"/>
      <c r="N27" s="369"/>
      <c r="O27" s="344"/>
      <c r="P27" s="397"/>
      <c r="Q27" s="344"/>
    </row>
    <row r="28" spans="1:22" s="365" customFormat="1" ht="14.5">
      <c r="A28" s="336"/>
      <c r="B28" s="513">
        <v>5</v>
      </c>
      <c r="C28" s="514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22">
        <f>F23*4</f>
        <v>8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20"/>
        <v>0</v>
      </c>
      <c r="I28" s="361">
        <f t="shared" ca="1" si="21"/>
        <v>63504</v>
      </c>
      <c r="J28" s="361">
        <f t="shared" ca="1" si="22"/>
        <v>0</v>
      </c>
      <c r="K28" s="362">
        <f t="shared" ca="1" si="23"/>
        <v>63504</v>
      </c>
      <c r="L28" s="342"/>
      <c r="M28" s="342"/>
      <c r="N28" s="369"/>
      <c r="O28" s="344"/>
      <c r="P28" s="397"/>
      <c r="Q28" s="344"/>
    </row>
    <row r="29" spans="1:22" s="365" customFormat="1" ht="14.5">
      <c r="A29" s="336"/>
      <c r="B29" s="513">
        <v>6</v>
      </c>
      <c r="C29" s="514" t="s">
        <v>173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22">
        <f>F23*4</f>
        <v>8</v>
      </c>
      <c r="G29" s="360">
        <f ca="1">IF(ISERROR(OFFSET('HARGA SATUAN'!$I$6,MATCH(RAB!C29,'HARGA SATUAN'!$C$7:$C$1492,0),0)),0,OFFSET('HARGA SATUAN'!$I$6,MATCH(RAB!C29,'HARGA SATUAN'!$C$7:$C$1492,0),0))</f>
        <v>45000</v>
      </c>
      <c r="H29" s="361">
        <f t="shared" ref="H29:H79" ca="1" si="24">IF(OR(D29="MDU",D29="MDU-KD"),(IF($O$3="RAB NON MDU","PLN KD",G29*F29)),0)</f>
        <v>0</v>
      </c>
      <c r="I29" s="361">
        <f t="shared" ref="I29:I79" ca="1" si="25">IF(D29="HDW",G29*F29,0)</f>
        <v>360000</v>
      </c>
      <c r="J29" s="361">
        <f t="shared" ref="J29:J79" ca="1" si="26">IF(D29="JASA",G29*F29,0)</f>
        <v>0</v>
      </c>
      <c r="K29" s="362">
        <f t="shared" ref="K29:K79" ca="1" si="27">SUM(H29:J29)</f>
        <v>360000</v>
      </c>
      <c r="L29" s="342"/>
      <c r="M29" s="342"/>
      <c r="N29" s="369"/>
      <c r="O29" s="344"/>
      <c r="P29" s="397"/>
      <c r="Q29" s="344"/>
    </row>
    <row r="30" spans="1:22" s="365" customFormat="1" ht="14.5">
      <c r="A30" s="336"/>
      <c r="B30" s="513">
        <v>7</v>
      </c>
      <c r="C30" s="514" t="s">
        <v>179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22">
        <f>F23*1</f>
        <v>2</v>
      </c>
      <c r="G30" s="360">
        <f ca="1">IF(ISERROR(OFFSET('HARGA SATUAN'!$I$6,MATCH(RAB!C30,'HARGA SATUAN'!$C$7:$C$1492,0),0)),0,OFFSET('HARGA SATUAN'!$I$6,MATCH(RAB!C30,'HARGA SATUAN'!$C$7:$C$1492,0),0))</f>
        <v>15500</v>
      </c>
      <c r="H30" s="361">
        <f t="shared" ca="1" si="24"/>
        <v>0</v>
      </c>
      <c r="I30" s="361">
        <f t="shared" ca="1" si="25"/>
        <v>31000</v>
      </c>
      <c r="J30" s="361">
        <f t="shared" ca="1" si="26"/>
        <v>0</v>
      </c>
      <c r="K30" s="362">
        <f t="shared" ca="1" si="27"/>
        <v>31000</v>
      </c>
      <c r="L30" s="342"/>
      <c r="M30" s="342"/>
      <c r="N30" s="369"/>
      <c r="O30" s="344"/>
      <c r="P30" s="397"/>
      <c r="Q30" s="344"/>
    </row>
    <row r="31" spans="1:22" s="365" customFormat="1" ht="14.5">
      <c r="A31" s="336"/>
      <c r="B31" s="513">
        <v>8</v>
      </c>
      <c r="C31" s="514" t="s">
        <v>593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22">
        <f>F23*2</f>
        <v>4</v>
      </c>
      <c r="G31" s="360">
        <f ca="1">IF(ISERROR(OFFSET('HARGA SATUAN'!$I$6,MATCH(RAB!C31,'HARGA SATUAN'!$C$7:$C$1492,0),0)),0,OFFSET('HARGA SATUAN'!$I$6,MATCH(RAB!C31,'HARGA SATUAN'!$C$7:$C$1492,0),0))</f>
        <v>380500</v>
      </c>
      <c r="H31" s="361">
        <f t="shared" ca="1" si="24"/>
        <v>0</v>
      </c>
      <c r="I31" s="361">
        <f t="shared" ca="1" si="25"/>
        <v>1522000</v>
      </c>
      <c r="J31" s="361">
        <f t="shared" ca="1" si="26"/>
        <v>0</v>
      </c>
      <c r="K31" s="362">
        <f t="shared" ca="1" si="27"/>
        <v>1522000</v>
      </c>
      <c r="L31" s="342"/>
      <c r="M31" s="342"/>
      <c r="N31" s="369"/>
      <c r="O31" s="344"/>
      <c r="P31" s="397"/>
      <c r="Q31" s="344"/>
    </row>
    <row r="32" spans="1:22" s="365" customFormat="1" ht="14.5">
      <c r="A32" s="336"/>
      <c r="B32" s="513">
        <v>9</v>
      </c>
      <c r="C32" s="514" t="s">
        <v>217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22">
        <f>F23*4</f>
        <v>8</v>
      </c>
      <c r="G32" s="360">
        <f ca="1">IF(ISERROR(OFFSET('HARGA SATUAN'!$I$6,MATCH(RAB!C32,'HARGA SATUAN'!$C$7:$C$1492,0),0)),0,OFFSET('HARGA SATUAN'!$I$6,MATCH(RAB!C32,'HARGA SATUAN'!$C$7:$C$1492,0),0))</f>
        <v>11400</v>
      </c>
      <c r="H32" s="361">
        <f t="shared" ca="1" si="24"/>
        <v>0</v>
      </c>
      <c r="I32" s="361">
        <f t="shared" ca="1" si="25"/>
        <v>91200</v>
      </c>
      <c r="J32" s="361">
        <f t="shared" ca="1" si="26"/>
        <v>0</v>
      </c>
      <c r="K32" s="362">
        <f t="shared" ca="1" si="27"/>
        <v>91200</v>
      </c>
      <c r="L32" s="342"/>
      <c r="M32" s="342"/>
      <c r="N32" s="369"/>
      <c r="O32" s="344"/>
      <c r="P32" s="397"/>
      <c r="Q32" s="344"/>
    </row>
    <row r="33" spans="1:17" s="365" customFormat="1" ht="14.5">
      <c r="A33" s="336"/>
      <c r="B33" s="513">
        <v>10</v>
      </c>
      <c r="C33" s="514" t="s">
        <v>218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22">
        <f>F23*2</f>
        <v>4</v>
      </c>
      <c r="G33" s="360">
        <f ca="1">IF(ISERROR(OFFSET('HARGA SATUAN'!$I$6,MATCH(RAB!C33,'HARGA SATUAN'!$C$7:$C$1492,0),0)),0,OFFSET('HARGA SATUAN'!$I$6,MATCH(RAB!C33,'HARGA SATUAN'!$C$7:$C$1492,0),0))</f>
        <v>29600</v>
      </c>
      <c r="H33" s="361">
        <f t="shared" ca="1" si="24"/>
        <v>0</v>
      </c>
      <c r="I33" s="361">
        <f t="shared" ca="1" si="25"/>
        <v>118400</v>
      </c>
      <c r="J33" s="361">
        <f t="shared" ca="1" si="26"/>
        <v>0</v>
      </c>
      <c r="K33" s="362">
        <f t="shared" ca="1" si="27"/>
        <v>118400</v>
      </c>
      <c r="L33" s="342"/>
      <c r="M33" s="342"/>
      <c r="N33" s="369"/>
      <c r="O33" s="344"/>
      <c r="P33" s="397"/>
      <c r="Q33" s="344"/>
    </row>
    <row r="34" spans="1:17" s="365" customFormat="1" ht="14.5">
      <c r="A34" s="336"/>
      <c r="B34" s="513">
        <v>11</v>
      </c>
      <c r="C34" s="514" t="s">
        <v>223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22">
        <f>F23*1</f>
        <v>2</v>
      </c>
      <c r="G34" s="360">
        <f ca="1">IF(ISERROR(OFFSET('HARGA SATUAN'!$I$6,MATCH(RAB!C34,'HARGA SATUAN'!$C$7:$C$1492,0),0)),0,OFFSET('HARGA SATUAN'!$I$6,MATCH(RAB!C34,'HARGA SATUAN'!$C$7:$C$1492,0),0))</f>
        <v>27815</v>
      </c>
      <c r="H34" s="361">
        <f t="shared" ca="1" si="24"/>
        <v>0</v>
      </c>
      <c r="I34" s="361">
        <f t="shared" ca="1" si="25"/>
        <v>55630</v>
      </c>
      <c r="J34" s="361">
        <f t="shared" ca="1" si="26"/>
        <v>0</v>
      </c>
      <c r="K34" s="362">
        <f t="shared" ca="1" si="27"/>
        <v>55630</v>
      </c>
      <c r="L34" s="342"/>
      <c r="M34" s="342"/>
      <c r="N34" s="369"/>
      <c r="O34" s="344"/>
      <c r="P34" s="397"/>
      <c r="Q34" s="344"/>
    </row>
    <row r="35" spans="1:17" s="365" customFormat="1" ht="14.5">
      <c r="A35" s="336"/>
      <c r="B35" s="513">
        <v>12</v>
      </c>
      <c r="C35" s="514" t="s">
        <v>25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22">
        <f>F23*3</f>
        <v>6</v>
      </c>
      <c r="G35" s="360">
        <f ca="1">IF(ISERROR(OFFSET('HARGA SATUAN'!$I$6,MATCH(RAB!C35,'HARGA SATUAN'!$C$7:$C$1492,0),0)),0,OFFSET('HARGA SATUAN'!$I$6,MATCH(RAB!C35,'HARGA SATUAN'!$C$7:$C$1492,0),0))</f>
        <v>23936</v>
      </c>
      <c r="H35" s="361">
        <f t="shared" ca="1" si="24"/>
        <v>0</v>
      </c>
      <c r="I35" s="361">
        <f t="shared" ca="1" si="25"/>
        <v>143616</v>
      </c>
      <c r="J35" s="361">
        <f t="shared" ca="1" si="26"/>
        <v>0</v>
      </c>
      <c r="K35" s="362">
        <f t="shared" ca="1" si="27"/>
        <v>143616</v>
      </c>
      <c r="L35" s="342"/>
      <c r="M35" s="342"/>
      <c r="N35" s="369"/>
      <c r="O35" s="344"/>
      <c r="P35" s="397"/>
      <c r="Q35" s="344"/>
    </row>
    <row r="36" spans="1:17" s="365" customFormat="1" ht="14.5">
      <c r="A36" s="336"/>
      <c r="B36" s="513">
        <v>13</v>
      </c>
      <c r="C36" s="514" t="s">
        <v>37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22">
        <f>F23*1</f>
        <v>2</v>
      </c>
      <c r="G36" s="360">
        <f ca="1">IF(ISERROR(OFFSET('HARGA SATUAN'!$I$6,MATCH(RAB!C36,'HARGA SATUAN'!$C$7:$C$1492,0),0)),0,OFFSET('HARGA SATUAN'!$I$6,MATCH(RAB!C36,'HARGA SATUAN'!$C$7:$C$1492,0),0))</f>
        <v>63500</v>
      </c>
      <c r="H36" s="361">
        <f t="shared" ref="H36" ca="1" si="28">IF(OR(D36="MDU",D36="MDU-KD"),(IF($O$3="RAB NON MDU","PLN KD",G36*F36)),0)</f>
        <v>0</v>
      </c>
      <c r="I36" s="361">
        <f t="shared" ref="I36" ca="1" si="29">IF(D36="HDW",G36*F36,0)</f>
        <v>127000</v>
      </c>
      <c r="J36" s="361">
        <f t="shared" ref="J36" ca="1" si="30">IF(D36="JASA",G36*F36,0)</f>
        <v>0</v>
      </c>
      <c r="K36" s="362">
        <f t="shared" ref="K36" ca="1" si="31">SUM(H36:J36)</f>
        <v>127000</v>
      </c>
      <c r="L36" s="342"/>
      <c r="M36" s="342"/>
      <c r="N36" s="369"/>
      <c r="O36" s="344"/>
      <c r="P36" s="397"/>
      <c r="Q36" s="344"/>
    </row>
    <row r="37" spans="1:17" s="365" customFormat="1" ht="14.5">
      <c r="A37" s="336"/>
      <c r="B37" s="516">
        <v>14</v>
      </c>
      <c r="C37" s="517" t="s">
        <v>247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22">
        <f>F23*1</f>
        <v>2</v>
      </c>
      <c r="G37" s="360">
        <f ca="1">IF(ISERROR(OFFSET('HARGA SATUAN'!$I$6,MATCH(RAB!C37,'HARGA SATUAN'!$C$7:$C$1492,0),0)),0,OFFSET('HARGA SATUAN'!$I$6,MATCH(RAB!C37,'HARGA SATUAN'!$C$7:$C$1492,0),0))</f>
        <v>57690</v>
      </c>
      <c r="H37" s="361">
        <f t="shared" ca="1" si="24"/>
        <v>0</v>
      </c>
      <c r="I37" s="361">
        <f t="shared" ca="1" si="25"/>
        <v>115380</v>
      </c>
      <c r="J37" s="361">
        <f t="shared" ca="1" si="26"/>
        <v>0</v>
      </c>
      <c r="K37" s="362">
        <f t="shared" ca="1" si="27"/>
        <v>115380</v>
      </c>
      <c r="L37" s="342"/>
      <c r="M37" s="342"/>
      <c r="N37" s="369"/>
      <c r="O37" s="344"/>
      <c r="P37" s="397"/>
      <c r="Q37" s="344"/>
    </row>
    <row r="38" spans="1:17" s="365" customFormat="1" ht="14.5">
      <c r="A38" s="336"/>
      <c r="B38" s="516">
        <v>15</v>
      </c>
      <c r="C38" s="517" t="s">
        <v>27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22">
        <f>F23*3</f>
        <v>6</v>
      </c>
      <c r="G38" s="360">
        <f ca="1">IF(ISERROR(OFFSET('HARGA SATUAN'!$I$6,MATCH(RAB!C38,'HARGA SATUAN'!$C$7:$C$1492,0),0)),0,OFFSET('HARGA SATUAN'!$I$6,MATCH(RAB!C38,'HARGA SATUAN'!$C$7:$C$1492,0),0))</f>
        <v>16000</v>
      </c>
      <c r="H38" s="361">
        <f t="shared" ca="1" si="24"/>
        <v>0</v>
      </c>
      <c r="I38" s="361">
        <f t="shared" ca="1" si="25"/>
        <v>96000</v>
      </c>
      <c r="J38" s="361">
        <f t="shared" ca="1" si="26"/>
        <v>0</v>
      </c>
      <c r="K38" s="362">
        <f t="shared" ca="1" si="27"/>
        <v>96000</v>
      </c>
      <c r="L38" s="342"/>
      <c r="M38" s="342"/>
      <c r="N38" s="369"/>
      <c r="O38" s="344"/>
      <c r="P38" s="397"/>
      <c r="Q38" s="344"/>
    </row>
    <row r="39" spans="1:17" s="365" customFormat="1" ht="14.5">
      <c r="A39" s="336"/>
      <c r="B39" s="516">
        <v>16</v>
      </c>
      <c r="C39" s="517" t="s">
        <v>265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22">
        <f>F23*1</f>
        <v>2</v>
      </c>
      <c r="G39" s="360">
        <f ca="1">IF(ISERROR(OFFSET('HARGA SATUAN'!$I$6,MATCH(RAB!C39,'HARGA SATUAN'!$C$7:$C$1492,0),0)),0,OFFSET('HARGA SATUAN'!$I$6,MATCH(RAB!C39,'HARGA SATUAN'!$C$7:$C$1492,0),0))</f>
        <v>33501.866666666669</v>
      </c>
      <c r="H39" s="361">
        <f t="shared" ca="1" si="24"/>
        <v>0</v>
      </c>
      <c r="I39" s="361">
        <f t="shared" ca="1" si="25"/>
        <v>67003.733333333337</v>
      </c>
      <c r="J39" s="361">
        <f t="shared" ca="1" si="26"/>
        <v>0</v>
      </c>
      <c r="K39" s="362">
        <f t="shared" ca="1" si="27"/>
        <v>67003.733333333337</v>
      </c>
      <c r="L39" s="342"/>
      <c r="M39" s="342"/>
      <c r="N39" s="369"/>
      <c r="O39" s="344"/>
      <c r="P39" s="397"/>
      <c r="Q39" s="344"/>
    </row>
    <row r="40" spans="1:17" s="365" customFormat="1" ht="14.5">
      <c r="A40" s="336"/>
      <c r="B40" s="516">
        <v>17</v>
      </c>
      <c r="C40" s="517" t="s">
        <v>26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22">
        <f>F23*11</f>
        <v>22</v>
      </c>
      <c r="G40" s="360">
        <f ca="1">IF(ISERROR(OFFSET('HARGA SATUAN'!$I$6,MATCH(RAB!C40,'HARGA SATUAN'!$C$7:$C$1492,0),0)),0,OFFSET('HARGA SATUAN'!$I$6,MATCH(RAB!C40,'HARGA SATUAN'!$C$7:$C$1492,0),0))</f>
        <v>2500</v>
      </c>
      <c r="H40" s="361">
        <f t="shared" ca="1" si="24"/>
        <v>0</v>
      </c>
      <c r="I40" s="361">
        <f t="shared" ca="1" si="25"/>
        <v>55000</v>
      </c>
      <c r="J40" s="361">
        <f t="shared" ca="1" si="26"/>
        <v>0</v>
      </c>
      <c r="K40" s="362">
        <f t="shared" ca="1" si="27"/>
        <v>55000</v>
      </c>
      <c r="L40" s="342"/>
      <c r="M40" s="342"/>
      <c r="N40" s="369"/>
      <c r="O40" s="344"/>
      <c r="P40" s="397"/>
      <c r="Q40" s="344"/>
    </row>
    <row r="41" spans="1:17" s="365" customFormat="1" ht="14.5">
      <c r="A41" s="336"/>
      <c r="B41" s="516">
        <v>18</v>
      </c>
      <c r="C41" s="517" t="s">
        <v>703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22">
        <f>F23*1</f>
        <v>2</v>
      </c>
      <c r="G41" s="360">
        <f ca="1">IF(ISERROR(OFFSET('HARGA SATUAN'!$I$6,MATCH(RAB!C41,'HARGA SATUAN'!$C$7:$C$1492,0),0)),0,OFFSET('HARGA SATUAN'!$I$6,MATCH(RAB!C41,'HARGA SATUAN'!$C$7:$C$1492,0),0))</f>
        <v>134700</v>
      </c>
      <c r="H41" s="361">
        <f t="shared" ca="1" si="24"/>
        <v>0</v>
      </c>
      <c r="I41" s="361">
        <f t="shared" ca="1" si="25"/>
        <v>0</v>
      </c>
      <c r="J41" s="361">
        <f t="shared" ca="1" si="26"/>
        <v>269400</v>
      </c>
      <c r="K41" s="362">
        <f t="shared" ca="1" si="27"/>
        <v>269400</v>
      </c>
      <c r="L41" s="342"/>
      <c r="M41" s="342"/>
      <c r="N41" s="369"/>
      <c r="O41" s="344"/>
      <c r="P41" s="397"/>
      <c r="Q41" s="344"/>
    </row>
    <row r="42" spans="1:17" s="365" customFormat="1" ht="14.5">
      <c r="A42" s="336"/>
      <c r="B42" s="513"/>
      <c r="C42" s="514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499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4"/>
        <v>0</v>
      </c>
      <c r="I42" s="361">
        <f t="shared" ca="1" si="25"/>
        <v>0</v>
      </c>
      <c r="J42" s="361">
        <f t="shared" ca="1" si="26"/>
        <v>0</v>
      </c>
      <c r="K42" s="362">
        <f t="shared" ca="1" si="27"/>
        <v>0</v>
      </c>
      <c r="L42" s="342"/>
      <c r="M42" s="342"/>
      <c r="N42" s="369"/>
      <c r="O42" s="344"/>
      <c r="P42" s="397"/>
      <c r="Q42" s="344"/>
    </row>
    <row r="43" spans="1:17" s="365" customFormat="1" ht="14.5">
      <c r="A43" s="336"/>
      <c r="B43" s="513" t="s">
        <v>1035</v>
      </c>
      <c r="C43" s="514" t="s">
        <v>1630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499">
        <v>2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4"/>
        <v>0</v>
      </c>
      <c r="I43" s="361">
        <f t="shared" ca="1" si="25"/>
        <v>0</v>
      </c>
      <c r="J43" s="361">
        <f t="shared" ca="1" si="26"/>
        <v>0</v>
      </c>
      <c r="K43" s="362">
        <f t="shared" ca="1" si="27"/>
        <v>0</v>
      </c>
      <c r="L43" s="342"/>
      <c r="M43" s="342"/>
      <c r="N43" s="369"/>
      <c r="O43" s="344"/>
      <c r="P43" s="397"/>
      <c r="Q43" s="344"/>
    </row>
    <row r="44" spans="1:17" s="365" customFormat="1" ht="14.5">
      <c r="A44" s="336"/>
      <c r="B44" s="513">
        <v>1</v>
      </c>
      <c r="C44" s="514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9">
        <f>F43*1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24"/>
        <v>0</v>
      </c>
      <c r="I44" s="361">
        <f t="shared" ca="1" si="25"/>
        <v>53000</v>
      </c>
      <c r="J44" s="361">
        <f t="shared" ca="1" si="26"/>
        <v>0</v>
      </c>
      <c r="K44" s="362">
        <f t="shared" ca="1" si="27"/>
        <v>53000</v>
      </c>
      <c r="L44" s="342"/>
      <c r="M44" s="342"/>
      <c r="N44" s="369"/>
      <c r="O44" s="344"/>
      <c r="P44" s="397"/>
      <c r="Q44" s="344"/>
    </row>
    <row r="45" spans="1:17" s="365" customFormat="1" ht="14.5">
      <c r="A45" s="336"/>
      <c r="B45" s="513">
        <v>2</v>
      </c>
      <c r="C45" s="514" t="s">
        <v>203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9">
        <f>F43*1</f>
        <v>2</v>
      </c>
      <c r="G45" s="360">
        <f ca="1">IF(ISERROR(OFFSET('HARGA SATUAN'!$I$6,MATCH(RAB!C45,'HARGA SATUAN'!$C$7:$C$1492,0),0)),0,OFFSET('HARGA SATUAN'!$I$6,MATCH(RAB!C45,'HARGA SATUAN'!$C$7:$C$1492,0),0))</f>
        <v>12500</v>
      </c>
      <c r="H45" s="361">
        <f t="shared" ca="1" si="24"/>
        <v>0</v>
      </c>
      <c r="I45" s="361">
        <f t="shared" ca="1" si="25"/>
        <v>25000</v>
      </c>
      <c r="J45" s="361">
        <f t="shared" ca="1" si="26"/>
        <v>0</v>
      </c>
      <c r="K45" s="362">
        <f t="shared" ca="1" si="27"/>
        <v>25000</v>
      </c>
      <c r="L45" s="342"/>
      <c r="M45" s="342"/>
      <c r="N45" s="369"/>
      <c r="O45" s="344"/>
      <c r="P45" s="397"/>
      <c r="Q45" s="344"/>
    </row>
    <row r="46" spans="1:17" s="365" customFormat="1" ht="14.5">
      <c r="A46" s="336"/>
      <c r="B46" s="513">
        <v>3</v>
      </c>
      <c r="C46" s="514" t="s">
        <v>206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499">
        <f>F43*12</f>
        <v>24</v>
      </c>
      <c r="G46" s="360">
        <f ca="1">IF(ISERROR(OFFSET('HARGA SATUAN'!$I$6,MATCH(RAB!C46,'HARGA SATUAN'!$C$7:$C$1492,0),0)),0,OFFSET('HARGA SATUAN'!$I$6,MATCH(RAB!C46,'HARGA SATUAN'!$C$7:$C$1492,0),0))</f>
        <v>39204</v>
      </c>
      <c r="H46" s="361">
        <f t="shared" ca="1" si="24"/>
        <v>0</v>
      </c>
      <c r="I46" s="361">
        <f t="shared" ca="1" si="25"/>
        <v>940896</v>
      </c>
      <c r="J46" s="361">
        <f t="shared" ca="1" si="26"/>
        <v>0</v>
      </c>
      <c r="K46" s="362">
        <f t="shared" ca="1" si="27"/>
        <v>940896</v>
      </c>
      <c r="L46" s="342"/>
      <c r="M46" s="342"/>
      <c r="N46" s="369"/>
      <c r="O46" s="344"/>
      <c r="P46" s="397"/>
      <c r="Q46" s="344"/>
    </row>
    <row r="47" spans="1:17" s="365" customFormat="1" ht="14.5">
      <c r="A47" s="336"/>
      <c r="B47" s="513">
        <v>4</v>
      </c>
      <c r="C47" s="514" t="s">
        <v>287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9">
        <f>F43*2</f>
        <v>4</v>
      </c>
      <c r="G47" s="360">
        <f ca="1">IF(ISERROR(OFFSET('HARGA SATUAN'!$I$6,MATCH(RAB!C47,'HARGA SATUAN'!$C$7:$C$1492,0),0)),0,OFFSET('HARGA SATUAN'!$I$6,MATCH(RAB!C47,'HARGA SATUAN'!$C$7:$C$1492,0),0))</f>
        <v>40000</v>
      </c>
      <c r="H47" s="361">
        <f t="shared" ca="1" si="24"/>
        <v>0</v>
      </c>
      <c r="I47" s="361">
        <f t="shared" ca="1" si="25"/>
        <v>160000</v>
      </c>
      <c r="J47" s="361">
        <f t="shared" ca="1" si="26"/>
        <v>0</v>
      </c>
      <c r="K47" s="362">
        <f t="shared" ca="1" si="27"/>
        <v>160000</v>
      </c>
      <c r="L47" s="342"/>
      <c r="M47" s="342"/>
      <c r="N47" s="369"/>
      <c r="O47" s="344"/>
      <c r="P47" s="397"/>
      <c r="Q47" s="344"/>
    </row>
    <row r="48" spans="1:17" s="365" customFormat="1" ht="14.5">
      <c r="A48" s="336"/>
      <c r="B48" s="513">
        <v>5</v>
      </c>
      <c r="C48" s="514" t="s">
        <v>26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9">
        <f>F43*1</f>
        <v>2</v>
      </c>
      <c r="G48" s="360">
        <f ca="1">IF(ISERROR(OFFSET('HARGA SATUAN'!$I$6,MATCH(RAB!C48,'HARGA SATUAN'!$C$7:$C$1492,0),0)),0,OFFSET('HARGA SATUAN'!$I$6,MATCH(RAB!C48,'HARGA SATUAN'!$C$7:$C$1492,0),0))</f>
        <v>2500</v>
      </c>
      <c r="H48" s="361">
        <f t="shared" ca="1" si="24"/>
        <v>0</v>
      </c>
      <c r="I48" s="361">
        <f t="shared" ca="1" si="25"/>
        <v>5000</v>
      </c>
      <c r="J48" s="361">
        <f t="shared" ca="1" si="26"/>
        <v>0</v>
      </c>
      <c r="K48" s="362">
        <f t="shared" ca="1" si="27"/>
        <v>5000</v>
      </c>
      <c r="L48" s="342"/>
      <c r="M48" s="342"/>
      <c r="N48" s="369"/>
      <c r="O48" s="344"/>
      <c r="P48" s="397"/>
      <c r="Q48" s="344"/>
    </row>
    <row r="49" spans="1:17" s="365" customFormat="1" ht="14.5">
      <c r="A49" s="336"/>
      <c r="B49" s="513">
        <v>6</v>
      </c>
      <c r="C49" s="514" t="s">
        <v>760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99">
        <f>F43*1</f>
        <v>2</v>
      </c>
      <c r="G49" s="360">
        <f ca="1">IF(ISERROR(OFFSET('HARGA SATUAN'!$I$6,MATCH(RAB!C49,'HARGA SATUAN'!$C$7:$C$1492,0),0)),0,OFFSET('HARGA SATUAN'!$I$6,MATCH(RAB!C49,'HARGA SATUAN'!$C$7:$C$1492,0),0))</f>
        <v>36600</v>
      </c>
      <c r="H49" s="361">
        <f t="shared" ref="H49:H58" ca="1" si="32">IF(OR(D49="MDU",D49="MDU-KD"),(IF($O$3="RAB NON MDU","PLN KD",G49*F49)),0)</f>
        <v>0</v>
      </c>
      <c r="I49" s="361">
        <f t="shared" ref="I49:I58" ca="1" si="33">IF(D49="HDW",G49*F49,0)</f>
        <v>0</v>
      </c>
      <c r="J49" s="361">
        <f t="shared" ref="J49:J58" ca="1" si="34">IF(D49="JASA",G49*F49,0)</f>
        <v>73200</v>
      </c>
      <c r="K49" s="362">
        <f t="shared" ref="K49:K58" ca="1" si="35">SUM(H49:J49)</f>
        <v>73200</v>
      </c>
      <c r="L49" s="342"/>
      <c r="M49" s="342"/>
      <c r="N49" s="369"/>
      <c r="O49" s="344"/>
      <c r="P49" s="397"/>
      <c r="Q49" s="344"/>
    </row>
    <row r="50" spans="1:17" s="365" customFormat="1" ht="14.5">
      <c r="A50" s="336"/>
      <c r="B50" s="513"/>
      <c r="C50" s="514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22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32"/>
        <v>0</v>
      </c>
      <c r="I50" s="361">
        <f t="shared" ca="1" si="33"/>
        <v>0</v>
      </c>
      <c r="J50" s="361">
        <f t="shared" ca="1" si="34"/>
        <v>0</v>
      </c>
      <c r="K50" s="362">
        <f t="shared" ca="1" si="35"/>
        <v>0</v>
      </c>
      <c r="L50" s="342"/>
      <c r="M50" s="342"/>
      <c r="N50" s="369"/>
      <c r="O50" s="344"/>
      <c r="P50" s="397"/>
      <c r="Q50" s="344"/>
    </row>
    <row r="51" spans="1:17" s="365" customFormat="1" ht="14.5">
      <c r="A51" s="336"/>
      <c r="B51" s="513" t="s">
        <v>1035</v>
      </c>
      <c r="C51" s="514" t="s">
        <v>1631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499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32"/>
        <v>0</v>
      </c>
      <c r="I51" s="361">
        <f t="shared" ca="1" si="33"/>
        <v>0</v>
      </c>
      <c r="J51" s="361">
        <f t="shared" ca="1" si="34"/>
        <v>0</v>
      </c>
      <c r="K51" s="362">
        <f t="shared" ca="1" si="35"/>
        <v>0</v>
      </c>
      <c r="L51" s="342"/>
      <c r="M51" s="342"/>
      <c r="N51" s="369"/>
      <c r="O51" s="344"/>
      <c r="P51" s="397"/>
      <c r="Q51" s="344"/>
    </row>
    <row r="52" spans="1:17" s="365" customFormat="1" ht="14.5">
      <c r="A52" s="336"/>
      <c r="B52" s="513">
        <v>1</v>
      </c>
      <c r="C52" s="514" t="s">
        <v>597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9">
        <f>F51*1</f>
        <v>1</v>
      </c>
      <c r="G52" s="360">
        <f ca="1">IF(ISERROR(OFFSET('HARGA SATUAN'!$I$6,MATCH(RAB!C52,'HARGA SATUAN'!$C$7:$C$1492,0),0)),0,OFFSET('HARGA SATUAN'!$I$6,MATCH(RAB!C52,'HARGA SATUAN'!$C$7:$C$1492,0),0))</f>
        <v>120900</v>
      </c>
      <c r="H52" s="361">
        <f t="shared" ca="1" si="32"/>
        <v>0</v>
      </c>
      <c r="I52" s="361">
        <f t="shared" ca="1" si="33"/>
        <v>120900</v>
      </c>
      <c r="J52" s="361">
        <f t="shared" ca="1" si="34"/>
        <v>0</v>
      </c>
      <c r="K52" s="362">
        <f t="shared" ca="1" si="35"/>
        <v>120900</v>
      </c>
      <c r="L52" s="342"/>
      <c r="M52" s="342"/>
      <c r="N52" s="369"/>
      <c r="O52" s="344"/>
      <c r="P52" s="397"/>
      <c r="Q52" s="344"/>
    </row>
    <row r="53" spans="1:17" s="365" customFormat="1" ht="14.5">
      <c r="A53" s="336"/>
      <c r="B53" s="513">
        <v>2</v>
      </c>
      <c r="C53" s="514" t="s">
        <v>261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9">
        <f>F51*1</f>
        <v>1</v>
      </c>
      <c r="G53" s="360">
        <f ca="1">IF(ISERROR(OFFSET('HARGA SATUAN'!$I$6,MATCH(RAB!C53,'HARGA SATUAN'!$C$7:$C$1492,0),0)),0,OFFSET('HARGA SATUAN'!$I$6,MATCH(RAB!C53,'HARGA SATUAN'!$C$7:$C$1492,0),0))</f>
        <v>135800</v>
      </c>
      <c r="H53" s="361">
        <f t="shared" ca="1" si="32"/>
        <v>0</v>
      </c>
      <c r="I53" s="361">
        <f t="shared" ca="1" si="33"/>
        <v>135800</v>
      </c>
      <c r="J53" s="361">
        <f t="shared" ca="1" si="34"/>
        <v>0</v>
      </c>
      <c r="K53" s="362">
        <f t="shared" ca="1" si="35"/>
        <v>135800</v>
      </c>
      <c r="L53" s="342"/>
      <c r="M53" s="342"/>
      <c r="N53" s="369"/>
      <c r="O53" s="344"/>
      <c r="P53" s="397"/>
      <c r="Q53" s="344"/>
    </row>
    <row r="54" spans="1:17" s="365" customFormat="1" ht="14.5">
      <c r="A54" s="336"/>
      <c r="B54" s="513">
        <v>3</v>
      </c>
      <c r="C54" s="514" t="s">
        <v>214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22">
        <f>F51*1</f>
        <v>1</v>
      </c>
      <c r="G54" s="360">
        <f ca="1">IF(ISERROR(OFFSET('HARGA SATUAN'!$I$6,MATCH(RAB!C54,'HARGA SATUAN'!$C$7:$C$1492,0),0)),0,OFFSET('HARGA SATUAN'!$I$6,MATCH(RAB!C54,'HARGA SATUAN'!$C$7:$C$1492,0),0))</f>
        <v>4500</v>
      </c>
      <c r="H54" s="361">
        <f t="shared" ca="1" si="32"/>
        <v>0</v>
      </c>
      <c r="I54" s="361">
        <f t="shared" ca="1" si="33"/>
        <v>4500</v>
      </c>
      <c r="J54" s="361">
        <f t="shared" ca="1" si="34"/>
        <v>0</v>
      </c>
      <c r="K54" s="362">
        <f t="shared" ca="1" si="35"/>
        <v>4500</v>
      </c>
      <c r="L54" s="342"/>
      <c r="M54" s="342"/>
      <c r="N54" s="369"/>
      <c r="O54" s="344"/>
      <c r="P54" s="397"/>
      <c r="Q54" s="344"/>
    </row>
    <row r="55" spans="1:17" s="365" customFormat="1" ht="14.5">
      <c r="A55" s="336"/>
      <c r="B55" s="513">
        <v>4</v>
      </c>
      <c r="C55" s="514" t="s">
        <v>768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499">
        <f>F51*1</f>
        <v>1</v>
      </c>
      <c r="G55" s="360">
        <f ca="1">IF(ISERROR(OFFSET('HARGA SATUAN'!$I$6,MATCH(RAB!C55,'HARGA SATUAN'!$C$7:$C$1492,0),0)),0,OFFSET('HARGA SATUAN'!$I$6,MATCH(RAB!C55,'HARGA SATUAN'!$C$7:$C$1492,0),0))</f>
        <v>55500</v>
      </c>
      <c r="H55" s="361">
        <f t="shared" ca="1" si="32"/>
        <v>0</v>
      </c>
      <c r="I55" s="361">
        <f t="shared" ca="1" si="33"/>
        <v>0</v>
      </c>
      <c r="J55" s="361">
        <f t="shared" ca="1" si="34"/>
        <v>55500</v>
      </c>
      <c r="K55" s="362">
        <f t="shared" ca="1" si="35"/>
        <v>55500</v>
      </c>
      <c r="L55" s="342"/>
      <c r="M55" s="342"/>
      <c r="N55" s="369"/>
      <c r="O55" s="344"/>
      <c r="P55" s="397"/>
      <c r="Q55" s="344"/>
    </row>
    <row r="56" spans="1:17" s="365" customFormat="1" ht="14.5">
      <c r="A56" s="336"/>
      <c r="B56" s="513"/>
      <c r="C56" s="514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22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  <c r="L56" s="342"/>
      <c r="M56" s="342"/>
      <c r="N56" s="369"/>
      <c r="O56" s="344"/>
      <c r="P56" s="397"/>
      <c r="Q56" s="344"/>
    </row>
    <row r="57" spans="1:17" s="365" customFormat="1" ht="14.5">
      <c r="A57" s="336"/>
      <c r="B57" s="516" t="s">
        <v>1035</v>
      </c>
      <c r="C57" s="517" t="s">
        <v>1632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499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2"/>
        <v>0</v>
      </c>
      <c r="I57" s="361">
        <f t="shared" ca="1" si="33"/>
        <v>0</v>
      </c>
      <c r="J57" s="361">
        <f t="shared" ca="1" si="34"/>
        <v>0</v>
      </c>
      <c r="K57" s="362">
        <f t="shared" ca="1" si="35"/>
        <v>0</v>
      </c>
      <c r="L57" s="342"/>
      <c r="M57" s="342"/>
      <c r="N57" s="369"/>
      <c r="O57" s="344"/>
      <c r="P57" s="397"/>
      <c r="Q57" s="344"/>
    </row>
    <row r="58" spans="1:17" s="365" customFormat="1" ht="14.5">
      <c r="A58" s="336"/>
      <c r="B58" s="516">
        <v>1</v>
      </c>
      <c r="C58" s="517" t="s">
        <v>30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99">
        <f>F57*1</f>
        <v>1</v>
      </c>
      <c r="G58" s="360">
        <f ca="1">IF(ISERROR(OFFSET('HARGA SATUAN'!$I$6,MATCH(RAB!C58,'HARGA SATUAN'!$C$7:$C$1492,0),0)),0,OFFSET('HARGA SATUAN'!$I$6,MATCH(RAB!C58,'HARGA SATUAN'!$C$7:$C$1492,0),0))</f>
        <v>47459</v>
      </c>
      <c r="H58" s="361">
        <f t="shared" ca="1" si="32"/>
        <v>0</v>
      </c>
      <c r="I58" s="361">
        <f t="shared" ca="1" si="33"/>
        <v>47459</v>
      </c>
      <c r="J58" s="361">
        <f t="shared" ca="1" si="34"/>
        <v>0</v>
      </c>
      <c r="K58" s="362">
        <f t="shared" ca="1" si="35"/>
        <v>47459</v>
      </c>
      <c r="L58" s="342"/>
      <c r="M58" s="342"/>
      <c r="N58" s="369"/>
      <c r="O58" s="344"/>
      <c r="P58" s="397"/>
      <c r="Q58" s="344"/>
    </row>
    <row r="59" spans="1:17" s="365" customFormat="1" ht="14.5">
      <c r="A59" s="336"/>
      <c r="B59" s="516">
        <v>2</v>
      </c>
      <c r="C59" s="517" t="s">
        <v>32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499">
        <f>F57*0.8</f>
        <v>0.8</v>
      </c>
      <c r="G59" s="360">
        <f ca="1">IF(ISERROR(OFFSET('HARGA SATUAN'!$I$6,MATCH(RAB!C59,'HARGA SATUAN'!$C$7:$C$1492,0),0)),0,OFFSET('HARGA SATUAN'!$I$6,MATCH(RAB!C59,'HARGA SATUAN'!$C$7:$C$1492,0),0))</f>
        <v>30000</v>
      </c>
      <c r="H59" s="361">
        <f t="shared" ref="H59:H74" ca="1" si="36">IF(OR(D59="MDU",D59="MDU-KD"),(IF($O$3="RAB NON MDU","PLN KD",G59*F59)),0)</f>
        <v>0</v>
      </c>
      <c r="I59" s="361">
        <f t="shared" ref="I59:I74" ca="1" si="37">IF(D59="HDW",G59*F59,0)</f>
        <v>24000</v>
      </c>
      <c r="J59" s="361">
        <f t="shared" ref="J59:J74" ca="1" si="38">IF(D59="JASA",G59*F59,0)</f>
        <v>0</v>
      </c>
      <c r="K59" s="362">
        <f t="shared" ref="K59:K74" ca="1" si="39">SUM(H59:J59)</f>
        <v>24000</v>
      </c>
      <c r="L59" s="342"/>
      <c r="M59" s="342"/>
      <c r="N59" s="369"/>
      <c r="O59" s="344"/>
      <c r="P59" s="397"/>
      <c r="Q59" s="344"/>
    </row>
    <row r="60" spans="1:17" s="365" customFormat="1" ht="14.5">
      <c r="A60" s="336"/>
      <c r="B60" s="516">
        <v>3</v>
      </c>
      <c r="C60" s="517" t="s">
        <v>33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99">
        <f>F57*1</f>
        <v>1</v>
      </c>
      <c r="G60" s="360">
        <f ca="1">IF(ISERROR(OFFSET('HARGA SATUAN'!$I$6,MATCH(RAB!C60,'HARGA SATUAN'!$C$7:$C$1492,0),0)),0,OFFSET('HARGA SATUAN'!$I$6,MATCH(RAB!C60,'HARGA SATUAN'!$C$7:$C$1492,0),0))</f>
        <v>9500</v>
      </c>
      <c r="H60" s="361">
        <f t="shared" ca="1" si="36"/>
        <v>0</v>
      </c>
      <c r="I60" s="361">
        <f t="shared" ca="1" si="37"/>
        <v>9500</v>
      </c>
      <c r="J60" s="361">
        <f t="shared" ca="1" si="38"/>
        <v>0</v>
      </c>
      <c r="K60" s="362">
        <f t="shared" ca="1" si="39"/>
        <v>9500</v>
      </c>
      <c r="L60" s="342"/>
      <c r="M60" s="342"/>
      <c r="N60" s="369"/>
      <c r="O60" s="344"/>
      <c r="P60" s="397"/>
      <c r="Q60" s="344"/>
    </row>
    <row r="61" spans="1:17" s="365" customFormat="1" ht="14.5">
      <c r="A61" s="336"/>
      <c r="B61" s="516">
        <v>4</v>
      </c>
      <c r="C61" s="517" t="s">
        <v>737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9">
        <f>F57*1</f>
        <v>1</v>
      </c>
      <c r="G61" s="360">
        <f ca="1">IF(ISERROR(OFFSET('HARGA SATUAN'!$I$6,MATCH(RAB!C61,'HARGA SATUAN'!$C$7:$C$1492,0),0)),0,OFFSET('HARGA SATUAN'!$I$6,MATCH(RAB!C61,'HARGA SATUAN'!$C$7:$C$1492,0),0))</f>
        <v>16200</v>
      </c>
      <c r="H61" s="361">
        <f t="shared" ca="1" si="36"/>
        <v>0</v>
      </c>
      <c r="I61" s="361">
        <f t="shared" ca="1" si="37"/>
        <v>0</v>
      </c>
      <c r="J61" s="361">
        <f t="shared" ca="1" si="38"/>
        <v>16200</v>
      </c>
      <c r="K61" s="362">
        <f t="shared" ca="1" si="39"/>
        <v>16200</v>
      </c>
      <c r="L61" s="342"/>
      <c r="M61" s="342"/>
      <c r="N61" s="369"/>
      <c r="O61" s="344"/>
      <c r="P61" s="397"/>
      <c r="Q61" s="344"/>
    </row>
    <row r="62" spans="1:17" s="365" customFormat="1" ht="14.5">
      <c r="A62" s="336"/>
      <c r="B62" s="513"/>
      <c r="C62" s="514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499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 ht="14.5">
      <c r="A63" s="336"/>
      <c r="B63" s="527" t="s">
        <v>1035</v>
      </c>
      <c r="C63" s="528" t="s">
        <v>1637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99">
        <v>2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6"/>
        <v>0</v>
      </c>
      <c r="I63" s="361">
        <f t="shared" ca="1" si="37"/>
        <v>0</v>
      </c>
      <c r="J63" s="361">
        <f t="shared" ca="1" si="38"/>
        <v>0</v>
      </c>
      <c r="K63" s="362">
        <f t="shared" ca="1" si="39"/>
        <v>0</v>
      </c>
      <c r="L63" s="342"/>
      <c r="M63" s="342"/>
      <c r="N63" s="369"/>
      <c r="O63" s="344"/>
      <c r="P63" s="397"/>
      <c r="Q63" s="344"/>
    </row>
    <row r="64" spans="1:17" s="365" customFormat="1" ht="14.5">
      <c r="A64" s="336"/>
      <c r="B64" s="527">
        <v>1</v>
      </c>
      <c r="C64" s="528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9">
        <f>F63*1</f>
        <v>2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36"/>
        <v>0</v>
      </c>
      <c r="I64" s="361">
        <f t="shared" ca="1" si="37"/>
        <v>94918</v>
      </c>
      <c r="J64" s="361">
        <f t="shared" ca="1" si="38"/>
        <v>0</v>
      </c>
      <c r="K64" s="362">
        <f t="shared" ca="1" si="39"/>
        <v>94918</v>
      </c>
      <c r="L64" s="342"/>
      <c r="M64" s="342"/>
      <c r="N64" s="369"/>
      <c r="O64" s="344"/>
      <c r="P64" s="397"/>
      <c r="Q64" s="344"/>
    </row>
    <row r="65" spans="1:17" s="365" customFormat="1" ht="14.5">
      <c r="A65" s="336"/>
      <c r="B65" s="527">
        <v>2</v>
      </c>
      <c r="C65" s="528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499">
        <f>F63*0.8</f>
        <v>1.6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36"/>
        <v>0</v>
      </c>
      <c r="I65" s="361">
        <f t="shared" ca="1" si="37"/>
        <v>48000</v>
      </c>
      <c r="J65" s="361">
        <f t="shared" ca="1" si="38"/>
        <v>0</v>
      </c>
      <c r="K65" s="362">
        <f t="shared" ca="1" si="39"/>
        <v>48000</v>
      </c>
      <c r="L65" s="342"/>
      <c r="M65" s="342"/>
      <c r="N65" s="369"/>
      <c r="O65" s="344"/>
      <c r="P65" s="397"/>
      <c r="Q65" s="344"/>
    </row>
    <row r="66" spans="1:17" s="365" customFormat="1" ht="14.5">
      <c r="A66" s="336"/>
      <c r="B66" s="527">
        <v>3</v>
      </c>
      <c r="C66" s="528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99">
        <f>F63*1</f>
        <v>2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36"/>
        <v>0</v>
      </c>
      <c r="I66" s="361">
        <f t="shared" ca="1" si="37"/>
        <v>19000</v>
      </c>
      <c r="J66" s="361">
        <f t="shared" ca="1" si="38"/>
        <v>0</v>
      </c>
      <c r="K66" s="362">
        <f t="shared" ca="1" si="39"/>
        <v>19000</v>
      </c>
      <c r="L66" s="342"/>
      <c r="M66" s="342"/>
      <c r="N66" s="369"/>
      <c r="O66" s="344"/>
      <c r="P66" s="397"/>
      <c r="Q66" s="344"/>
    </row>
    <row r="67" spans="1:17" s="365" customFormat="1" ht="14.5">
      <c r="A67" s="336"/>
      <c r="B67" s="527">
        <v>4</v>
      </c>
      <c r="C67" s="528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499">
        <f>F63*1</f>
        <v>2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36"/>
        <v>0</v>
      </c>
      <c r="I67" s="361">
        <f t="shared" ca="1" si="37"/>
        <v>0</v>
      </c>
      <c r="J67" s="361">
        <f t="shared" ca="1" si="38"/>
        <v>42400</v>
      </c>
      <c r="K67" s="362">
        <f t="shared" ca="1" si="39"/>
        <v>42400</v>
      </c>
      <c r="L67" s="342"/>
      <c r="M67" s="342"/>
      <c r="N67" s="369"/>
      <c r="O67" s="344"/>
      <c r="P67" s="397"/>
      <c r="Q67" s="344"/>
    </row>
    <row r="68" spans="1:17" s="365" customFormat="1" ht="14.5">
      <c r="A68" s="336"/>
      <c r="B68" s="527"/>
      <c r="C68" s="528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499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  <c r="L68" s="342"/>
      <c r="M68" s="342"/>
      <c r="N68" s="369"/>
      <c r="O68" s="344"/>
      <c r="P68" s="397"/>
      <c r="Q68" s="344"/>
    </row>
    <row r="69" spans="1:17" s="365" customFormat="1" ht="14.5">
      <c r="A69" s="336"/>
      <c r="B69" s="527" t="s">
        <v>1035</v>
      </c>
      <c r="C69" s="528" t="s">
        <v>1641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0"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6"/>
        <v>0</v>
      </c>
      <c r="I69" s="361">
        <f t="shared" ca="1" si="37"/>
        <v>0</v>
      </c>
      <c r="J69" s="361">
        <f t="shared" ca="1" si="38"/>
        <v>0</v>
      </c>
      <c r="K69" s="362">
        <f t="shared" ca="1" si="39"/>
        <v>0</v>
      </c>
      <c r="L69" s="342"/>
      <c r="M69" s="342"/>
      <c r="N69" s="369"/>
      <c r="O69" s="344"/>
      <c r="P69" s="397"/>
      <c r="Q69" s="344"/>
    </row>
    <row r="70" spans="1:17" s="365" customFormat="1" ht="14.5">
      <c r="A70" s="336"/>
      <c r="B70" s="527">
        <v>1</v>
      </c>
      <c r="C70" s="528" t="s">
        <v>1129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0">
        <f>F69*1</f>
        <v>1</v>
      </c>
      <c r="G70" s="360">
        <f ca="1">IF(ISERROR(OFFSET('HARGA SATUAN'!$I$6,MATCH(RAB!C70,'HARGA SATUAN'!$C$7:$C$1492,0),0)),0,OFFSET('HARGA SATUAN'!$I$6,MATCH(RAB!C70,'HARGA SATUAN'!$C$7:$C$1492,0),0))</f>
        <v>176900</v>
      </c>
      <c r="H70" s="361">
        <f t="shared" ca="1" si="36"/>
        <v>176900</v>
      </c>
      <c r="I70" s="361">
        <f t="shared" ca="1" si="37"/>
        <v>0</v>
      </c>
      <c r="J70" s="361">
        <f t="shared" ca="1" si="38"/>
        <v>0</v>
      </c>
      <c r="K70" s="362">
        <f t="shared" ca="1" si="39"/>
        <v>176900</v>
      </c>
      <c r="L70" s="342"/>
      <c r="M70" s="342"/>
      <c r="N70" s="369"/>
      <c r="O70" s="344"/>
      <c r="P70" s="397"/>
      <c r="Q70" s="344"/>
    </row>
    <row r="71" spans="1:17" s="365" customFormat="1" ht="14.5">
      <c r="A71" s="336"/>
      <c r="B71" s="527">
        <v>2</v>
      </c>
      <c r="C71" s="528" t="s">
        <v>26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0">
        <f>F69*2</f>
        <v>2</v>
      </c>
      <c r="G71" s="360">
        <f ca="1">IF(ISERROR(OFFSET('HARGA SATUAN'!$I$6,MATCH(RAB!C71,'HARGA SATUAN'!$C$7:$C$1492,0),0)),0,OFFSET('HARGA SATUAN'!$I$6,MATCH(RAB!C71,'HARGA SATUAN'!$C$7:$C$1492,0),0))</f>
        <v>2500</v>
      </c>
      <c r="H71" s="361">
        <f t="shared" ca="1" si="36"/>
        <v>0</v>
      </c>
      <c r="I71" s="361">
        <f t="shared" ca="1" si="37"/>
        <v>5000</v>
      </c>
      <c r="J71" s="361">
        <f t="shared" ca="1" si="38"/>
        <v>0</v>
      </c>
      <c r="K71" s="362">
        <f t="shared" ca="1" si="39"/>
        <v>5000</v>
      </c>
      <c r="L71" s="342"/>
      <c r="M71" s="342"/>
      <c r="N71" s="369"/>
      <c r="O71" s="344"/>
      <c r="P71" s="397"/>
      <c r="Q71" s="344"/>
    </row>
    <row r="72" spans="1:17" s="365" customFormat="1" ht="14.5">
      <c r="A72" s="336"/>
      <c r="B72" s="527">
        <v>3</v>
      </c>
      <c r="C72" s="528" t="s">
        <v>38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500">
        <f>F70*1.8</f>
        <v>1.8</v>
      </c>
      <c r="G72" s="360">
        <f ca="1">IF(ISERROR(OFFSET('HARGA SATUAN'!$I$6,MATCH(RAB!C72,'HARGA SATUAN'!$C$7:$C$1492,0),0)),0,OFFSET('HARGA SATUAN'!$I$6,MATCH(RAB!C72,'HARGA SATUAN'!$C$7:$C$1492,0),0))</f>
        <v>8550</v>
      </c>
      <c r="H72" s="361">
        <f t="shared" ca="1" si="36"/>
        <v>0</v>
      </c>
      <c r="I72" s="361">
        <f t="shared" ca="1" si="37"/>
        <v>15390</v>
      </c>
      <c r="J72" s="361">
        <f t="shared" ca="1" si="38"/>
        <v>0</v>
      </c>
      <c r="K72" s="362">
        <f t="shared" ca="1" si="39"/>
        <v>15390</v>
      </c>
      <c r="L72" s="342"/>
      <c r="M72" s="342"/>
      <c r="N72" s="369"/>
      <c r="O72" s="344"/>
      <c r="P72" s="397"/>
      <c r="Q72" s="344"/>
    </row>
    <row r="73" spans="1:17" s="365" customFormat="1" ht="14.5">
      <c r="A73" s="336"/>
      <c r="B73" s="527">
        <v>4</v>
      </c>
      <c r="C73" s="528" t="s">
        <v>744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0">
        <f>F69*1</f>
        <v>1</v>
      </c>
      <c r="G73" s="360">
        <f ca="1">IF(ISERROR(OFFSET('HARGA SATUAN'!$I$6,MATCH(RAB!C73,'HARGA SATUAN'!$C$7:$C$1492,0),0)),0,OFFSET('HARGA SATUAN'!$I$6,MATCH(RAB!C73,'HARGA SATUAN'!$C$7:$C$1492,0),0))</f>
        <v>31200</v>
      </c>
      <c r="H73" s="361">
        <f t="shared" ca="1" si="36"/>
        <v>0</v>
      </c>
      <c r="I73" s="361">
        <f t="shared" ca="1" si="37"/>
        <v>0</v>
      </c>
      <c r="J73" s="361">
        <f t="shared" ca="1" si="38"/>
        <v>31200</v>
      </c>
      <c r="K73" s="362">
        <f t="shared" ca="1" si="39"/>
        <v>31200</v>
      </c>
      <c r="L73" s="342"/>
      <c r="M73" s="342"/>
      <c r="N73" s="369"/>
      <c r="O73" s="344"/>
      <c r="P73" s="397"/>
      <c r="Q73" s="344"/>
    </row>
    <row r="74" spans="1:17" s="365" customFormat="1" ht="14.5">
      <c r="A74" s="336"/>
      <c r="B74" s="527"/>
      <c r="C74" s="528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499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6"/>
        <v>0</v>
      </c>
      <c r="I74" s="361">
        <f t="shared" ca="1" si="37"/>
        <v>0</v>
      </c>
      <c r="J74" s="361">
        <f t="shared" ca="1" si="38"/>
        <v>0</v>
      </c>
      <c r="K74" s="362">
        <f t="shared" ca="1" si="39"/>
        <v>0</v>
      </c>
      <c r="L74" s="342"/>
      <c r="M74" s="342"/>
      <c r="N74" s="369"/>
      <c r="O74" s="344"/>
      <c r="P74" s="397"/>
      <c r="Q74" s="344"/>
    </row>
    <row r="75" spans="1:17" s="365" customFormat="1" ht="14.5">
      <c r="A75" s="336"/>
      <c r="B75" s="496"/>
      <c r="C75" s="511" t="s">
        <v>1623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499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4"/>
        <v>0</v>
      </c>
      <c r="I75" s="361">
        <f t="shared" ca="1" si="25"/>
        <v>0</v>
      </c>
      <c r="J75" s="361">
        <f t="shared" ca="1" si="26"/>
        <v>0</v>
      </c>
      <c r="K75" s="362">
        <f t="shared" ca="1" si="27"/>
        <v>0</v>
      </c>
      <c r="L75" s="342"/>
      <c r="M75" s="342"/>
      <c r="N75" s="369"/>
      <c r="O75" s="344"/>
      <c r="P75" s="397"/>
      <c r="Q75" s="344"/>
    </row>
    <row r="76" spans="1:17" s="365" customFormat="1" ht="14.5">
      <c r="A76" s="336"/>
      <c r="B76" s="496">
        <v>1</v>
      </c>
      <c r="C76" s="109" t="s">
        <v>65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499">
        <f>F77*50*4*1.05</f>
        <v>210</v>
      </c>
      <c r="G76" s="360">
        <f ca="1">IF(ISERROR(OFFSET('HARGA SATUAN'!$I$6,MATCH(RAB!C76,'HARGA SATUAN'!$C$7:$C$1492,0),0)),0,OFFSET('HARGA SATUAN'!$I$6,MATCH(RAB!C76,'HARGA SATUAN'!$C$7:$C$1492,0),0))</f>
        <v>14200</v>
      </c>
      <c r="H76" s="361">
        <f t="shared" ca="1" si="24"/>
        <v>2982000</v>
      </c>
      <c r="I76" s="361">
        <f t="shared" ca="1" si="25"/>
        <v>0</v>
      </c>
      <c r="J76" s="361">
        <f t="shared" ca="1" si="26"/>
        <v>0</v>
      </c>
      <c r="K76" s="362">
        <f t="shared" ca="1" si="27"/>
        <v>2982000</v>
      </c>
      <c r="L76" s="342"/>
      <c r="M76" s="342"/>
      <c r="N76" s="369"/>
      <c r="O76" s="344"/>
      <c r="P76" s="397"/>
      <c r="Q76" s="344"/>
    </row>
    <row r="77" spans="1:17" s="365" customFormat="1" ht="14.5">
      <c r="A77" s="336"/>
      <c r="B77" s="496">
        <v>2</v>
      </c>
      <c r="C77" s="109" t="s">
        <v>301</v>
      </c>
      <c r="D77" s="509" t="s">
        <v>47</v>
      </c>
      <c r="E77" s="510" t="s">
        <v>297</v>
      </c>
      <c r="F77" s="510">
        <v>1</v>
      </c>
      <c r="G77" s="360">
        <f ca="1">IF(ISERROR(OFFSET('HARGA SATUAN'!$I$6,MATCH(RAB!C77,'HARGA SATUAN'!$C$7:$C$1492,0),0)),0,OFFSET('HARGA SATUAN'!$I$6,MATCH(RAB!C77,'HARGA SATUAN'!$C$7:$C$1492,0),0))</f>
        <v>300100</v>
      </c>
      <c r="H77" s="361">
        <f t="shared" si="24"/>
        <v>0</v>
      </c>
      <c r="I77" s="361">
        <f t="shared" si="25"/>
        <v>0</v>
      </c>
      <c r="J77" s="361">
        <f t="shared" ca="1" si="26"/>
        <v>300100</v>
      </c>
      <c r="K77" s="362">
        <f t="shared" ca="1" si="27"/>
        <v>300100</v>
      </c>
      <c r="L77" s="342"/>
      <c r="M77" s="342"/>
      <c r="N77" s="369"/>
      <c r="O77" s="344"/>
      <c r="P77" s="397"/>
      <c r="Q77" s="344"/>
    </row>
    <row r="78" spans="1:17" s="365" customFormat="1" ht="14.5">
      <c r="A78" s="336"/>
      <c r="B78" s="496"/>
      <c r="C78" s="497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499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4"/>
        <v>0</v>
      </c>
      <c r="I78" s="361">
        <f t="shared" ca="1" si="25"/>
        <v>0</v>
      </c>
      <c r="J78" s="361">
        <f t="shared" ca="1" si="26"/>
        <v>0</v>
      </c>
      <c r="K78" s="362">
        <f t="shared" ca="1" si="27"/>
        <v>0</v>
      </c>
      <c r="L78" s="342"/>
      <c r="M78" s="342"/>
      <c r="N78" s="369"/>
      <c r="O78" s="344"/>
      <c r="P78" s="397"/>
      <c r="Q78" s="344"/>
    </row>
    <row r="79" spans="1:17" ht="14.5">
      <c r="B79" s="366" t="s">
        <v>1614</v>
      </c>
      <c r="C79" s="367" t="s">
        <v>1616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499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24"/>
        <v>0</v>
      </c>
      <c r="I79" s="361">
        <f t="shared" ca="1" si="25"/>
        <v>0</v>
      </c>
      <c r="J79" s="361">
        <f t="shared" ca="1" si="26"/>
        <v>0</v>
      </c>
      <c r="K79" s="362">
        <f t="shared" ca="1" si="27"/>
        <v>0</v>
      </c>
    </row>
    <row r="80" spans="1:17" ht="14.5">
      <c r="B80" s="492"/>
      <c r="C80" s="495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499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ref="H80" ca="1" si="40">IF(OR(D80="MDU",D80="MDU-KD"),(IF($O$3="RAB NON MDU","PLN KD",G80*F80)),0)</f>
        <v>0</v>
      </c>
      <c r="I80" s="361">
        <f t="shared" ref="I80" ca="1" si="41">IF(D80="HDW",G80*F80,0)</f>
        <v>0</v>
      </c>
      <c r="J80" s="361">
        <f t="shared" ref="J80" ca="1" si="42">IF(D80="JASA",G80*F80,0)</f>
        <v>0</v>
      </c>
      <c r="K80" s="362">
        <f t="shared" ref="K80" ca="1" si="43">SUM(H80:J80)</f>
        <v>0</v>
      </c>
    </row>
    <row r="81" spans="2:11" ht="14.5">
      <c r="B81" s="518" t="s">
        <v>1035</v>
      </c>
      <c r="C81" s="519" t="s">
        <v>1626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499"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ref="H81:H87" ca="1" si="44">IF(OR(D81="MDU",D81="MDU-KD"),(IF($O$3="RAB NON MDU","PLN KD",G81*F81)),0)</f>
        <v>0</v>
      </c>
      <c r="I81" s="361">
        <f t="shared" ref="I81:I87" ca="1" si="45">IF(D81="HDW",G81*F81,0)</f>
        <v>0</v>
      </c>
      <c r="J81" s="361">
        <f t="shared" ref="J81:J87" ca="1" si="46">IF(D81="JASA",G81*F81,0)</f>
        <v>0</v>
      </c>
      <c r="K81" s="362">
        <f t="shared" ref="K81:K87" ca="1" si="47">SUM(H81:J81)</f>
        <v>0</v>
      </c>
    </row>
    <row r="82" spans="2:11" ht="14.5">
      <c r="B82" s="518">
        <v>1</v>
      </c>
      <c r="C82" s="519" t="s">
        <v>1146</v>
      </c>
      <c r="D82" s="529" t="s">
        <v>44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9">
        <f>F81*1</f>
        <v>1</v>
      </c>
      <c r="G82" s="360">
        <f ca="1">IF(ISERROR(OFFSET('HARGA SATUAN'!$I$6,MATCH(RAB!C82,'HARGA SATUAN'!$C$7:$C$1492,0),0)),0,OFFSET('HARGA SATUAN'!$I$6,MATCH(RAB!C82,'HARGA SATUAN'!$C$7:$C$1492,0),0))</f>
        <v>42757200</v>
      </c>
      <c r="H82" s="361">
        <f t="shared" ca="1" si="44"/>
        <v>42757200</v>
      </c>
      <c r="I82" s="361">
        <f t="shared" si="45"/>
        <v>0</v>
      </c>
      <c r="J82" s="361">
        <f t="shared" si="46"/>
        <v>0</v>
      </c>
      <c r="K82" s="362">
        <f t="shared" ca="1" si="47"/>
        <v>42757200</v>
      </c>
    </row>
    <row r="83" spans="2:11" ht="14.5">
      <c r="B83" s="501">
        <v>2</v>
      </c>
      <c r="C83" s="504" t="s">
        <v>1618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505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4"/>
        <v>0</v>
      </c>
      <c r="I83" s="361">
        <f t="shared" ca="1" si="45"/>
        <v>0</v>
      </c>
      <c r="J83" s="361">
        <f t="shared" ca="1" si="46"/>
        <v>0</v>
      </c>
      <c r="K83" s="362">
        <f t="shared" ca="1" si="47"/>
        <v>0</v>
      </c>
    </row>
    <row r="84" spans="2:11" ht="14.5">
      <c r="B84" s="518"/>
      <c r="C84" s="504" t="s">
        <v>65</v>
      </c>
      <c r="D84" s="358" t="str">
        <f ca="1">IF(ISERROR(OFFSET('HARGA SATUAN'!$D$6,MATCH(RAB!C84,'HARGA SATUAN'!$C$7:$C$1492,0),0)),"",OFFSET('HARGA SATUAN'!$D$6,MATCH(RAB!C84,'HARGA SATUAN'!$C$7:$C$1492,0),0))</f>
        <v>MDU-KD</v>
      </c>
      <c r="E84" s="359" t="str">
        <f ca="1">IF(B84="+","Unit",IF(ISERROR(OFFSET('HARGA SATUAN'!$E$6,MATCH(RAB!C84,'HARGA SATUAN'!$C$7:$C$1492,0),0)),"",OFFSET('HARGA SATUAN'!$E$6,MATCH(RAB!C84,'HARGA SATUAN'!$C$7:$C$1492,0),0)))</f>
        <v>Mtr</v>
      </c>
      <c r="F84" s="499">
        <f>F81*(3*3)</f>
        <v>9</v>
      </c>
      <c r="G84" s="360">
        <f ca="1">IF(ISERROR(OFFSET('HARGA SATUAN'!$I$6,MATCH(RAB!C84,'HARGA SATUAN'!$C$7:$C$1492,0),0)),0,OFFSET('HARGA SATUAN'!$I$6,MATCH(RAB!C84,'HARGA SATUAN'!$C$7:$C$1492,0),0))</f>
        <v>14200</v>
      </c>
      <c r="H84" s="361">
        <f t="shared" ca="1" si="44"/>
        <v>127800</v>
      </c>
      <c r="I84" s="361">
        <f t="shared" ca="1" si="45"/>
        <v>0</v>
      </c>
      <c r="J84" s="361">
        <f t="shared" ca="1" si="46"/>
        <v>0</v>
      </c>
      <c r="K84" s="362">
        <f t="shared" ca="1" si="47"/>
        <v>127800</v>
      </c>
    </row>
    <row r="85" spans="2:11" ht="14.5">
      <c r="B85" s="518"/>
      <c r="C85" s="109" t="s">
        <v>1459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499">
        <f>F81*3</f>
        <v>3</v>
      </c>
      <c r="G85" s="360">
        <f ca="1">IF(ISERROR(OFFSET('HARGA SATUAN'!$I$6,MATCH(RAB!C85,'HARGA SATUAN'!$C$7:$C$1492,0),0)),0,OFFSET('HARGA SATUAN'!$I$6,MATCH(RAB!C85,'HARGA SATUAN'!$C$7:$C$1492,0),0))</f>
        <v>54500</v>
      </c>
      <c r="H85" s="361">
        <f t="shared" ca="1" si="44"/>
        <v>163500</v>
      </c>
      <c r="I85" s="361">
        <f t="shared" ca="1" si="45"/>
        <v>0</v>
      </c>
      <c r="J85" s="361">
        <f t="shared" ca="1" si="46"/>
        <v>0</v>
      </c>
      <c r="K85" s="362">
        <f t="shared" ca="1" si="47"/>
        <v>163500</v>
      </c>
    </row>
    <row r="86" spans="2:11" ht="14.5">
      <c r="B86" s="518">
        <v>3</v>
      </c>
      <c r="C86" s="109" t="s">
        <v>559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9">
        <f>F81*3</f>
        <v>3</v>
      </c>
      <c r="G86" s="360">
        <f ca="1">IF(ISERROR(OFFSET('HARGA SATUAN'!$I$6,MATCH(RAB!C86,'HARGA SATUAN'!$C$7:$C$1492,0),0)),0,OFFSET('HARGA SATUAN'!$I$6,MATCH(RAB!C86,'HARGA SATUAN'!$C$7:$C$1492,0),0))</f>
        <v>725900</v>
      </c>
      <c r="H86" s="361">
        <f t="shared" ca="1" si="44"/>
        <v>2177700</v>
      </c>
      <c r="I86" s="361">
        <f t="shared" ca="1" si="45"/>
        <v>0</v>
      </c>
      <c r="J86" s="361">
        <f t="shared" ca="1" si="46"/>
        <v>0</v>
      </c>
      <c r="K86" s="362">
        <f t="shared" ca="1" si="47"/>
        <v>2177700</v>
      </c>
    </row>
    <row r="87" spans="2:11" ht="14.5">
      <c r="B87" s="518">
        <v>4</v>
      </c>
      <c r="C87" s="519" t="s">
        <v>535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9">
        <f>F81*3</f>
        <v>3</v>
      </c>
      <c r="G87" s="360">
        <f ca="1">IF(ISERROR(OFFSET('HARGA SATUAN'!$I$6,MATCH(RAB!C87,'HARGA SATUAN'!$C$7:$C$1492,0),0)),0,OFFSET('HARGA SATUAN'!$I$6,MATCH(RAB!C87,'HARGA SATUAN'!$C$7:$C$1492,0),0))</f>
        <v>848250</v>
      </c>
      <c r="H87" s="361">
        <f t="shared" ca="1" si="44"/>
        <v>2544750</v>
      </c>
      <c r="I87" s="361">
        <f t="shared" ca="1" si="45"/>
        <v>0</v>
      </c>
      <c r="J87" s="361">
        <f t="shared" ca="1" si="46"/>
        <v>0</v>
      </c>
      <c r="K87" s="362">
        <f t="shared" ca="1" si="47"/>
        <v>2544750</v>
      </c>
    </row>
    <row r="88" spans="2:11" ht="14.5">
      <c r="B88" s="518">
        <v>5</v>
      </c>
      <c r="C88" s="519" t="s">
        <v>537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99">
        <f>F81*3</f>
        <v>3</v>
      </c>
      <c r="G88" s="360">
        <f ca="1">IF(ISERROR(OFFSET('HARGA SATUAN'!$I$6,MATCH(RAB!C88,'HARGA SATUAN'!$C$7:$C$1492,0),0)),0,OFFSET('HARGA SATUAN'!$I$6,MATCH(RAB!C88,'HARGA SATUAN'!$C$7:$C$1492,0),0))</f>
        <v>17500</v>
      </c>
      <c r="H88" s="361">
        <f t="shared" ref="H88:H100" ca="1" si="48">IF(OR(D88="MDU",D88="MDU-KD"),(IF($O$3="RAB NON MDU","PLN KD",G88*F88)),0)</f>
        <v>0</v>
      </c>
      <c r="I88" s="361">
        <f t="shared" ref="I88:I100" ca="1" si="49">IF(D88="HDW",G88*F88,0)</f>
        <v>52500</v>
      </c>
      <c r="J88" s="361">
        <f t="shared" ref="J88:J100" ca="1" si="50">IF(D88="JASA",G88*F88,0)</f>
        <v>0</v>
      </c>
      <c r="K88" s="362">
        <f t="shared" ref="K88:K100" ca="1" si="51">SUM(H88:J88)</f>
        <v>52500</v>
      </c>
    </row>
    <row r="89" spans="2:11" ht="14.5">
      <c r="B89" s="518">
        <v>6</v>
      </c>
      <c r="C89" s="109" t="s">
        <v>1569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99">
        <f>F81*13</f>
        <v>13</v>
      </c>
      <c r="G89" s="360">
        <f ca="1">IF(ISERROR(OFFSET('HARGA SATUAN'!$I$6,MATCH(RAB!C89,'HARGA SATUAN'!$C$7:$C$1492,0),0)),0,OFFSET('HARGA SATUAN'!$I$6,MATCH(RAB!C89,'HARGA SATUAN'!$C$7:$C$1492,0),0))</f>
        <v>49000</v>
      </c>
      <c r="H89" s="361">
        <f t="shared" ca="1" si="48"/>
        <v>0</v>
      </c>
      <c r="I89" s="361">
        <f t="shared" ca="1" si="49"/>
        <v>637000</v>
      </c>
      <c r="J89" s="361">
        <f t="shared" ca="1" si="50"/>
        <v>0</v>
      </c>
      <c r="K89" s="362">
        <f t="shared" ca="1" si="51"/>
        <v>637000</v>
      </c>
    </row>
    <row r="90" spans="2:11" ht="14.5">
      <c r="B90" s="518">
        <v>7</v>
      </c>
      <c r="C90" s="519" t="s">
        <v>163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499">
        <f>F81*22</f>
        <v>22</v>
      </c>
      <c r="G90" s="360">
        <f ca="1">IF(ISERROR(OFFSET('HARGA SATUAN'!$I$6,MATCH(RAB!C90,'HARGA SATUAN'!$C$7:$C$1492,0),0)),0,OFFSET('HARGA SATUAN'!$I$6,MATCH(RAB!C90,'HARGA SATUAN'!$C$7:$C$1492,0),0))</f>
        <v>7938</v>
      </c>
      <c r="H90" s="361">
        <f t="shared" ca="1" si="48"/>
        <v>0</v>
      </c>
      <c r="I90" s="361">
        <f t="shared" ca="1" si="49"/>
        <v>174636</v>
      </c>
      <c r="J90" s="361">
        <f t="shared" ca="1" si="50"/>
        <v>0</v>
      </c>
      <c r="K90" s="362">
        <f t="shared" ca="1" si="51"/>
        <v>174636</v>
      </c>
    </row>
    <row r="91" spans="2:11" ht="14.5">
      <c r="B91" s="518">
        <v>8</v>
      </c>
      <c r="C91" s="519" t="s">
        <v>176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99">
        <f>F81*1</f>
        <v>1</v>
      </c>
      <c r="G91" s="360">
        <f ca="1">IF(ISERROR(OFFSET('HARGA SATUAN'!$I$6,MATCH(RAB!C91,'HARGA SATUAN'!$C$7:$C$1492,0),0)),0,OFFSET('HARGA SATUAN'!$I$6,MATCH(RAB!C91,'HARGA SATUAN'!$C$7:$C$1492,0),0))</f>
        <v>404600</v>
      </c>
      <c r="H91" s="361">
        <f t="shared" ca="1" si="48"/>
        <v>0</v>
      </c>
      <c r="I91" s="361">
        <f t="shared" ca="1" si="49"/>
        <v>404600</v>
      </c>
      <c r="J91" s="361">
        <f t="shared" ca="1" si="50"/>
        <v>0</v>
      </c>
      <c r="K91" s="362">
        <f t="shared" ca="1" si="51"/>
        <v>404600</v>
      </c>
    </row>
    <row r="92" spans="2:11" ht="14.5">
      <c r="B92" s="518">
        <v>9</v>
      </c>
      <c r="C92" s="519" t="s">
        <v>184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99">
        <f>F81*3</f>
        <v>3</v>
      </c>
      <c r="G92" s="360">
        <f ca="1">IF(ISERROR(OFFSET('HARGA SATUAN'!$I$6,MATCH(RAB!C92,'HARGA SATUAN'!$C$7:$C$1492,0),0)),0,OFFSET('HARGA SATUAN'!$I$6,MATCH(RAB!C92,'HARGA SATUAN'!$C$7:$C$1492,0),0))</f>
        <v>15900</v>
      </c>
      <c r="H92" s="361">
        <f t="shared" ca="1" si="48"/>
        <v>0</v>
      </c>
      <c r="I92" s="361">
        <f t="shared" ca="1" si="49"/>
        <v>47700</v>
      </c>
      <c r="J92" s="361">
        <f t="shared" ca="1" si="50"/>
        <v>0</v>
      </c>
      <c r="K92" s="362">
        <f t="shared" ca="1" si="51"/>
        <v>47700</v>
      </c>
    </row>
    <row r="93" spans="2:11" ht="14.5">
      <c r="B93" s="518">
        <v>10</v>
      </c>
      <c r="C93" s="519" t="s">
        <v>592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9">
        <f>F81*5</f>
        <v>5</v>
      </c>
      <c r="G93" s="360">
        <f ca="1">IF(ISERROR(OFFSET('HARGA SATUAN'!$I$6,MATCH(RAB!C93,'HARGA SATUAN'!$C$7:$C$1492,0),0)),0,OFFSET('HARGA SATUAN'!$I$6,MATCH(RAB!C93,'HARGA SATUAN'!$C$7:$C$1492,0),0))</f>
        <v>283100</v>
      </c>
      <c r="H93" s="361">
        <f t="shared" ca="1" si="48"/>
        <v>0</v>
      </c>
      <c r="I93" s="361">
        <f t="shared" ca="1" si="49"/>
        <v>1415500</v>
      </c>
      <c r="J93" s="361">
        <f t="shared" ca="1" si="50"/>
        <v>0</v>
      </c>
      <c r="K93" s="362">
        <f t="shared" ca="1" si="51"/>
        <v>1415500</v>
      </c>
    </row>
    <row r="94" spans="2:11" ht="14.5">
      <c r="B94" s="518">
        <v>11</v>
      </c>
      <c r="C94" s="519" t="s">
        <v>593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99">
        <f>F81*4</f>
        <v>4</v>
      </c>
      <c r="G94" s="360">
        <f ca="1">IF(ISERROR(OFFSET('HARGA SATUAN'!$I$6,MATCH(RAB!C94,'HARGA SATUAN'!$C$7:$C$1492,0),0)),0,OFFSET('HARGA SATUAN'!$I$6,MATCH(RAB!C94,'HARGA SATUAN'!$C$7:$C$1492,0),0))</f>
        <v>380500</v>
      </c>
      <c r="H94" s="361">
        <f t="shared" ca="1" si="48"/>
        <v>0</v>
      </c>
      <c r="I94" s="361">
        <f t="shared" ca="1" si="49"/>
        <v>1522000</v>
      </c>
      <c r="J94" s="361">
        <f t="shared" ca="1" si="50"/>
        <v>0</v>
      </c>
      <c r="K94" s="362">
        <f t="shared" ca="1" si="51"/>
        <v>1522000</v>
      </c>
    </row>
    <row r="95" spans="2:11" ht="14.5">
      <c r="B95" s="518">
        <v>12</v>
      </c>
      <c r="C95" s="519" t="s">
        <v>208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99">
        <f>F81*3</f>
        <v>3</v>
      </c>
      <c r="G95" s="360">
        <f ca="1">IF(ISERROR(OFFSET('HARGA SATUAN'!$I$6,MATCH(RAB!C95,'HARGA SATUAN'!$C$7:$C$1492,0),0)),0,OFFSET('HARGA SATUAN'!$I$6,MATCH(RAB!C95,'HARGA SATUAN'!$C$7:$C$1492,0),0))</f>
        <v>173400</v>
      </c>
      <c r="H95" s="361">
        <f t="shared" ca="1" si="48"/>
        <v>0</v>
      </c>
      <c r="I95" s="361">
        <f t="shared" ca="1" si="49"/>
        <v>520200</v>
      </c>
      <c r="J95" s="361">
        <f t="shared" ca="1" si="50"/>
        <v>0</v>
      </c>
      <c r="K95" s="362">
        <f t="shared" ca="1" si="51"/>
        <v>520200</v>
      </c>
    </row>
    <row r="96" spans="2:11" ht="14.5">
      <c r="B96" s="518">
        <v>13</v>
      </c>
      <c r="C96" s="519" t="s">
        <v>247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99">
        <f>F81*1</f>
        <v>1</v>
      </c>
      <c r="G96" s="360">
        <f ca="1">IF(ISERROR(OFFSET('HARGA SATUAN'!$I$6,MATCH(RAB!C96,'HARGA SATUAN'!$C$7:$C$1492,0),0)),0,OFFSET('HARGA SATUAN'!$I$6,MATCH(RAB!C96,'HARGA SATUAN'!$C$7:$C$1492,0),0))</f>
        <v>57690</v>
      </c>
      <c r="H96" s="361">
        <f t="shared" ca="1" si="48"/>
        <v>0</v>
      </c>
      <c r="I96" s="361">
        <f t="shared" ca="1" si="49"/>
        <v>57690</v>
      </c>
      <c r="J96" s="361">
        <f t="shared" ca="1" si="50"/>
        <v>0</v>
      </c>
      <c r="K96" s="362">
        <f t="shared" ca="1" si="51"/>
        <v>57690</v>
      </c>
    </row>
    <row r="97" spans="2:11" ht="14.5">
      <c r="B97" s="518">
        <v>14</v>
      </c>
      <c r="C97" s="519" t="s">
        <v>234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9">
        <f>F81*2</f>
        <v>2</v>
      </c>
      <c r="G97" s="360">
        <f ca="1">IF(ISERROR(OFFSET('HARGA SATUAN'!$I$6,MATCH(RAB!C97,'HARGA SATUAN'!$C$7:$C$1492,0),0)),0,OFFSET('HARGA SATUAN'!$I$6,MATCH(RAB!C97,'HARGA SATUAN'!$C$7:$C$1492,0),0))</f>
        <v>67500</v>
      </c>
      <c r="H97" s="361">
        <f t="shared" ca="1" si="48"/>
        <v>0</v>
      </c>
      <c r="I97" s="361">
        <f t="shared" ca="1" si="49"/>
        <v>135000</v>
      </c>
      <c r="J97" s="361">
        <f t="shared" ca="1" si="50"/>
        <v>0</v>
      </c>
      <c r="K97" s="362">
        <f t="shared" ca="1" si="51"/>
        <v>135000</v>
      </c>
    </row>
    <row r="98" spans="2:11" ht="14.5">
      <c r="B98" s="518">
        <v>15</v>
      </c>
      <c r="C98" s="519" t="s">
        <v>267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9">
        <f>F81*2</f>
        <v>2</v>
      </c>
      <c r="G98" s="360">
        <f ca="1">IF(ISERROR(OFFSET('HARGA SATUAN'!$I$6,MATCH(RAB!C98,'HARGA SATUAN'!$C$7:$C$1492,0),0)),0,OFFSET('HARGA SATUAN'!$I$6,MATCH(RAB!C98,'HARGA SATUAN'!$C$7:$C$1492,0),0))</f>
        <v>129000</v>
      </c>
      <c r="H98" s="361">
        <f t="shared" ca="1" si="48"/>
        <v>0</v>
      </c>
      <c r="I98" s="361">
        <f t="shared" ca="1" si="49"/>
        <v>258000</v>
      </c>
      <c r="J98" s="361">
        <f t="shared" ca="1" si="50"/>
        <v>0</v>
      </c>
      <c r="K98" s="362">
        <f t="shared" ca="1" si="51"/>
        <v>258000</v>
      </c>
    </row>
    <row r="99" spans="2:11" ht="14.5">
      <c r="B99" s="518">
        <v>16</v>
      </c>
      <c r="C99" s="519" t="s">
        <v>607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9">
        <f>F81*4</f>
        <v>4</v>
      </c>
      <c r="G99" s="360">
        <f ca="1">IF(ISERROR(OFFSET('HARGA SATUAN'!$I$6,MATCH(RAB!C99,'HARGA SATUAN'!$C$7:$C$1492,0),0)),0,OFFSET('HARGA SATUAN'!$I$6,MATCH(RAB!C99,'HARGA SATUAN'!$C$7:$C$1492,0),0))</f>
        <v>250000</v>
      </c>
      <c r="H99" s="361">
        <f t="shared" ca="1" si="48"/>
        <v>0</v>
      </c>
      <c r="I99" s="361">
        <f t="shared" ca="1" si="49"/>
        <v>1000000</v>
      </c>
      <c r="J99" s="361">
        <f t="shared" ca="1" si="50"/>
        <v>0</v>
      </c>
      <c r="K99" s="362">
        <f t="shared" ca="1" si="51"/>
        <v>1000000</v>
      </c>
    </row>
    <row r="100" spans="2:11" ht="14.5">
      <c r="B100" s="518">
        <v>17</v>
      </c>
      <c r="C100" s="519" t="s">
        <v>783</v>
      </c>
      <c r="D100" s="358" t="str">
        <f ca="1">IF(ISERROR(OFFSET('HARGA SATUAN'!$D$6,MATCH(RAB!C100,'HARGA SATUAN'!$C$7:$C$1492,0),0)),"",OFFSET('HARGA SATUAN'!$D$6,MATCH(RAB!C100,'HARGA SATUAN'!$C$7:$C$1492,0),0))</f>
        <v>JASA</v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499">
        <f>F81*1</f>
        <v>1</v>
      </c>
      <c r="G100" s="360">
        <f ca="1">IF(ISERROR(OFFSET('HARGA SATUAN'!$I$6,MATCH(RAB!C100,'HARGA SATUAN'!$C$7:$C$1492,0),0)),0,OFFSET('HARGA SATUAN'!$I$6,MATCH(RAB!C100,'HARGA SATUAN'!$C$7:$C$1492,0),0))</f>
        <v>1182800</v>
      </c>
      <c r="H100" s="361">
        <f t="shared" ca="1" si="48"/>
        <v>0</v>
      </c>
      <c r="I100" s="361">
        <f t="shared" ca="1" si="49"/>
        <v>0</v>
      </c>
      <c r="J100" s="361">
        <f t="shared" ca="1" si="50"/>
        <v>1182800</v>
      </c>
      <c r="K100" s="362">
        <f t="shared" ca="1" si="51"/>
        <v>1182800</v>
      </c>
    </row>
    <row r="101" spans="2:11" ht="14.5">
      <c r="B101" s="506"/>
      <c r="C101" s="109"/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499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ref="H101" ca="1" si="52">IF(OR(D101="MDU",D101="MDU-KD"),(IF($O$3="RAB NON MDU","PLN KD",G101*F101)),0)</f>
        <v>0</v>
      </c>
      <c r="I101" s="361">
        <f t="shared" ref="I101" ca="1" si="53">IF(D101="HDW",G101*F101,0)</f>
        <v>0</v>
      </c>
      <c r="J101" s="361">
        <f t="shared" ref="J101" ca="1" si="54">IF(D101="JASA",G101*F101,0)</f>
        <v>0</v>
      </c>
      <c r="K101" s="362">
        <f t="shared" ref="K101" ca="1" si="55">SUM(H101:J101)</f>
        <v>0</v>
      </c>
    </row>
    <row r="102" spans="2:11" ht="14.5">
      <c r="B102" s="501" t="s">
        <v>1035</v>
      </c>
      <c r="C102" s="502" t="s">
        <v>1619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499">
        <v>2</v>
      </c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ref="H102:H112" ca="1" si="56">IF(OR(D102="MDU",D102="MDU-KD"),(IF($O$3="RAB NON MDU","PLN KD",G102*F102)),0)</f>
        <v>0</v>
      </c>
      <c r="I102" s="361">
        <f t="shared" ref="I102:I112" ca="1" si="57">IF(D102="HDW",G102*F102,0)</f>
        <v>0</v>
      </c>
      <c r="J102" s="361">
        <f t="shared" ref="J102:J112" ca="1" si="58">IF(D102="JASA",G102*F102,0)</f>
        <v>0</v>
      </c>
      <c r="K102" s="362">
        <f t="shared" ref="K102:K112" ca="1" si="59">SUM(H102:J102)</f>
        <v>0</v>
      </c>
    </row>
    <row r="103" spans="2:11" ht="14.5">
      <c r="B103" s="501">
        <v>1</v>
      </c>
      <c r="C103" s="503" t="s">
        <v>29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99">
        <f>F102*1</f>
        <v>2</v>
      </c>
      <c r="G103" s="360">
        <f ca="1">IF(ISERROR(OFFSET('HARGA SATUAN'!$I$6,MATCH(RAB!C103,'HARGA SATUAN'!$C$7:$C$1492,0),0)),0,OFFSET('HARGA SATUAN'!$I$6,MATCH(RAB!C103,'HARGA SATUAN'!$C$7:$C$1492,0),0))</f>
        <v>185200</v>
      </c>
      <c r="H103" s="361">
        <f t="shared" ca="1" si="56"/>
        <v>0</v>
      </c>
      <c r="I103" s="361">
        <f t="shared" ca="1" si="57"/>
        <v>370400</v>
      </c>
      <c r="J103" s="361">
        <f t="shared" ca="1" si="58"/>
        <v>0</v>
      </c>
      <c r="K103" s="362">
        <f t="shared" ca="1" si="59"/>
        <v>370400</v>
      </c>
    </row>
    <row r="104" spans="2:11" ht="14.5">
      <c r="B104" s="496">
        <v>2</v>
      </c>
      <c r="C104" s="497" t="s">
        <v>30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99">
        <f>F102*1</f>
        <v>2</v>
      </c>
      <c r="G104" s="360">
        <f ca="1">IF(ISERROR(OFFSET('HARGA SATUAN'!$I$6,MATCH(RAB!C104,'HARGA SATUAN'!$C$7:$C$1492,0),0)),0,OFFSET('HARGA SATUAN'!$I$6,MATCH(RAB!C104,'HARGA SATUAN'!$C$7:$C$1492,0),0))</f>
        <v>47459</v>
      </c>
      <c r="H104" s="361">
        <f t="shared" ca="1" si="56"/>
        <v>0</v>
      </c>
      <c r="I104" s="361">
        <f t="shared" ca="1" si="57"/>
        <v>94918</v>
      </c>
      <c r="J104" s="361">
        <f t="shared" ca="1" si="58"/>
        <v>0</v>
      </c>
      <c r="K104" s="362">
        <f t="shared" ca="1" si="59"/>
        <v>94918</v>
      </c>
    </row>
    <row r="105" spans="2:11" ht="14.5">
      <c r="B105" s="496">
        <v>3</v>
      </c>
      <c r="C105" s="497" t="s">
        <v>31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99">
        <f>F102*1</f>
        <v>2</v>
      </c>
      <c r="G105" s="360">
        <f ca="1">IF(ISERROR(OFFSET('HARGA SATUAN'!$I$6,MATCH(RAB!C105,'HARGA SATUAN'!$C$7:$C$1492,0),0)),0,OFFSET('HARGA SATUAN'!$I$6,MATCH(RAB!C105,'HARGA SATUAN'!$C$7:$C$1492,0),0))</f>
        <v>4880</v>
      </c>
      <c r="H105" s="361">
        <f t="shared" ca="1" si="56"/>
        <v>0</v>
      </c>
      <c r="I105" s="361">
        <f t="shared" ca="1" si="57"/>
        <v>9760</v>
      </c>
      <c r="J105" s="361">
        <f t="shared" ca="1" si="58"/>
        <v>0</v>
      </c>
      <c r="K105" s="362">
        <f t="shared" ca="1" si="59"/>
        <v>9760</v>
      </c>
    </row>
    <row r="106" spans="2:11" ht="14.5">
      <c r="B106" s="496">
        <v>4</v>
      </c>
      <c r="C106" s="497" t="s">
        <v>32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Mtr</v>
      </c>
      <c r="F106" s="499">
        <f>F102*10</f>
        <v>20</v>
      </c>
      <c r="G106" s="360">
        <f ca="1">IF(ISERROR(OFFSET('HARGA SATUAN'!$I$6,MATCH(RAB!C106,'HARGA SATUAN'!$C$7:$C$1492,0),0)),0,OFFSET('HARGA SATUAN'!$I$6,MATCH(RAB!C106,'HARGA SATUAN'!$C$7:$C$1492,0),0))</f>
        <v>30000</v>
      </c>
      <c r="H106" s="361">
        <f t="shared" ca="1" si="56"/>
        <v>0</v>
      </c>
      <c r="I106" s="361">
        <f t="shared" ca="1" si="57"/>
        <v>600000</v>
      </c>
      <c r="J106" s="361">
        <f t="shared" ca="1" si="58"/>
        <v>0</v>
      </c>
      <c r="K106" s="362">
        <f t="shared" ca="1" si="59"/>
        <v>600000</v>
      </c>
    </row>
    <row r="107" spans="2:11" ht="14.5">
      <c r="B107" s="496">
        <v>5</v>
      </c>
      <c r="C107" s="497" t="s">
        <v>33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99">
        <f>F102*2</f>
        <v>4</v>
      </c>
      <c r="G107" s="360">
        <f ca="1">IF(ISERROR(OFFSET('HARGA SATUAN'!$I$6,MATCH(RAB!C107,'HARGA SATUAN'!$C$7:$C$1492,0),0)),0,OFFSET('HARGA SATUAN'!$I$6,MATCH(RAB!C107,'HARGA SATUAN'!$C$7:$C$1492,0),0))</f>
        <v>9500</v>
      </c>
      <c r="H107" s="361">
        <f t="shared" ca="1" si="56"/>
        <v>0</v>
      </c>
      <c r="I107" s="361">
        <f t="shared" ca="1" si="57"/>
        <v>38000</v>
      </c>
      <c r="J107" s="361">
        <f t="shared" ca="1" si="58"/>
        <v>0</v>
      </c>
      <c r="K107" s="362">
        <f t="shared" ca="1" si="59"/>
        <v>38000</v>
      </c>
    </row>
    <row r="108" spans="2:11" ht="14.5">
      <c r="B108" s="496">
        <v>6</v>
      </c>
      <c r="C108" s="497" t="s">
        <v>34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99">
        <f>F102*5.5</f>
        <v>11</v>
      </c>
      <c r="G108" s="360">
        <f ca="1">IF(ISERROR(OFFSET('HARGA SATUAN'!$I$6,MATCH(RAB!C108,'HARGA SATUAN'!$C$7:$C$1492,0),0)),0,OFFSET('HARGA SATUAN'!$I$6,MATCH(RAB!C108,'HARGA SATUAN'!$C$7:$C$1492,0),0))</f>
        <v>6100</v>
      </c>
      <c r="H108" s="361">
        <f t="shared" ca="1" si="56"/>
        <v>0</v>
      </c>
      <c r="I108" s="361">
        <f t="shared" ca="1" si="57"/>
        <v>67100</v>
      </c>
      <c r="J108" s="361">
        <f t="shared" ca="1" si="58"/>
        <v>0</v>
      </c>
      <c r="K108" s="362">
        <f t="shared" ca="1" si="59"/>
        <v>67100</v>
      </c>
    </row>
    <row r="109" spans="2:11" ht="14.5">
      <c r="B109" s="496">
        <v>7</v>
      </c>
      <c r="C109" s="497" t="s">
        <v>35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99">
        <f>F102*6</f>
        <v>12</v>
      </c>
      <c r="G109" s="360">
        <f ca="1">IF(ISERROR(OFFSET('HARGA SATUAN'!$I$6,MATCH(RAB!C109,'HARGA SATUAN'!$C$7:$C$1492,0),0)),0,OFFSET('HARGA SATUAN'!$I$6,MATCH(RAB!C109,'HARGA SATUAN'!$C$7:$C$1492,0),0))</f>
        <v>2300</v>
      </c>
      <c r="H109" s="361">
        <f t="shared" ca="1" si="56"/>
        <v>0</v>
      </c>
      <c r="I109" s="361">
        <f t="shared" ca="1" si="57"/>
        <v>27600</v>
      </c>
      <c r="J109" s="361">
        <f t="shared" ca="1" si="58"/>
        <v>0</v>
      </c>
      <c r="K109" s="362">
        <f t="shared" ca="1" si="59"/>
        <v>27600</v>
      </c>
    </row>
    <row r="110" spans="2:11" ht="14.5">
      <c r="B110" s="496">
        <v>8</v>
      </c>
      <c r="C110" s="497" t="s">
        <v>1620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Mtr</v>
      </c>
      <c r="F110" s="499">
        <f>F102*4.8</f>
        <v>9.6</v>
      </c>
      <c r="G110" s="360">
        <f ca="1">IF(ISERROR(OFFSET('HARGA SATUAN'!$I$6,MATCH(RAB!C110,'HARGA SATUAN'!$C$7:$C$1492,0),0)),0,OFFSET('HARGA SATUAN'!$I$6,MATCH(RAB!C110,'HARGA SATUAN'!$C$7:$C$1492,0),0))</f>
        <v>23310</v>
      </c>
      <c r="H110" s="361">
        <f t="shared" ca="1" si="56"/>
        <v>0</v>
      </c>
      <c r="I110" s="361">
        <f t="shared" ca="1" si="57"/>
        <v>223776</v>
      </c>
      <c r="J110" s="361">
        <f t="shared" ca="1" si="58"/>
        <v>0</v>
      </c>
      <c r="K110" s="362">
        <f t="shared" ca="1" si="59"/>
        <v>223776</v>
      </c>
    </row>
    <row r="111" spans="2:11" ht="14.5">
      <c r="B111" s="496">
        <v>9</v>
      </c>
      <c r="C111" s="497" t="s">
        <v>736</v>
      </c>
      <c r="D111" s="358" t="str">
        <f ca="1">IF(ISERROR(OFFSET('HARGA SATUAN'!$D$6,MATCH(RAB!C111,'HARGA SATUAN'!$C$7:$C$1492,0),0)),"",OFFSET('HARGA SATUAN'!$D$6,MATCH(RAB!C111,'HARGA SATUAN'!$C$7:$C$1492,0),0))</f>
        <v>JASA</v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499">
        <f>F102*1</f>
        <v>2</v>
      </c>
      <c r="G111" s="360">
        <f ca="1">IF(ISERROR(OFFSET('HARGA SATUAN'!$I$6,MATCH(RAB!C111,'HARGA SATUAN'!$C$7:$C$1492,0),0)),0,OFFSET('HARGA SATUAN'!$I$6,MATCH(RAB!C111,'HARGA SATUAN'!$C$7:$C$1492,0),0))</f>
        <v>65400</v>
      </c>
      <c r="H111" s="361">
        <f t="shared" ca="1" si="56"/>
        <v>0</v>
      </c>
      <c r="I111" s="361">
        <f t="shared" ca="1" si="57"/>
        <v>0</v>
      </c>
      <c r="J111" s="361">
        <f t="shared" ca="1" si="58"/>
        <v>130800</v>
      </c>
      <c r="K111" s="362">
        <f t="shared" ca="1" si="59"/>
        <v>130800</v>
      </c>
    </row>
    <row r="112" spans="2:11" ht="14.5">
      <c r="B112" s="492"/>
      <c r="C112" s="495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500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56"/>
        <v>0</v>
      </c>
      <c r="I112" s="361">
        <f t="shared" ca="1" si="57"/>
        <v>0</v>
      </c>
      <c r="J112" s="361">
        <f t="shared" ca="1" si="58"/>
        <v>0</v>
      </c>
      <c r="K112" s="362">
        <f t="shared" ca="1" si="59"/>
        <v>0</v>
      </c>
    </row>
    <row r="113" spans="2:11" ht="14.5">
      <c r="B113" s="493" t="s">
        <v>1615</v>
      </c>
      <c r="C113" s="498" t="s">
        <v>1621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/>
      </c>
      <c r="F113" s="368"/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ref="H113:H119" ca="1" si="60">IF(OR(D113="MDU",D113="MDU-KD"),(IF($O$3="RAB NON MDU","PLN KD",G113*F113)),0)</f>
        <v>0</v>
      </c>
      <c r="I113" s="361">
        <f t="shared" ref="I113:I119" ca="1" si="61">IF(D113="HDW",G113*F113,0)</f>
        <v>0</v>
      </c>
      <c r="J113" s="361">
        <f t="shared" ref="J113:J119" ca="1" si="62">IF(D113="JASA",G113*F113,0)</f>
        <v>0</v>
      </c>
      <c r="K113" s="362">
        <f t="shared" ref="K113:K119" ca="1" si="63">SUM(H113:J113)</f>
        <v>0</v>
      </c>
    </row>
    <row r="114" spans="2:11" ht="14.5">
      <c r="B114" s="493"/>
      <c r="C114" s="494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508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60"/>
        <v>0</v>
      </c>
      <c r="I114" s="361">
        <f t="shared" ca="1" si="61"/>
        <v>0</v>
      </c>
      <c r="J114" s="361">
        <f t="shared" ca="1" si="62"/>
        <v>0</v>
      </c>
      <c r="K114" s="362">
        <f t="shared" ca="1" si="63"/>
        <v>0</v>
      </c>
    </row>
    <row r="115" spans="2:11" ht="14.5">
      <c r="B115" s="493" t="s">
        <v>1035</v>
      </c>
      <c r="C115" s="494" t="s">
        <v>1634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>Unit</v>
      </c>
      <c r="F115" s="512">
        <v>1</v>
      </c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60"/>
        <v>0</v>
      </c>
      <c r="I115" s="361">
        <f t="shared" ca="1" si="61"/>
        <v>0</v>
      </c>
      <c r="J115" s="361">
        <f t="shared" ca="1" si="62"/>
        <v>0</v>
      </c>
      <c r="K115" s="362">
        <f t="shared" ca="1" si="63"/>
        <v>0</v>
      </c>
    </row>
    <row r="116" spans="2:11" ht="29">
      <c r="B116" s="518">
        <v>1</v>
      </c>
      <c r="C116" s="109" t="s">
        <v>1197</v>
      </c>
      <c r="D116" s="358" t="str">
        <f ca="1">IF(ISERROR(OFFSET('HARGA SATUAN'!$D$6,MATCH(RAB!C116,'HARGA SATUAN'!$C$7:$C$1492,0),0)),"",OFFSET('HARGA SATUAN'!$D$6,MATCH(RAB!C116,'HARGA SATUAN'!$C$7:$C$1492,0),0))</f>
        <v>MDU-KD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12">
        <f>F115*1</f>
        <v>1</v>
      </c>
      <c r="G116" s="360">
        <f ca="1">IF(ISERROR(OFFSET('HARGA SATUAN'!$I$6,MATCH(RAB!C116,'HARGA SATUAN'!$C$7:$C$1492,0),0)),0,OFFSET('HARGA SATUAN'!$I$6,MATCH(RAB!C116,'HARGA SATUAN'!$C$7:$C$1492,0),0))</f>
        <v>1427400</v>
      </c>
      <c r="H116" s="361">
        <f t="shared" ca="1" si="60"/>
        <v>1427400</v>
      </c>
      <c r="I116" s="361">
        <f t="shared" ca="1" si="61"/>
        <v>0</v>
      </c>
      <c r="J116" s="361">
        <f t="shared" ca="1" si="62"/>
        <v>0</v>
      </c>
      <c r="K116" s="362">
        <f t="shared" ca="1" si="63"/>
        <v>1427400</v>
      </c>
    </row>
    <row r="117" spans="2:11" ht="14.5">
      <c r="B117" s="518">
        <v>2</v>
      </c>
      <c r="C117" s="520" t="s">
        <v>511</v>
      </c>
      <c r="D117" s="358" t="str">
        <f ca="1">IF(ISERROR(OFFSET('HARGA SATUAN'!$D$6,MATCH(RAB!C117,'HARGA SATUAN'!$C$7:$C$1492,0),0)),"",OFFSET('HARGA SATUAN'!$D$6,MATCH(RAB!C117,'HARGA SATUAN'!$C$7:$C$1492,0),0))</f>
        <v>MDU-KD</v>
      </c>
      <c r="E117" s="359" t="str">
        <f ca="1">IF(B117="+","Unit",IF(ISERROR(OFFSET('HARGA SATUAN'!$E$6,MATCH(RAB!C117,'HARGA SATUAN'!$C$7:$C$1492,0),0)),"",OFFSET('HARGA SATUAN'!$E$6,MATCH(RAB!C117,'HARGA SATUAN'!$C$7:$C$1492,0),0)))</f>
        <v>Unit</v>
      </c>
      <c r="F117" s="512">
        <f>F115*1</f>
        <v>1</v>
      </c>
      <c r="G117" s="360">
        <f ca="1">IF(ISERROR(OFFSET('HARGA SATUAN'!$I$6,MATCH(RAB!C117,'HARGA SATUAN'!$C$7:$C$1492,0),0)),0,OFFSET('HARGA SATUAN'!$I$6,MATCH(RAB!C117,'HARGA SATUAN'!$C$7:$C$1492,0),0))</f>
        <v>3564900</v>
      </c>
      <c r="H117" s="361">
        <f t="shared" ca="1" si="60"/>
        <v>3564900</v>
      </c>
      <c r="I117" s="361">
        <f t="shared" ca="1" si="61"/>
        <v>0</v>
      </c>
      <c r="J117" s="361">
        <f t="shared" ca="1" si="62"/>
        <v>0</v>
      </c>
      <c r="K117" s="362">
        <f t="shared" ca="1" si="63"/>
        <v>3564900</v>
      </c>
    </row>
    <row r="118" spans="2:11" ht="14.5">
      <c r="B118" s="518">
        <v>3</v>
      </c>
      <c r="C118" s="520" t="s">
        <v>77</v>
      </c>
      <c r="D118" s="358" t="str">
        <f ca="1">IF(ISERROR(OFFSET('HARGA SATUAN'!$D$6,MATCH(RAB!C118,'HARGA SATUAN'!$C$7:$C$1492,0),0)),"",OFFSET('HARGA SATUAN'!$D$6,MATCH(RAB!C118,'HARGA SATUAN'!$C$7:$C$1492,0),0))</f>
        <v>MDU-KD</v>
      </c>
      <c r="E118" s="359" t="str">
        <f ca="1">IF(B118="+","Unit",IF(ISERROR(OFFSET('HARGA SATUAN'!$E$6,MATCH(RAB!C118,'HARGA SATUAN'!$C$7:$C$1492,0),0)),"",OFFSET('HARGA SATUAN'!$E$6,MATCH(RAB!C118,'HARGA SATUAN'!$C$7:$C$1492,0),0)))</f>
        <v>Mtr</v>
      </c>
      <c r="F118" s="512">
        <v>55</v>
      </c>
      <c r="G118" s="360">
        <f ca="1">IF(ISERROR(OFFSET('HARGA SATUAN'!$I$6,MATCH(RAB!C118,'HARGA SATUAN'!$C$7:$C$1492,0),0)),0,OFFSET('HARGA SATUAN'!$I$6,MATCH(RAB!C118,'HARGA SATUAN'!$C$7:$C$1492,0),0))</f>
        <v>13500</v>
      </c>
      <c r="H118" s="361">
        <f t="shared" ca="1" si="60"/>
        <v>742500</v>
      </c>
      <c r="I118" s="361">
        <f t="shared" ca="1" si="61"/>
        <v>0</v>
      </c>
      <c r="J118" s="361">
        <f t="shared" ca="1" si="62"/>
        <v>0</v>
      </c>
      <c r="K118" s="362">
        <f t="shared" ca="1" si="63"/>
        <v>742500</v>
      </c>
    </row>
    <row r="119" spans="2:11" ht="14.5">
      <c r="B119" s="518">
        <v>4</v>
      </c>
      <c r="C119" s="520" t="s">
        <v>799</v>
      </c>
      <c r="D119" s="358" t="str">
        <f ca="1">IF(ISERROR(OFFSET('HARGA SATUAN'!$D$6,MATCH(RAB!C119,'HARGA SATUAN'!$C$7:$C$1492,0),0)),"",OFFSET('HARGA SATUAN'!$D$6,MATCH(RAB!C119,'HARGA SATUAN'!$C$7:$C$1492,0),0))</f>
        <v>JASA</v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512">
        <f>F115*1</f>
        <v>1</v>
      </c>
      <c r="G119" s="360">
        <f ca="1">IF(ISERROR(OFFSET('HARGA SATUAN'!$I$6,MATCH(RAB!C119,'HARGA SATUAN'!$C$7:$C$1492,0),0)),0,OFFSET('HARGA SATUAN'!$I$6,MATCH(RAB!C119,'HARGA SATUAN'!$C$7:$C$1492,0),0))</f>
        <v>106400</v>
      </c>
      <c r="H119" s="361">
        <f t="shared" ca="1" si="60"/>
        <v>0</v>
      </c>
      <c r="I119" s="361">
        <f t="shared" ca="1" si="61"/>
        <v>0</v>
      </c>
      <c r="J119" s="361">
        <f t="shared" ca="1" si="62"/>
        <v>106400</v>
      </c>
      <c r="K119" s="362">
        <f t="shared" ca="1" si="63"/>
        <v>106400</v>
      </c>
    </row>
    <row r="120" spans="2:11" ht="14.5">
      <c r="B120" s="374"/>
      <c r="C120" s="507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ref="H120:H132" ca="1" si="64">IF(OR(D120="MDU",D120="MDU-KD"),(IF($O$3="RAB NON MDU","PLN KD",G120*F120)),0)</f>
        <v>0</v>
      </c>
      <c r="I120" s="361">
        <f t="shared" ref="I120:I132" ca="1" si="65">IF(D120="HDW",G120*F120,0)</f>
        <v>0</v>
      </c>
      <c r="J120" s="361">
        <f t="shared" ref="J120:J132" ca="1" si="66">IF(D120="JASA",G120*F120,0)</f>
        <v>0</v>
      </c>
      <c r="K120" s="362">
        <f t="shared" ref="K120:K132" ca="1" si="67">SUM(H120:J120)</f>
        <v>0</v>
      </c>
    </row>
    <row r="121" spans="2:11" ht="14.5">
      <c r="B121" s="518" t="s">
        <v>1035</v>
      </c>
      <c r="C121" s="520" t="s">
        <v>1627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521">
        <v>1</v>
      </c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64"/>
        <v>0</v>
      </c>
      <c r="I121" s="361">
        <f t="shared" ca="1" si="65"/>
        <v>0</v>
      </c>
      <c r="J121" s="361">
        <f t="shared" ca="1" si="66"/>
        <v>0</v>
      </c>
      <c r="K121" s="362">
        <f t="shared" ca="1" si="67"/>
        <v>0</v>
      </c>
    </row>
    <row r="122" spans="2:11" ht="14.5">
      <c r="B122" s="518">
        <v>1</v>
      </c>
      <c r="C122" s="520" t="s">
        <v>115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Set</v>
      </c>
      <c r="F122" s="521">
        <f>F121*1</f>
        <v>1</v>
      </c>
      <c r="G122" s="360">
        <f ca="1">IF(ISERROR(OFFSET('HARGA SATUAN'!$I$6,MATCH(RAB!C122,'HARGA SATUAN'!$C$7:$C$1492,0),0)),0,OFFSET('HARGA SATUAN'!$I$6,MATCH(RAB!C122,'HARGA SATUAN'!$C$7:$C$1492,0),0))</f>
        <v>11500</v>
      </c>
      <c r="H122" s="361">
        <f t="shared" ca="1" si="64"/>
        <v>0</v>
      </c>
      <c r="I122" s="361">
        <f t="shared" ca="1" si="65"/>
        <v>11500</v>
      </c>
      <c r="J122" s="361">
        <f t="shared" ca="1" si="66"/>
        <v>0</v>
      </c>
      <c r="K122" s="362">
        <f t="shared" ca="1" si="67"/>
        <v>11500</v>
      </c>
    </row>
    <row r="123" spans="2:11" ht="14.5">
      <c r="B123" s="518">
        <v>2</v>
      </c>
      <c r="C123" s="520" t="s">
        <v>145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Set</v>
      </c>
      <c r="F123" s="521">
        <f>F121*1</f>
        <v>1</v>
      </c>
      <c r="G123" s="360">
        <f ca="1">IF(ISERROR(OFFSET('HARGA SATUAN'!$I$6,MATCH(RAB!C123,'HARGA SATUAN'!$C$7:$C$1492,0),0)),0,OFFSET('HARGA SATUAN'!$I$6,MATCH(RAB!C123,'HARGA SATUAN'!$C$7:$C$1492,0),0))</f>
        <v>6200</v>
      </c>
      <c r="H123" s="361">
        <f t="shared" ca="1" si="64"/>
        <v>0</v>
      </c>
      <c r="I123" s="361">
        <f t="shared" ca="1" si="65"/>
        <v>6200</v>
      </c>
      <c r="J123" s="361">
        <f t="shared" ca="1" si="66"/>
        <v>0</v>
      </c>
      <c r="K123" s="362">
        <f t="shared" ca="1" si="67"/>
        <v>6200</v>
      </c>
    </row>
    <row r="124" spans="2:11" ht="14.5">
      <c r="B124" s="518">
        <v>3</v>
      </c>
      <c r="C124" s="520" t="s">
        <v>587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Btg</v>
      </c>
      <c r="F124" s="521">
        <f>F121*1</f>
        <v>1</v>
      </c>
      <c r="G124" s="360">
        <f ca="1">IF(ISERROR(OFFSET('HARGA SATUAN'!$I$6,MATCH(RAB!C124,'HARGA SATUAN'!$C$7:$C$1492,0),0)),0,OFFSET('HARGA SATUAN'!$I$6,MATCH(RAB!C124,'HARGA SATUAN'!$C$7:$C$1492,0),0))</f>
        <v>45796</v>
      </c>
      <c r="H124" s="361">
        <f t="shared" ca="1" si="64"/>
        <v>0</v>
      </c>
      <c r="I124" s="361">
        <f t="shared" ca="1" si="65"/>
        <v>45796</v>
      </c>
      <c r="J124" s="361">
        <f t="shared" ca="1" si="66"/>
        <v>0</v>
      </c>
      <c r="K124" s="362">
        <f t="shared" ca="1" si="67"/>
        <v>45796</v>
      </c>
    </row>
    <row r="125" spans="2:11" ht="14.5">
      <c r="B125" s="518">
        <v>4</v>
      </c>
      <c r="C125" s="520" t="s">
        <v>118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Set</v>
      </c>
      <c r="F125" s="521">
        <f>F121*1</f>
        <v>1</v>
      </c>
      <c r="G125" s="360">
        <f ca="1">IF(ISERROR(OFFSET('HARGA SATUAN'!$I$6,MATCH(RAB!C125,'HARGA SATUAN'!$C$7:$C$1492,0),0)),0,OFFSET('HARGA SATUAN'!$I$6,MATCH(RAB!C125,'HARGA SATUAN'!$C$7:$C$1492,0),0))</f>
        <v>5300</v>
      </c>
      <c r="H125" s="361">
        <f t="shared" ca="1" si="64"/>
        <v>0</v>
      </c>
      <c r="I125" s="361">
        <f t="shared" ca="1" si="65"/>
        <v>5300</v>
      </c>
      <c r="J125" s="361">
        <f t="shared" ca="1" si="66"/>
        <v>0</v>
      </c>
      <c r="K125" s="362">
        <f t="shared" ca="1" si="67"/>
        <v>5300</v>
      </c>
    </row>
    <row r="126" spans="2:11" ht="14.5">
      <c r="B126" s="518">
        <v>5</v>
      </c>
      <c r="C126" s="520" t="s">
        <v>117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521">
        <f>F121*1</f>
        <v>1</v>
      </c>
      <c r="G126" s="360">
        <f ca="1">IF(ISERROR(OFFSET('HARGA SATUAN'!$I$6,MATCH(RAB!C126,'HARGA SATUAN'!$C$7:$C$1492,0),0)),0,OFFSET('HARGA SATUAN'!$I$6,MATCH(RAB!C126,'HARGA SATUAN'!$C$7:$C$1492,0),0))</f>
        <v>58600</v>
      </c>
      <c r="H126" s="361">
        <f t="shared" ca="1" si="64"/>
        <v>0</v>
      </c>
      <c r="I126" s="361">
        <f t="shared" ca="1" si="65"/>
        <v>58600</v>
      </c>
      <c r="J126" s="361">
        <f t="shared" ca="1" si="66"/>
        <v>0</v>
      </c>
      <c r="K126" s="362">
        <f t="shared" ca="1" si="67"/>
        <v>58600</v>
      </c>
    </row>
    <row r="127" spans="2:11" ht="14.5">
      <c r="B127" s="518">
        <v>6</v>
      </c>
      <c r="C127" s="109" t="s">
        <v>1155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Set</v>
      </c>
      <c r="F127" s="521">
        <f>F121*2</f>
        <v>2</v>
      </c>
      <c r="G127" s="360">
        <f ca="1">IF(ISERROR(OFFSET('HARGA SATUAN'!$I$6,MATCH(RAB!C127,'HARGA SATUAN'!$C$7:$C$1492,0),0)),0,OFFSET('HARGA SATUAN'!$I$6,MATCH(RAB!C127,'HARGA SATUAN'!$C$7:$C$1492,0),0))</f>
        <v>2900</v>
      </c>
      <c r="H127" s="361">
        <f t="shared" ca="1" si="64"/>
        <v>0</v>
      </c>
      <c r="I127" s="361">
        <f t="shared" ca="1" si="65"/>
        <v>5800</v>
      </c>
      <c r="J127" s="361">
        <f t="shared" ca="1" si="66"/>
        <v>0</v>
      </c>
      <c r="K127" s="362">
        <f t="shared" ca="1" si="67"/>
        <v>5800</v>
      </c>
    </row>
    <row r="128" spans="2:11" ht="14.5">
      <c r="B128" s="518">
        <v>7</v>
      </c>
      <c r="C128" s="520" t="s">
        <v>119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Set</v>
      </c>
      <c r="F128" s="521">
        <f>F121*4</f>
        <v>4</v>
      </c>
      <c r="G128" s="360">
        <f ca="1">IF(ISERROR(OFFSET('HARGA SATUAN'!$I$6,MATCH(RAB!C128,'HARGA SATUAN'!$C$7:$C$1492,0),0)),0,OFFSET('HARGA SATUAN'!$I$6,MATCH(RAB!C128,'HARGA SATUAN'!$C$7:$C$1492,0),0))</f>
        <v>8900</v>
      </c>
      <c r="H128" s="361">
        <f t="shared" ca="1" si="64"/>
        <v>0</v>
      </c>
      <c r="I128" s="361">
        <f t="shared" ca="1" si="65"/>
        <v>35600</v>
      </c>
      <c r="J128" s="361">
        <f t="shared" ca="1" si="66"/>
        <v>0</v>
      </c>
      <c r="K128" s="362">
        <f t="shared" ca="1" si="67"/>
        <v>35600</v>
      </c>
    </row>
    <row r="129" spans="2:13" ht="14.5">
      <c r="B129" s="374"/>
      <c r="C129" s="507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368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64"/>
        <v>0</v>
      </c>
      <c r="I129" s="361">
        <f t="shared" ca="1" si="65"/>
        <v>0</v>
      </c>
      <c r="J129" s="361">
        <f t="shared" ca="1" si="66"/>
        <v>0</v>
      </c>
      <c r="K129" s="362">
        <f t="shared" ca="1" si="67"/>
        <v>0</v>
      </c>
    </row>
    <row r="130" spans="2:13">
      <c r="B130" s="366" t="s">
        <v>22</v>
      </c>
      <c r="C130" s="367" t="s">
        <v>1617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368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64"/>
        <v>0</v>
      </c>
      <c r="I130" s="361">
        <f t="shared" ca="1" si="65"/>
        <v>0</v>
      </c>
      <c r="J130" s="361">
        <f t="shared" ca="1" si="66"/>
        <v>0</v>
      </c>
      <c r="K130" s="362">
        <f t="shared" ca="1" si="67"/>
        <v>0</v>
      </c>
    </row>
    <row r="131" spans="2:13">
      <c r="B131" s="374"/>
      <c r="C131" s="373"/>
      <c r="D131" s="358" t="str">
        <f ca="1">IF(ISERROR(OFFSET('HARGA SATUAN'!$D$6,MATCH(RAB!C131,'HARGA SATUAN'!$C$7:$C$1492,0),0)),"",OFFSET('HARGA SATUAN'!$D$6,MATCH(RAB!C131,'HARGA SATUAN'!$C$7:$C$1492,0),0))</f>
        <v/>
      </c>
      <c r="E131" s="359" t="str">
        <f ca="1">IF(B131="+","Unit",IF(ISERROR(OFFSET('HARGA SATUAN'!$E$6,MATCH(RAB!C131,'HARGA SATUAN'!$C$7:$C$1492,0),0)),"",OFFSET('HARGA SATUAN'!$E$6,MATCH(RAB!C131,'HARGA SATUAN'!$C$7:$C$1492,0),0)))</f>
        <v/>
      </c>
      <c r="F131" s="368"/>
      <c r="G131" s="360">
        <f ca="1">IF(ISERROR(OFFSET('HARGA SATUAN'!$I$6,MATCH(RAB!C131,'HARGA SATUAN'!$C$7:$C$1492,0),0)),0,OFFSET('HARGA SATUAN'!$I$6,MATCH(RAB!C131,'HARGA SATUAN'!$C$7:$C$1492,0),0))</f>
        <v>0</v>
      </c>
      <c r="H131" s="361">
        <f t="shared" ca="1" si="64"/>
        <v>0</v>
      </c>
      <c r="I131" s="361">
        <f t="shared" ca="1" si="65"/>
        <v>0</v>
      </c>
      <c r="J131" s="361">
        <f t="shared" ca="1" si="66"/>
        <v>0</v>
      </c>
      <c r="K131" s="362">
        <f t="shared" ca="1" si="67"/>
        <v>0</v>
      </c>
    </row>
    <row r="132" spans="2:13">
      <c r="B132" s="375"/>
      <c r="C132" s="376" t="s">
        <v>475</v>
      </c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368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64"/>
        <v>0</v>
      </c>
      <c r="I132" s="361">
        <f t="shared" ca="1" si="65"/>
        <v>0</v>
      </c>
      <c r="J132" s="361">
        <f t="shared" ca="1" si="66"/>
        <v>0</v>
      </c>
      <c r="K132" s="362">
        <f t="shared" ca="1" si="67"/>
        <v>0</v>
      </c>
    </row>
    <row r="133" spans="2:13">
      <c r="B133" s="378">
        <v>1</v>
      </c>
      <c r="C133" s="379" t="s">
        <v>1091</v>
      </c>
      <c r="D133" s="380" t="str">
        <f ca="1">IF(ISERROR(OFFSET('HARGA SATUAN'!$D$6,MATCH(RAB!C133,'HARGA SATUAN'!$C$7:$C$1492,0),0)),"",OFFSET('HARGA SATUAN'!$D$6,MATCH(RAB!C133,'HARGA SATUAN'!$C$7:$C$1492,0),0))</f>
        <v>JASA</v>
      </c>
      <c r="E133" s="381" t="str">
        <f ca="1">IF(ISERROR(OFFSET('HARGA SATUAN'!$E$6,MATCH(RAB!C133,'HARGA SATUAN'!$C$7:$C$1492,0),0)),"",OFFSET('HARGA SATUAN'!$E$6,MATCH(RAB!C133,'HARGA SATUAN'!$C$7:$C$1492,0),0))</f>
        <v>Lot</v>
      </c>
      <c r="F133" s="382">
        <v>1</v>
      </c>
      <c r="G133" s="383">
        <f ca="1">IF(ISERROR(OFFSET('HARGA SATUAN'!$I$6,MATCH(RAB!C133,'HARGA SATUAN'!$C$7:$C$1492,0),0)),0,OFFSET('HARGA SATUAN'!$I$6,MATCH(RAB!C133,'HARGA SATUAN'!$C$7:$C$1492,0),0))</f>
        <v>2.5000000000000001E-2</v>
      </c>
      <c r="H133" s="384">
        <f ca="1">SUM(H14:H132)*G133</f>
        <v>1447471.25</v>
      </c>
      <c r="I133" s="384">
        <f ca="1">SUM(I14:I132)*G133</f>
        <v>472056.26833333337</v>
      </c>
      <c r="J133" s="384">
        <f ca="1">SUM(J14:J132)*G133</f>
        <v>55451.666666666679</v>
      </c>
      <c r="K133" s="385">
        <f ca="1">SUM(H133:J133)</f>
        <v>1974979.1850000001</v>
      </c>
    </row>
    <row r="134" spans="2:13">
      <c r="B134" s="386"/>
      <c r="C134" s="387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IF(ISERROR(OFFSET('HARGA SATUAN'!$E$6,MATCH(RAB!C134,'HARGA SATUAN'!$C$7:$C$1492,0),0)),"",OFFSET('HARGA SATUAN'!$E$6,MATCH(RAB!C134,'HARGA SATUAN'!$C$7:$C$1492,0),0))</f>
        <v/>
      </c>
      <c r="F134" s="377"/>
      <c r="G134" s="360" t="str">
        <f ca="1">IF(ISERROR(OFFSET('HARGA SATUAN'!$I$6,MATCH(RAB!C134,'HARGA SATUAN'!$C$7:$C$1492,0),0)),"",OFFSET('HARGA SATUAN'!$I$6,MATCH(RAB!C134,'HARGA SATUAN'!$C$7:$C$1492,0),0))</f>
        <v/>
      </c>
      <c r="H134" s="361">
        <f ca="1">IF(OR(D134="MDU",D134="MDU-KD"),IF(G134="PLN",0,G134*F134),0)</f>
        <v>0</v>
      </c>
      <c r="I134" s="361">
        <f ca="1">IF(D134="HDW",IF(G134="PLN",0,G134*F134),0)</f>
        <v>0</v>
      </c>
      <c r="J134" s="361">
        <f ca="1">IF(D134="JASA",IF(G134="PLN",0,G134*F134),0)</f>
        <v>0</v>
      </c>
      <c r="K134" s="362">
        <f ca="1">SUM(H134:J134)</f>
        <v>0</v>
      </c>
    </row>
    <row r="135" spans="2:13" ht="14.5" thickBot="1">
      <c r="B135" s="388"/>
      <c r="C135" s="389"/>
      <c r="D135" s="390"/>
      <c r="E135" s="391"/>
      <c r="F135" s="391"/>
      <c r="G135" s="391"/>
      <c r="H135" s="392"/>
      <c r="I135" s="392"/>
      <c r="J135" s="392"/>
      <c r="K135" s="393"/>
    </row>
    <row r="136" spans="2:13">
      <c r="B136" s="394"/>
      <c r="C136" s="648" t="s">
        <v>1008</v>
      </c>
      <c r="D136" s="648"/>
      <c r="E136" s="648"/>
      <c r="F136" s="648"/>
      <c r="G136" s="395" t="s">
        <v>9</v>
      </c>
      <c r="H136" s="396">
        <f ca="1">SUM(H14:H134)</f>
        <v>59346321.25</v>
      </c>
      <c r="I136" s="396">
        <f ca="1">SUM(I14:I134)</f>
        <v>19354307.001666669</v>
      </c>
      <c r="J136" s="396">
        <f ca="1">SUM(J14:J134)</f>
        <v>2273518.3333333335</v>
      </c>
      <c r="K136" s="396">
        <f ca="1">SUM(K14:K134)</f>
        <v>80974146.585000008</v>
      </c>
    </row>
    <row r="137" spans="2:13">
      <c r="B137" s="398"/>
      <c r="C137" s="631" t="s">
        <v>1457</v>
      </c>
      <c r="D137" s="631"/>
      <c r="E137" s="631"/>
      <c r="F137" s="631"/>
      <c r="G137" s="399" t="s">
        <v>9</v>
      </c>
      <c r="H137" s="400">
        <f ca="1">H136*0.11</f>
        <v>6528095.3375000004</v>
      </c>
      <c r="I137" s="400">
        <f ca="1">I136*0.11</f>
        <v>2128973.7701833337</v>
      </c>
      <c r="J137" s="400">
        <f ca="1">J136*0.11</f>
        <v>250087.01666666669</v>
      </c>
      <c r="K137" s="400">
        <f ca="1">K136*0.11</f>
        <v>8907156.1243500002</v>
      </c>
    </row>
    <row r="138" spans="2:13" ht="14.5" thickBot="1">
      <c r="B138" s="398"/>
      <c r="C138" s="629" t="s">
        <v>463</v>
      </c>
      <c r="D138" s="629"/>
      <c r="E138" s="629"/>
      <c r="F138" s="629"/>
      <c r="G138" s="401" t="s">
        <v>9</v>
      </c>
      <c r="H138" s="402">
        <f ca="1">SUM(H136:H137)</f>
        <v>65874416.587499999</v>
      </c>
      <c r="I138" s="402">
        <f ca="1">SUM(I136:I137)</f>
        <v>21483280.771850001</v>
      </c>
      <c r="J138" s="401">
        <f ca="1">SUM(J136:J137)</f>
        <v>2523605.35</v>
      </c>
      <c r="K138" s="401">
        <f ca="1">SUM(K136:K137)</f>
        <v>89881302.709350005</v>
      </c>
      <c r="M138" s="483"/>
    </row>
    <row r="139" spans="2:13">
      <c r="B139" s="632" t="str">
        <f ca="1">"Terbilang : "&amp;PROPER(IF(K138=0,"nol",IF(K138&lt;0,"minus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IF(--MID(TEXT(ABS(K138),"000000000000000"),1,3)=0,"",MID(TEXT(ABS(K138),"000000000000000"),1,1)&amp;" ratus "&amp;MID(TEXT(ABS(K138),"000000000000000"),2,1)&amp;" puluh "&amp;MID(TEXT(ABS(K138),"000000000000000"),3,1)&amp;" trilyun ")&amp; IF(--MID(TEXT(ABS(K138),"000000000000000"),4,3)=0,"",MID(TEXT(ABS(K138),"000000000000000"),4,1)&amp;" ratus "&amp;MID(TEXT(ABS(K138),"000000000000000"),5,1)&amp;" puluh "&amp;MID(TEXT(ABS(K138),"000000000000000"),6,1)&amp;" milyar ")&amp; IF(--MID(TEXT(ABS(K138),"000000000000000"),7,3)=0,"",MID(TEXT(ABS(K138),"000000000000000"),7,1)&amp;" ratus "&amp;MID(TEXT(ABS(K138),"000000000000000"),8,1)&amp;" puluh "&amp;MID(TEXT(ABS(K138),"000000000000000"),9,1)&amp;" juta ")&amp; IF(--MID(TEXT(ABS(K138),"000000000000000"),10,3)=0,"",IF(--MID(TEXT(ABS(K138),"000000000000000"),10,3)=1,"*",MID(TEXT(ABS(K138),"000000000000000"),10,1)&amp;" ratus "&amp;MID(TEXT(ABS(K138),"000000000000000"),11,1)&amp;" puluh ")&amp;MID(TEXT(ABS(K138),"000000000000000"),12,1)&amp;" ribu ")&amp; IF(--MID(TEXT(ABS(K138),"000000000000000"),13,3)=0,"",MID(TEXT(ABS(K138),"000000000000000"),13,1)&amp;" ratus "&amp;MID(TEXT(ABS(K138),"000000000000000"),14,1)&amp;" puluh "&amp;MID(TEXT(ABS(K138),"000000000000000"),15,1)),1,"satu"),2,"dua"),3,"tiga"),4,"empat"),5,"lima"),6,"enam"),7,"tujuh"),8,"delapan"),9,"sembilan"),"0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Delapan Ratus Delapan Puluh Satu Ribu Tiga Ratus Tiga Rupiah</v>
      </c>
      <c r="C139" s="633"/>
      <c r="D139" s="633"/>
      <c r="E139" s="633"/>
      <c r="F139" s="633"/>
      <c r="G139" s="633"/>
      <c r="H139" s="633"/>
      <c r="I139" s="633"/>
      <c r="J139" s="633"/>
      <c r="K139" s="634"/>
    </row>
    <row r="140" spans="2:13">
      <c r="B140" s="635"/>
      <c r="C140" s="636"/>
      <c r="D140" s="636"/>
      <c r="E140" s="636"/>
      <c r="F140" s="636"/>
      <c r="G140" s="636"/>
      <c r="H140" s="636"/>
      <c r="I140" s="636"/>
      <c r="J140" s="636"/>
      <c r="K140" s="637"/>
    </row>
    <row r="141" spans="2:13" ht="14.5" thickBot="1">
      <c r="B141" s="403" t="str">
        <f>"Harga yang dipakai adalah "&amp;'HARGA SATUAN'!I5&amp;""</f>
        <v>Harga yang dipakai adalah RAB HSS 2023</v>
      </c>
      <c r="C141" s="404"/>
      <c r="D141" s="405"/>
      <c r="E141" s="405"/>
      <c r="F141" s="405"/>
      <c r="G141" s="406"/>
      <c r="H141" s="406"/>
      <c r="I141" s="406"/>
      <c r="J141" s="406"/>
      <c r="K141" s="407"/>
    </row>
    <row r="142" spans="2:13">
      <c r="C142" s="408"/>
      <c r="E142" s="410"/>
      <c r="F142" s="410"/>
      <c r="G142" s="410"/>
    </row>
    <row r="143" spans="2:13">
      <c r="C143" s="337"/>
      <c r="E143" s="410"/>
      <c r="F143" s="410"/>
      <c r="G143" s="410"/>
      <c r="H143" s="638"/>
      <c r="I143" s="638"/>
      <c r="J143" s="639"/>
      <c r="K143" s="639"/>
    </row>
    <row r="144" spans="2:13">
      <c r="C144" s="337"/>
      <c r="E144" s="410"/>
      <c r="F144" s="410"/>
      <c r="G144" s="410"/>
      <c r="H144" s="411"/>
      <c r="I144" s="628" t="s">
        <v>1610</v>
      </c>
      <c r="J144" s="628"/>
      <c r="K144" s="628"/>
    </row>
    <row r="145" spans="3:11">
      <c r="C145" s="337"/>
      <c r="E145" s="410"/>
      <c r="F145" s="410"/>
      <c r="G145" s="410"/>
      <c r="H145" s="411"/>
      <c r="I145" s="628" t="s">
        <v>1546</v>
      </c>
      <c r="J145" s="628"/>
      <c r="K145" s="628"/>
    </row>
    <row r="146" spans="3:11">
      <c r="C146" s="337"/>
      <c r="E146" s="410"/>
      <c r="F146" s="410"/>
      <c r="G146" s="410"/>
      <c r="H146" s="412"/>
      <c r="I146" s="413"/>
      <c r="J146" s="413"/>
      <c r="K146" s="413"/>
    </row>
    <row r="147" spans="3:11">
      <c r="C147" s="337"/>
      <c r="E147" s="410"/>
      <c r="F147" s="410"/>
      <c r="G147" s="410"/>
      <c r="H147" s="412"/>
      <c r="I147" s="412"/>
      <c r="J147" s="412"/>
      <c r="K147" s="412"/>
    </row>
    <row r="148" spans="3:11">
      <c r="C148" s="337"/>
      <c r="E148" s="410"/>
      <c r="F148" s="410"/>
      <c r="G148" s="410"/>
      <c r="H148" s="412"/>
      <c r="I148" s="412"/>
      <c r="J148" s="412"/>
      <c r="K148" s="412"/>
    </row>
    <row r="149" spans="3:11">
      <c r="C149" s="337"/>
      <c r="E149" s="410"/>
      <c r="F149" s="410"/>
      <c r="G149" s="410"/>
      <c r="H149" s="412"/>
      <c r="I149" s="412"/>
      <c r="J149" s="412"/>
      <c r="K149" s="412"/>
    </row>
    <row r="150" spans="3:11">
      <c r="C150" s="337"/>
      <c r="E150" s="410"/>
      <c r="F150" s="410"/>
      <c r="G150" s="410"/>
      <c r="H150" s="414"/>
      <c r="I150" s="628" t="s">
        <v>1547</v>
      </c>
      <c r="J150" s="628"/>
      <c r="K150" s="628"/>
    </row>
    <row r="151" spans="3:11">
      <c r="C151" s="408"/>
      <c r="E151" s="410"/>
      <c r="F151" s="410"/>
      <c r="G151" s="410"/>
      <c r="H151" s="412"/>
      <c r="I151" s="412"/>
      <c r="J151" s="412"/>
      <c r="K151" s="412"/>
    </row>
    <row r="152" spans="3:11">
      <c r="C152" s="408"/>
      <c r="E152" s="410"/>
      <c r="F152" s="410"/>
      <c r="G152" s="410"/>
      <c r="H152" s="412"/>
      <c r="I152" s="412"/>
      <c r="J152" s="412"/>
      <c r="K152" s="412"/>
    </row>
    <row r="153" spans="3:11">
      <c r="C153" s="408"/>
      <c r="E153" s="410"/>
      <c r="F153" s="410"/>
      <c r="G153" s="410"/>
      <c r="H153" s="412"/>
      <c r="I153" s="412"/>
      <c r="J153" s="412"/>
      <c r="K153" s="412"/>
    </row>
  </sheetData>
  <sheetProtection sort="0" autoFilter="0"/>
  <protectedRanges>
    <protectedRange sqref="B131 B114:B129" name="Range1_1"/>
    <protectedRange sqref="F113:F132 F78:F80 F87 F14:F62 F75:F76" name="Range1_1_2_2"/>
    <protectedRange sqref="C131 C114:C115 C119:C129 C117" name="Range1_1_1"/>
    <protectedRange sqref="B101 B90:C91 B96 B112:C113 B92 B89 B80:C80 B93:C95 B97:C100 B87:C88" name="Range1_6_2"/>
    <protectedRange sqref="C101" name="Range1_1_3_2"/>
    <protectedRange sqref="C96" name="Range1_1_3_3"/>
    <protectedRange sqref="C92" name="Range1_1_3_10"/>
    <protectedRange sqref="C118" name="Range1_1_3_13"/>
    <protectedRange sqref="C17" name="Range1_1_3_14"/>
    <protectedRange sqref="C18:C20" name="Range1_1_3"/>
    <protectedRange sqref="C77" name="Range1_1_3_5"/>
    <protectedRange sqref="C116" name="Range1_1_3_4"/>
    <protectedRange sqref="C76 C85" name="Range1_1_3_7"/>
    <protectedRange sqref="C89" name="Range1_1_3_8"/>
    <protectedRange sqref="F63:F74" name="Range1_1_2_2_1"/>
  </protectedRanges>
  <mergeCells count="22">
    <mergeCell ref="O3:P4"/>
    <mergeCell ref="B4:K4"/>
    <mergeCell ref="C136:F136"/>
    <mergeCell ref="B11:B13"/>
    <mergeCell ref="C11:C13"/>
    <mergeCell ref="D11:D13"/>
    <mergeCell ref="E11:E13"/>
    <mergeCell ref="F11:F13"/>
    <mergeCell ref="G11:G13"/>
    <mergeCell ref="I12:I13"/>
    <mergeCell ref="I145:K145"/>
    <mergeCell ref="I150:K150"/>
    <mergeCell ref="C138:F138"/>
    <mergeCell ref="G6:K6"/>
    <mergeCell ref="I144:K144"/>
    <mergeCell ref="C137:F137"/>
    <mergeCell ref="B139:K140"/>
    <mergeCell ref="H143:K143"/>
    <mergeCell ref="H11:K11"/>
    <mergeCell ref="H12:H13"/>
    <mergeCell ref="J12:J13"/>
    <mergeCell ref="K12:K13"/>
  </mergeCells>
  <phoneticPr fontId="141" type="noConversion"/>
  <conditionalFormatting sqref="C15 C17:C21 C101">
    <cfRule type="cellIs" dxfId="31" priority="523" operator="equal">
      <formula>0</formula>
    </cfRule>
  </conditionalFormatting>
  <conditionalFormatting sqref="C77">
    <cfRule type="cellIs" dxfId="30" priority="41" operator="equal">
      <formula>0</formula>
    </cfRule>
  </conditionalFormatting>
  <conditionalFormatting sqref="C79">
    <cfRule type="cellIs" dxfId="29" priority="148" operator="equal">
      <formula>0</formula>
    </cfRule>
  </conditionalFormatting>
  <conditionalFormatting sqref="C130">
    <cfRule type="cellIs" dxfId="28" priority="146" operator="equal">
      <formula>0</formula>
    </cfRule>
  </conditionalFormatting>
  <conditionalFormatting sqref="D77:F77">
    <cfRule type="cellIs" dxfId="27" priority="49" operator="equal">
      <formula>0</formula>
    </cfRule>
  </conditionalFormatting>
  <conditionalFormatting sqref="E1:E3 G1:G13 E5:E13 H12:I12 O13 S14:V21 E14:K22 E78:F79 E80:K80 E133:G133 H133:K135 E134:H134 E135:F135 E81:E100 G81:K100 E23:E28 G23:K29 G37:K42 E42:F42 E75:F76 G75:K79">
    <cfRule type="cellIs" dxfId="26" priority="1103" stopIfTrue="1" operator="equal">
      <formula>0</formula>
    </cfRule>
  </conditionalFormatting>
  <conditionalFormatting sqref="E29 E37:E41">
    <cfRule type="cellIs" dxfId="25" priority="27" stopIfTrue="1" operator="equal">
      <formula>0</formula>
    </cfRule>
  </conditionalFormatting>
  <conditionalFormatting sqref="E101:K120 E129:K132 E121:E128 G121:K128">
    <cfRule type="cellIs" dxfId="24" priority="36" stopIfTrue="1" operator="equal">
      <formula>0</formula>
    </cfRule>
  </conditionalFormatting>
  <conditionalFormatting sqref="G134:G65600 E139:E65600">
    <cfRule type="cellIs" dxfId="23" priority="237" stopIfTrue="1" operator="equal">
      <formula>0</formula>
    </cfRule>
  </conditionalFormatting>
  <conditionalFormatting sqref="C76">
    <cfRule type="cellIs" dxfId="22" priority="26" operator="equal">
      <formula>0</formula>
    </cfRule>
  </conditionalFormatting>
  <conditionalFormatting sqref="C86">
    <cfRule type="cellIs" dxfId="21" priority="25" operator="equal">
      <formula>0</formula>
    </cfRule>
  </conditionalFormatting>
  <conditionalFormatting sqref="F81:F100">
    <cfRule type="cellIs" dxfId="20" priority="24" stopIfTrue="1" operator="equal">
      <formula>0</formula>
    </cfRule>
  </conditionalFormatting>
  <conditionalFormatting sqref="C85">
    <cfRule type="cellIs" dxfId="19" priority="23" operator="equal">
      <formula>0</formula>
    </cfRule>
  </conditionalFormatting>
  <conditionalFormatting sqref="C89">
    <cfRule type="cellIs" dxfId="18" priority="22" operator="equal">
      <formula>0</formula>
    </cfRule>
  </conditionalFormatting>
  <conditionalFormatting sqref="C116">
    <cfRule type="cellIs" dxfId="17" priority="21" operator="equal">
      <formula>0</formula>
    </cfRule>
  </conditionalFormatting>
  <conditionalFormatting sqref="C127">
    <cfRule type="cellIs" dxfId="16" priority="20" operator="equal">
      <formula>0</formula>
    </cfRule>
  </conditionalFormatting>
  <conditionalFormatting sqref="F121:F128">
    <cfRule type="cellIs" dxfId="15" priority="19" stopIfTrue="1" operator="equal">
      <formula>0</formula>
    </cfRule>
  </conditionalFormatting>
  <conditionalFormatting sqref="E30:E35 G30:K36">
    <cfRule type="cellIs" dxfId="14" priority="18" stopIfTrue="1" operator="equal">
      <formula>0</formula>
    </cfRule>
  </conditionalFormatting>
  <conditionalFormatting sqref="E36">
    <cfRule type="cellIs" dxfId="13" priority="17" stopIfTrue="1" operator="equal">
      <formula>0</formula>
    </cfRule>
  </conditionalFormatting>
  <conditionalFormatting sqref="F23:F41">
    <cfRule type="cellIs" dxfId="12" priority="16" stopIfTrue="1" operator="equal">
      <formula>0</formula>
    </cfRule>
  </conditionalFormatting>
  <conditionalFormatting sqref="E43:E48 G43:K49 F62 G57:K74">
    <cfRule type="cellIs" dxfId="11" priority="15" stopIfTrue="1" operator="equal">
      <formula>0</formula>
    </cfRule>
  </conditionalFormatting>
  <conditionalFormatting sqref="E49 E57:E74">
    <cfRule type="cellIs" dxfId="10" priority="14" stopIfTrue="1" operator="equal">
      <formula>0</formula>
    </cfRule>
  </conditionalFormatting>
  <conditionalFormatting sqref="E50:E55 G50:K56">
    <cfRule type="cellIs" dxfId="9" priority="13" stopIfTrue="1" operator="equal">
      <formula>0</formula>
    </cfRule>
  </conditionalFormatting>
  <conditionalFormatting sqref="E56">
    <cfRule type="cellIs" dxfId="8" priority="12" stopIfTrue="1" operator="equal">
      <formula>0</formula>
    </cfRule>
  </conditionalFormatting>
  <conditionalFormatting sqref="F50 F56">
    <cfRule type="cellIs" dxfId="7" priority="11" stopIfTrue="1" operator="equal">
      <formula>0</formula>
    </cfRule>
  </conditionalFormatting>
  <conditionalFormatting sqref="F43:F49">
    <cfRule type="cellIs" dxfId="6" priority="10" stopIfTrue="1" operator="equal">
      <formula>0</formula>
    </cfRule>
  </conditionalFormatting>
  <conditionalFormatting sqref="F51:F55">
    <cfRule type="cellIs" dxfId="5" priority="9" stopIfTrue="1" operator="equal">
      <formula>0</formula>
    </cfRule>
  </conditionalFormatting>
  <conditionalFormatting sqref="F57:F61">
    <cfRule type="cellIs" dxfId="4" priority="8" stopIfTrue="1" operator="equal">
      <formula>0</formula>
    </cfRule>
  </conditionalFormatting>
  <conditionalFormatting sqref="F74">
    <cfRule type="cellIs" dxfId="3" priority="7" stopIfTrue="1" operator="equal">
      <formula>0</formula>
    </cfRule>
  </conditionalFormatting>
  <conditionalFormatting sqref="F68">
    <cfRule type="cellIs" dxfId="2" priority="4" stopIfTrue="1" operator="equal">
      <formula>0</formula>
    </cfRule>
  </conditionalFormatting>
  <conditionalFormatting sqref="F63:F67">
    <cfRule type="cellIs" dxfId="1" priority="2" stopIfTrue="1" operator="equal">
      <formula>0</formula>
    </cfRule>
  </conditionalFormatting>
  <conditionalFormatting sqref="F69:F73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C83:C84 F78:F112 F42:F49 F55 F51:F53 F57:F76 H14:K13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77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17" zoomScaleNormal="115" zoomScaleSheetLayoutView="100" workbookViewId="0">
      <selection activeCell="Y31" sqref="Y31"/>
    </sheetView>
  </sheetViews>
  <sheetFormatPr defaultColWidth="9.1796875" defaultRowHeight="12"/>
  <cols>
    <col min="1" max="2" width="1.453125" style="235" customWidth="1"/>
    <col min="3" max="3" width="7.453125" style="235" customWidth="1"/>
    <col min="4" max="23" width="5.7265625" style="235" customWidth="1"/>
    <col min="24" max="24" width="6.26953125" style="235" customWidth="1"/>
    <col min="25" max="26" width="5.7265625" style="235" customWidth="1"/>
    <col min="27" max="27" width="6.54296875" style="235" customWidth="1"/>
    <col min="28" max="118" width="5.7265625" style="235" customWidth="1"/>
    <col min="119" max="16384" width="9.1796875" style="235"/>
  </cols>
  <sheetData>
    <row r="1" spans="3:30" ht="12.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11" t="s">
        <v>1439</v>
      </c>
      <c r="X2" s="712"/>
      <c r="Y2" s="712"/>
      <c r="Z2" s="712"/>
      <c r="AA2" s="712"/>
      <c r="AB2" s="712"/>
      <c r="AC2" s="712"/>
      <c r="AD2" s="713"/>
    </row>
    <row r="3" spans="3:30">
      <c r="C3" s="238"/>
      <c r="W3" s="714"/>
      <c r="X3" s="715"/>
      <c r="Y3" s="715"/>
      <c r="Z3" s="715"/>
      <c r="AA3" s="715"/>
      <c r="AB3" s="715"/>
      <c r="AC3" s="715"/>
      <c r="AD3" s="71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0" t="s">
        <v>990</v>
      </c>
      <c r="Y5" s="660"/>
      <c r="Z5" s="660"/>
      <c r="AA5" s="660" t="s">
        <v>988</v>
      </c>
      <c r="AB5" s="660"/>
      <c r="AC5" s="660" t="s">
        <v>989</v>
      </c>
      <c r="AD5" s="661"/>
    </row>
    <row r="6" spans="3:30">
      <c r="C6" s="238"/>
      <c r="W6" s="241">
        <v>1</v>
      </c>
      <c r="X6" s="660" t="s">
        <v>993</v>
      </c>
      <c r="Y6" s="660"/>
      <c r="Z6" s="660"/>
      <c r="AA6" s="660"/>
      <c r="AB6" s="660"/>
      <c r="AC6" s="660"/>
      <c r="AD6" s="661"/>
    </row>
    <row r="7" spans="3:30">
      <c r="C7" s="238"/>
      <c r="E7" s="489" t="str">
        <f>PETA!C6</f>
        <v>KOORDINAT : -6.939476, 110.708713</v>
      </c>
      <c r="W7" s="241">
        <v>2</v>
      </c>
      <c r="X7" s="660" t="s">
        <v>994</v>
      </c>
      <c r="Y7" s="660"/>
      <c r="Z7" s="660"/>
      <c r="AA7" s="660"/>
      <c r="AB7" s="660"/>
      <c r="AC7" s="660"/>
      <c r="AD7" s="661"/>
    </row>
    <row r="8" spans="3:30">
      <c r="C8" s="238"/>
      <c r="W8" s="241">
        <v>3</v>
      </c>
      <c r="X8" s="660" t="s">
        <v>995</v>
      </c>
      <c r="Y8" s="660"/>
      <c r="Z8" s="660"/>
      <c r="AA8" s="660"/>
      <c r="AB8" s="660"/>
      <c r="AC8" s="660"/>
      <c r="AD8" s="661"/>
    </row>
    <row r="9" spans="3:30">
      <c r="C9" s="238"/>
      <c r="W9" s="241">
        <v>4</v>
      </c>
      <c r="X9" s="660" t="s">
        <v>996</v>
      </c>
      <c r="Y9" s="660"/>
      <c r="Z9" s="660"/>
      <c r="AA9" s="660"/>
      <c r="AB9" s="660"/>
      <c r="AC9" s="660"/>
      <c r="AD9" s="661"/>
    </row>
    <row r="10" spans="3:30">
      <c r="C10" s="238"/>
      <c r="W10" s="241">
        <v>5</v>
      </c>
      <c r="X10" s="660" t="s">
        <v>997</v>
      </c>
      <c r="Y10" s="660"/>
      <c r="Z10" s="660"/>
      <c r="AA10" s="660"/>
      <c r="AB10" s="660"/>
      <c r="AC10" s="660"/>
      <c r="AD10" s="661"/>
    </row>
    <row r="11" spans="3:30">
      <c r="C11" s="238"/>
      <c r="W11" s="241">
        <v>6</v>
      </c>
      <c r="X11" s="660" t="s">
        <v>998</v>
      </c>
      <c r="Y11" s="660"/>
      <c r="Z11" s="660"/>
      <c r="AA11" s="660"/>
      <c r="AB11" s="660"/>
      <c r="AC11" s="660"/>
      <c r="AD11" s="661"/>
    </row>
    <row r="12" spans="3:30">
      <c r="C12" s="238"/>
      <c r="W12" s="241">
        <v>7</v>
      </c>
      <c r="X12" s="660" t="s">
        <v>999</v>
      </c>
      <c r="Y12" s="660"/>
      <c r="Z12" s="660"/>
      <c r="AA12" s="660"/>
      <c r="AB12" s="660"/>
      <c r="AC12" s="660"/>
      <c r="AD12" s="661"/>
    </row>
    <row r="13" spans="3:30" ht="12.75" customHeight="1">
      <c r="C13" s="238"/>
      <c r="W13" s="241">
        <v>8</v>
      </c>
      <c r="X13" s="660" t="s">
        <v>1000</v>
      </c>
      <c r="Y13" s="660"/>
      <c r="Z13" s="660"/>
      <c r="AA13" s="660"/>
      <c r="AB13" s="660"/>
      <c r="AC13" s="660"/>
      <c r="AD13" s="661"/>
    </row>
    <row r="14" spans="3:30">
      <c r="C14" s="238"/>
      <c r="W14" s="241">
        <v>9</v>
      </c>
      <c r="X14" s="660" t="s">
        <v>1001</v>
      </c>
      <c r="Y14" s="660"/>
      <c r="Z14" s="660"/>
      <c r="AA14" s="660"/>
      <c r="AB14" s="660"/>
      <c r="AC14" s="660"/>
      <c r="AD14" s="661"/>
    </row>
    <row r="15" spans="3:30">
      <c r="C15" s="238"/>
      <c r="W15" s="241">
        <v>10</v>
      </c>
      <c r="X15" s="660" t="s">
        <v>1010</v>
      </c>
      <c r="Y15" s="660"/>
      <c r="Z15" s="660"/>
      <c r="AA15" s="660"/>
      <c r="AB15" s="660"/>
      <c r="AC15" s="660"/>
      <c r="AD15" s="661"/>
    </row>
    <row r="16" spans="3:30">
      <c r="C16" s="238"/>
      <c r="W16" s="241">
        <v>11</v>
      </c>
      <c r="X16" s="660" t="s">
        <v>1455</v>
      </c>
      <c r="Y16" s="660"/>
      <c r="Z16" s="660"/>
      <c r="AA16" s="660"/>
      <c r="AB16" s="660"/>
      <c r="AC16" s="660"/>
      <c r="AD16" s="661"/>
    </row>
    <row r="17" spans="3:30">
      <c r="C17" s="238"/>
      <c r="S17" s="242"/>
      <c r="W17" s="241">
        <v>12</v>
      </c>
      <c r="X17" s="660" t="s">
        <v>1011</v>
      </c>
      <c r="Y17" s="660"/>
      <c r="Z17" s="660"/>
      <c r="AA17" s="660"/>
      <c r="AB17" s="660"/>
      <c r="AC17" s="660"/>
      <c r="AD17" s="661"/>
    </row>
    <row r="18" spans="3:30">
      <c r="C18" s="243"/>
      <c r="D18" s="244"/>
      <c r="E18" s="244"/>
      <c r="W18" s="241">
        <v>13</v>
      </c>
      <c r="X18" s="660"/>
      <c r="Y18" s="660"/>
      <c r="Z18" s="660"/>
      <c r="AA18" s="660"/>
      <c r="AB18" s="660"/>
      <c r="AC18" s="660"/>
      <c r="AD18" s="661"/>
    </row>
    <row r="19" spans="3:30">
      <c r="C19" s="238"/>
      <c r="W19" s="245"/>
      <c r="X19" s="709"/>
      <c r="Y19" s="709"/>
      <c r="Z19" s="709"/>
      <c r="AA19" s="709"/>
      <c r="AB19" s="709"/>
      <c r="AC19" s="709"/>
      <c r="AD19" s="710"/>
    </row>
    <row r="20" spans="3:30">
      <c r="C20" s="23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23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238"/>
      <c r="W22" s="705" t="s">
        <v>1636</v>
      </c>
      <c r="X22" s="706"/>
      <c r="Y22" s="491">
        <v>1</v>
      </c>
      <c r="Z22" s="525" t="s">
        <v>1638</v>
      </c>
      <c r="AA22" s="707"/>
      <c r="AB22" s="708"/>
      <c r="AC22" s="248"/>
      <c r="AD22" s="249"/>
    </row>
    <row r="23" spans="3:30">
      <c r="C23" s="238"/>
      <c r="W23" s="705" t="s">
        <v>1629</v>
      </c>
      <c r="X23" s="706"/>
      <c r="Y23" s="491">
        <v>2</v>
      </c>
      <c r="Z23" s="525" t="s">
        <v>1638</v>
      </c>
      <c r="AA23" s="694"/>
      <c r="AB23" s="695"/>
      <c r="AC23" s="248"/>
      <c r="AD23" s="249"/>
    </row>
    <row r="24" spans="3:30">
      <c r="C24" s="238"/>
      <c r="W24" s="689" t="s">
        <v>1635</v>
      </c>
      <c r="X24" s="691"/>
      <c r="Y24" s="246">
        <v>1</v>
      </c>
      <c r="Z24" s="525" t="s">
        <v>1638</v>
      </c>
      <c r="AA24" s="692"/>
      <c r="AB24" s="693"/>
      <c r="AC24" s="248"/>
      <c r="AD24" s="249"/>
    </row>
    <row r="25" spans="3:30">
      <c r="C25" s="238"/>
      <c r="W25" s="689" t="s">
        <v>1619</v>
      </c>
      <c r="X25" s="691"/>
      <c r="Y25" s="246">
        <v>2</v>
      </c>
      <c r="Z25" s="525" t="s">
        <v>1638</v>
      </c>
      <c r="AA25" s="694"/>
      <c r="AB25" s="695"/>
      <c r="AC25" s="248"/>
      <c r="AD25" s="249"/>
    </row>
    <row r="26" spans="3:30">
      <c r="C26" s="238"/>
      <c r="W26" s="480" t="s">
        <v>1630</v>
      </c>
      <c r="X26" s="481"/>
      <c r="Y26" s="246">
        <v>2</v>
      </c>
      <c r="Z26" s="525" t="s">
        <v>1638</v>
      </c>
      <c r="AA26" s="694"/>
      <c r="AB26" s="695"/>
      <c r="AC26" s="248"/>
      <c r="AD26" s="249"/>
    </row>
    <row r="27" spans="3:30">
      <c r="C27" s="238"/>
      <c r="W27" s="480" t="s">
        <v>1631</v>
      </c>
      <c r="X27" s="481"/>
      <c r="Y27" s="246">
        <v>2</v>
      </c>
      <c r="Z27" s="525" t="s">
        <v>1638</v>
      </c>
      <c r="AA27" s="688"/>
      <c r="AB27" s="683"/>
      <c r="AC27" s="248"/>
      <c r="AD27" s="249"/>
    </row>
    <row r="28" spans="3:30">
      <c r="C28" s="238"/>
      <c r="W28" s="480" t="s">
        <v>1632</v>
      </c>
      <c r="X28" s="481"/>
      <c r="Y28" s="246">
        <v>1</v>
      </c>
      <c r="Z28" s="525" t="s">
        <v>1638</v>
      </c>
      <c r="AA28" s="688"/>
      <c r="AB28" s="683"/>
      <c r="AC28" s="248"/>
      <c r="AD28" s="249"/>
    </row>
    <row r="29" spans="3:30">
      <c r="C29" s="238"/>
      <c r="W29" s="480" t="s">
        <v>1637</v>
      </c>
      <c r="X29" s="481"/>
      <c r="Y29" s="246">
        <v>2</v>
      </c>
      <c r="Z29" s="525" t="s">
        <v>1638</v>
      </c>
      <c r="AA29" s="688"/>
      <c r="AB29" s="683"/>
      <c r="AC29" s="248"/>
      <c r="AD29" s="249"/>
    </row>
    <row r="30" spans="3:30" ht="11.25" customHeight="1">
      <c r="C30" s="238"/>
      <c r="W30" s="526" t="s">
        <v>1639</v>
      </c>
      <c r="X30" s="482"/>
      <c r="Y30" s="246">
        <v>210</v>
      </c>
      <c r="Z30" s="247" t="s">
        <v>579</v>
      </c>
      <c r="AA30" s="688"/>
      <c r="AB30" s="683"/>
      <c r="AC30" s="248"/>
      <c r="AD30" s="249"/>
    </row>
    <row r="31" spans="3:30">
      <c r="C31" s="238"/>
      <c r="U31" s="250"/>
      <c r="W31" s="480" t="s">
        <v>1640</v>
      </c>
      <c r="X31" s="481"/>
      <c r="Y31" s="246">
        <v>55</v>
      </c>
      <c r="Z31" s="247" t="s">
        <v>579</v>
      </c>
      <c r="AA31" s="688"/>
      <c r="AB31" s="683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8"/>
      <c r="AB32" s="683"/>
      <c r="AC32" s="248"/>
      <c r="AD32" s="249"/>
    </row>
    <row r="33" spans="3:30">
      <c r="C33" s="238"/>
      <c r="W33" s="480"/>
      <c r="X33" s="481"/>
      <c r="Y33" s="246"/>
      <c r="Z33" s="247"/>
      <c r="AA33" s="688"/>
      <c r="AB33" s="683"/>
      <c r="AC33" s="248"/>
      <c r="AD33" s="249"/>
    </row>
    <row r="34" spans="3:30">
      <c r="C34" s="238"/>
      <c r="W34" s="480"/>
      <c r="X34" s="481"/>
      <c r="Y34" s="246"/>
      <c r="Z34" s="247"/>
      <c r="AA34" s="688"/>
      <c r="AB34" s="683"/>
      <c r="AC34" s="248"/>
      <c r="AD34" s="249"/>
    </row>
    <row r="35" spans="3:30">
      <c r="C35" s="238"/>
      <c r="W35" s="689"/>
      <c r="X35" s="690"/>
      <c r="Y35" s="246"/>
      <c r="Z35" s="247"/>
      <c r="AA35" s="688"/>
      <c r="AB35" s="683"/>
      <c r="AC35" s="248"/>
      <c r="AD35" s="249"/>
    </row>
    <row r="36" spans="3:30">
      <c r="C36" s="238"/>
      <c r="W36" s="680"/>
      <c r="X36" s="681"/>
      <c r="Y36" s="246"/>
      <c r="Z36" s="251"/>
      <c r="AA36" s="682"/>
      <c r="AB36" s="683"/>
      <c r="AC36" s="248"/>
      <c r="AD36" s="249"/>
    </row>
    <row r="37" spans="3:30" ht="12.75" customHeight="1">
      <c r="C37" s="238"/>
      <c r="W37" s="684"/>
      <c r="X37" s="685"/>
      <c r="Y37" s="246"/>
      <c r="Z37" s="251"/>
      <c r="AA37" s="686"/>
      <c r="AB37" s="687"/>
      <c r="AC37" s="252"/>
      <c r="AD37" s="253"/>
    </row>
    <row r="38" spans="3:30" ht="12.75" customHeight="1">
      <c r="C38" s="238"/>
      <c r="W38" s="684"/>
      <c r="X38" s="685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5"/>
      <c r="W39" s="684"/>
      <c r="X39" s="685"/>
      <c r="Y39" s="254"/>
      <c r="Z39" s="257"/>
      <c r="AA39" s="676"/>
      <c r="AB39" s="677"/>
      <c r="AC39" s="252"/>
      <c r="AD39" s="253"/>
    </row>
    <row r="40" spans="3:30" ht="12" customHeight="1">
      <c r="C40" s="238"/>
      <c r="D40" s="515"/>
      <c r="W40" s="672"/>
      <c r="X40" s="673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5"/>
      <c r="W41" s="674"/>
      <c r="X41" s="675"/>
      <c r="Y41" s="260"/>
      <c r="Z41" s="261"/>
      <c r="AA41" s="676"/>
      <c r="AB41" s="677"/>
      <c r="AC41" s="252"/>
      <c r="AD41" s="253"/>
    </row>
    <row r="42" spans="3:30" ht="12" customHeight="1">
      <c r="C42" s="238"/>
      <c r="D42" s="515"/>
      <c r="W42" s="678" t="s">
        <v>1456</v>
      </c>
      <c r="X42" s="679"/>
      <c r="Y42" s="679"/>
      <c r="Z42" s="679"/>
      <c r="AA42" s="262"/>
      <c r="AB42" s="262"/>
      <c r="AC42" s="262"/>
      <c r="AD42" s="263"/>
    </row>
    <row r="43" spans="3:30" ht="12" customHeight="1">
      <c r="C43" s="238"/>
      <c r="D43" s="515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5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7" t="s">
        <v>11</v>
      </c>
      <c r="X44" s="658"/>
      <c r="Y44" s="660"/>
      <c r="Z44" s="660"/>
      <c r="AA44" s="660"/>
      <c r="AB44" s="660"/>
      <c r="AC44" s="660"/>
      <c r="AD44" s="661"/>
    </row>
    <row r="45" spans="3:30">
      <c r="C45" s="268"/>
      <c r="D45" s="515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7" t="s">
        <v>984</v>
      </c>
      <c r="X45" s="658"/>
      <c r="Y45" s="660">
        <v>1</v>
      </c>
      <c r="Z45" s="660"/>
      <c r="AA45" s="660"/>
      <c r="AB45" s="660" t="s">
        <v>12</v>
      </c>
      <c r="AC45" s="66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7" t="s">
        <v>15</v>
      </c>
      <c r="X46" s="658"/>
      <c r="Y46" s="671"/>
      <c r="Z46" s="671"/>
      <c r="AA46" s="671"/>
      <c r="AB46" s="660" t="s">
        <v>16</v>
      </c>
      <c r="AC46" s="66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5" t="s">
        <v>17</v>
      </c>
      <c r="X47" s="665"/>
      <c r="Y47" s="665"/>
      <c r="Z47" s="665"/>
      <c r="AA47" s="665"/>
      <c r="AB47" s="665"/>
      <c r="AC47" s="665"/>
      <c r="AD47" s="66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7" t="str">
        <f>RAB!G6</f>
        <v>SUMITRO</v>
      </c>
      <c r="X48" s="667"/>
      <c r="Y48" s="667"/>
      <c r="Z48" s="667"/>
      <c r="AA48" s="667"/>
      <c r="AB48" s="667"/>
      <c r="AC48" s="667"/>
      <c r="AD48" s="66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7"/>
      <c r="X49" s="667"/>
      <c r="Y49" s="667"/>
      <c r="Z49" s="667"/>
      <c r="AA49" s="667"/>
      <c r="AB49" s="667"/>
      <c r="AC49" s="667"/>
      <c r="AD49" s="66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7"/>
      <c r="X50" s="667"/>
      <c r="Y50" s="667"/>
      <c r="Z50" s="667"/>
      <c r="AA50" s="667"/>
      <c r="AB50" s="667"/>
      <c r="AC50" s="667"/>
      <c r="AD50" s="66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9"/>
      <c r="X51" s="669"/>
      <c r="Y51" s="669"/>
      <c r="Z51" s="669"/>
      <c r="AA51" s="669"/>
      <c r="AB51" s="669"/>
      <c r="AC51" s="669"/>
      <c r="AD51" s="67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7" t="s">
        <v>18</v>
      </c>
      <c r="X52" s="658"/>
      <c r="Y52" s="660" t="s">
        <v>1549</v>
      </c>
      <c r="Z52" s="660"/>
      <c r="AA52" s="660"/>
      <c r="AB52" s="660"/>
      <c r="AC52" s="660"/>
      <c r="AD52" s="66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7" t="s">
        <v>19</v>
      </c>
      <c r="X53" s="658"/>
      <c r="Y53" s="660" t="s">
        <v>1549</v>
      </c>
      <c r="Z53" s="660"/>
      <c r="AA53" s="660"/>
      <c r="AB53" s="660"/>
      <c r="AC53" s="660"/>
      <c r="AD53" s="661"/>
    </row>
    <row r="54" spans="3:30" ht="12.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7" t="s">
        <v>20</v>
      </c>
      <c r="X54" s="658"/>
      <c r="Y54" s="659" t="s">
        <v>1550</v>
      </c>
      <c r="Z54" s="659"/>
      <c r="AA54" s="659"/>
      <c r="AB54" s="660"/>
      <c r="AC54" s="660"/>
      <c r="AD54" s="661"/>
    </row>
    <row r="55" spans="3:30" ht="12.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2" t="s">
        <v>21</v>
      </c>
      <c r="X55" s="663"/>
      <c r="Y55" s="659" t="s">
        <v>1551</v>
      </c>
      <c r="Z55" s="659"/>
      <c r="AA55" s="659"/>
      <c r="AB55" s="659"/>
      <c r="AC55" s="659"/>
      <c r="AD55" s="664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Q26" sqref="Q26"/>
    </sheetView>
  </sheetViews>
  <sheetFormatPr defaultColWidth="9.1796875" defaultRowHeight="13"/>
  <cols>
    <col min="1" max="1" width="1.7265625" style="211" customWidth="1"/>
    <col min="2" max="2" width="1.54296875" style="211" customWidth="1"/>
    <col min="3" max="3" width="10.7265625" style="211" customWidth="1"/>
    <col min="4" max="4" width="2.54296875" style="211" customWidth="1"/>
    <col min="5" max="21" width="9.1796875" style="211"/>
    <col min="22" max="22" width="14.54296875" style="211" customWidth="1"/>
    <col min="23" max="23" width="3.1796875" style="211" customWidth="1"/>
    <col min="24" max="27" width="9.1796875" style="211"/>
    <col min="28" max="28" width="2.81640625" style="211" customWidth="1"/>
    <col min="29" max="31" width="4.7265625" style="211" customWidth="1"/>
    <col min="32" max="32" width="1.7265625" style="211" customWidth="1"/>
    <col min="33" max="16384" width="9.179687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7" t="s">
        <v>1528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17"/>
      <c r="AE4" s="216"/>
      <c r="AF4" s="216"/>
    </row>
    <row r="5" spans="2:32" ht="13.5" customHeight="1">
      <c r="B5" s="215"/>
      <c r="C5" s="215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17"/>
      <c r="AE5" s="216"/>
      <c r="AF5" s="216"/>
    </row>
    <row r="6" spans="2:32" ht="12.75" customHeight="1">
      <c r="B6" s="215"/>
      <c r="C6" s="215"/>
      <c r="D6" s="720"/>
      <c r="E6" s="721"/>
      <c r="F6" s="721"/>
      <c r="G6" s="721"/>
      <c r="H6" s="721"/>
      <c r="I6" s="721"/>
      <c r="J6" s="721"/>
      <c r="K6" s="721"/>
      <c r="L6" s="721"/>
      <c r="M6" s="721"/>
      <c r="N6" s="721"/>
      <c r="O6" s="721"/>
      <c r="P6" s="721"/>
      <c r="Q6" s="721"/>
      <c r="R6" s="721"/>
      <c r="S6" s="721"/>
      <c r="T6" s="721"/>
      <c r="U6" s="721"/>
      <c r="V6" s="721"/>
      <c r="W6" s="721"/>
      <c r="X6" s="721"/>
      <c r="Y6" s="721"/>
      <c r="Z6" s="721"/>
      <c r="AA6" s="721"/>
      <c r="AB6" s="721"/>
      <c r="AC6" s="722"/>
      <c r="AE6" s="216"/>
      <c r="AF6" s="216"/>
    </row>
    <row r="7" spans="2:32" ht="12.75" customHeight="1" thickBot="1">
      <c r="B7" s="215"/>
      <c r="C7" s="215"/>
      <c r="D7" s="723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25" zoomScaleNormal="40" zoomScaleSheetLayoutView="25" workbookViewId="0">
      <selection activeCell="AM82" sqref="AM82"/>
    </sheetView>
  </sheetViews>
  <sheetFormatPr defaultColWidth="9.1796875" defaultRowHeight="13"/>
  <cols>
    <col min="1" max="1" width="1.7265625" style="425" customWidth="1"/>
    <col min="2" max="2" width="10.7265625" style="425" customWidth="1"/>
    <col min="3" max="3" width="2.54296875" style="425" customWidth="1"/>
    <col min="4" max="20" width="9.1796875" style="425"/>
    <col min="21" max="21" width="14.54296875" style="425" customWidth="1"/>
    <col min="22" max="22" width="3.1796875" style="425" customWidth="1"/>
    <col min="23" max="26" width="9.1796875" style="425"/>
    <col min="27" max="27" width="2.81640625" style="425" customWidth="1"/>
    <col min="28" max="30" width="4.7265625" style="425" customWidth="1"/>
    <col min="31" max="31" width="1.7265625" style="425" customWidth="1"/>
    <col min="32" max="16384" width="9.179687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1" t="s">
        <v>1527</v>
      </c>
      <c r="D3" s="721"/>
      <c r="E3" s="721"/>
      <c r="F3" s="721"/>
      <c r="G3" s="721"/>
      <c r="H3" s="721"/>
      <c r="I3" s="721"/>
      <c r="J3" s="721"/>
      <c r="K3" s="721"/>
      <c r="L3" s="721"/>
      <c r="M3" s="721"/>
      <c r="N3" s="721"/>
      <c r="O3" s="721"/>
      <c r="P3" s="721"/>
      <c r="Q3" s="721"/>
      <c r="R3" s="721"/>
      <c r="S3" s="721"/>
      <c r="T3" s="721"/>
      <c r="U3" s="721"/>
      <c r="V3" s="721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21"/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6" t="s">
        <v>1628</v>
      </c>
      <c r="D6" s="726"/>
      <c r="E6" s="726"/>
      <c r="F6" s="726"/>
      <c r="G6" s="726"/>
      <c r="H6" s="726"/>
      <c r="I6" s="726"/>
      <c r="J6" s="726"/>
      <c r="K6" s="726"/>
      <c r="L6" s="726"/>
      <c r="M6" s="726"/>
      <c r="W6" s="182"/>
      <c r="Y6" s="428"/>
      <c r="Z6" s="428"/>
      <c r="AA6" s="428"/>
      <c r="AB6" s="429"/>
      <c r="AC6" s="429"/>
    </row>
    <row r="7" spans="1:29" ht="18" customHeight="1">
      <c r="A7" s="181"/>
      <c r="C7" s="726"/>
      <c r="D7" s="726"/>
      <c r="E7" s="726"/>
      <c r="F7" s="726"/>
      <c r="G7" s="726"/>
      <c r="H7" s="726"/>
      <c r="I7" s="726"/>
      <c r="J7" s="726"/>
      <c r="K7" s="726"/>
      <c r="L7" s="726"/>
      <c r="M7" s="726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2023-05-10T03:04:01Z</cp:lastPrinted>
  <dcterms:created xsi:type="dcterms:W3CDTF">2011-02-06T11:57:38Z</dcterms:created>
  <dcterms:modified xsi:type="dcterms:W3CDTF">2024-03-25T13:58:59Z</dcterms:modified>
</cp:coreProperties>
</file>