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809F991E-AF56-42E8-8FA0-3B11D667BB4E}" xr6:coauthVersionLast="47" xr6:coauthVersionMax="47" xr10:uidLastSave="{00000000-0000-0000-0000-000000000000}"/>
  <bookViews>
    <workbookView xWindow="-120" yWindow="-120" windowWidth="29040" windowHeight="1572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4" i="11" l="1"/>
  <c r="F33" i="11"/>
  <c r="F32" i="11"/>
  <c r="F31" i="11"/>
  <c r="F30" i="11"/>
  <c r="G31" i="11" l="1"/>
  <c r="E31" i="11"/>
  <c r="D31" i="11"/>
  <c r="J31" i="11" s="1"/>
  <c r="G30" i="11"/>
  <c r="E30" i="11"/>
  <c r="D30" i="11"/>
  <c r="J30" i="11" s="1"/>
  <c r="G29" i="11"/>
  <c r="E29" i="11"/>
  <c r="D29" i="11"/>
  <c r="I29" i="11" s="1"/>
  <c r="G28" i="11"/>
  <c r="E28" i="11"/>
  <c r="D28" i="11"/>
  <c r="H28" i="11" s="1"/>
  <c r="G34" i="11"/>
  <c r="E34" i="11"/>
  <c r="D34" i="11"/>
  <c r="G33" i="11"/>
  <c r="E33" i="11"/>
  <c r="D33" i="11"/>
  <c r="G32" i="11"/>
  <c r="E32" i="11"/>
  <c r="D32" i="11"/>
  <c r="H32" i="11" s="1"/>
  <c r="E5" i="64"/>
  <c r="F54" i="11"/>
  <c r="F53" i="11"/>
  <c r="F52" i="11"/>
  <c r="F51" i="11"/>
  <c r="F50" i="11"/>
  <c r="F49" i="11"/>
  <c r="F48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H54" i="11" s="1"/>
  <c r="E54" i="11"/>
  <c r="G54" i="11"/>
  <c r="F45" i="11"/>
  <c r="F43" i="11"/>
  <c r="F42" i="11"/>
  <c r="J34" i="11" l="1"/>
  <c r="I33" i="11"/>
  <c r="J29" i="11"/>
  <c r="H30" i="11"/>
  <c r="H31" i="11"/>
  <c r="J28" i="11"/>
  <c r="I31" i="11"/>
  <c r="H29" i="11"/>
  <c r="I30" i="11"/>
  <c r="I28" i="11"/>
  <c r="J33" i="11"/>
  <c r="H34" i="11"/>
  <c r="I32" i="11"/>
  <c r="J32" i="11"/>
  <c r="H33" i="11"/>
  <c r="I34" i="11"/>
  <c r="J50" i="11"/>
  <c r="I54" i="11"/>
  <c r="I53" i="11"/>
  <c r="I51" i="11"/>
  <c r="J49" i="11"/>
  <c r="I48" i="11"/>
  <c r="I47" i="11"/>
  <c r="J54" i="11"/>
  <c r="I50" i="11"/>
  <c r="K50" i="11" s="1"/>
  <c r="I49" i="11"/>
  <c r="H47" i="11"/>
  <c r="J53" i="11"/>
  <c r="I52" i="11"/>
  <c r="H51" i="11"/>
  <c r="H52" i="11"/>
  <c r="H48" i="11"/>
  <c r="K28" i="11" l="1"/>
  <c r="K29" i="11"/>
  <c r="K30" i="11"/>
  <c r="K34" i="11"/>
  <c r="K31" i="11"/>
  <c r="K32" i="11"/>
  <c r="K33" i="11"/>
  <c r="K48" i="11"/>
  <c r="K54" i="11"/>
  <c r="K49" i="11"/>
  <c r="K53" i="11"/>
  <c r="K47" i="11"/>
  <c r="K52" i="11"/>
  <c r="K51" i="11"/>
  <c r="D35" i="11" l="1"/>
  <c r="H35" i="11" s="1"/>
  <c r="E35" i="11"/>
  <c r="G35" i="11"/>
  <c r="F27" i="11"/>
  <c r="F26" i="11"/>
  <c r="F25" i="11"/>
  <c r="F24" i="11"/>
  <c r="F23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J25" i="11" s="1"/>
  <c r="E25" i="11"/>
  <c r="G25" i="11"/>
  <c r="D26" i="11"/>
  <c r="J26" i="11" s="1"/>
  <c r="E26" i="11"/>
  <c r="G26" i="11"/>
  <c r="D27" i="11"/>
  <c r="E27" i="11"/>
  <c r="G27" i="11"/>
  <c r="D21" i="11"/>
  <c r="J21" i="11" s="1"/>
  <c r="E21" i="11"/>
  <c r="G21" i="11"/>
  <c r="J35" i="11" l="1"/>
  <c r="I35" i="11"/>
  <c r="I22" i="11"/>
  <c r="J24" i="11"/>
  <c r="H22" i="11"/>
  <c r="J27" i="11"/>
  <c r="I26" i="11"/>
  <c r="I25" i="11"/>
  <c r="I27" i="11"/>
  <c r="H25" i="11"/>
  <c r="I21" i="11"/>
  <c r="H26" i="11"/>
  <c r="I24" i="11"/>
  <c r="I23" i="11"/>
  <c r="H21" i="11"/>
  <c r="K21" i="11" s="1"/>
  <c r="H27" i="11"/>
  <c r="H23" i="11"/>
  <c r="K35" i="11" l="1"/>
  <c r="K24" i="11"/>
  <c r="K25" i="11"/>
  <c r="K23" i="11"/>
  <c r="K26" i="11"/>
  <c r="K22" i="11"/>
  <c r="K27" i="11"/>
  <c r="D15" i="11" l="1"/>
  <c r="H15" i="11" s="1"/>
  <c r="E15" i="11"/>
  <c r="G15" i="11"/>
  <c r="D16" i="11"/>
  <c r="H16" i="11" s="1"/>
  <c r="E16" i="11"/>
  <c r="G16" i="11"/>
  <c r="D17" i="11"/>
  <c r="J17" i="11" s="1"/>
  <c r="E17" i="11"/>
  <c r="G17" i="11"/>
  <c r="D18" i="11"/>
  <c r="H18" i="11" s="1"/>
  <c r="E18" i="11"/>
  <c r="G18" i="11"/>
  <c r="D20" i="11"/>
  <c r="J20" i="11" s="1"/>
  <c r="E20" i="11"/>
  <c r="G20" i="11"/>
  <c r="I17" i="11" l="1"/>
  <c r="H17" i="11"/>
  <c r="J16" i="11"/>
  <c r="J15" i="11"/>
  <c r="I15" i="11"/>
  <c r="I20" i="11"/>
  <c r="I18" i="11"/>
  <c r="I16" i="11"/>
  <c r="J18" i="11"/>
  <c r="H20" i="11"/>
  <c r="F37" i="11"/>
  <c r="D45" i="11"/>
  <c r="E45" i="11"/>
  <c r="G45" i="11"/>
  <c r="D46" i="11"/>
  <c r="H46" i="11" s="1"/>
  <c r="E46" i="11"/>
  <c r="G46" i="11"/>
  <c r="D36" i="11"/>
  <c r="E36" i="11"/>
  <c r="G36" i="11"/>
  <c r="D37" i="11"/>
  <c r="H37" i="11" s="1"/>
  <c r="E37" i="11"/>
  <c r="G37" i="11"/>
  <c r="K16" i="11" l="1"/>
  <c r="K18" i="11"/>
  <c r="K15" i="11"/>
  <c r="K17" i="11"/>
  <c r="K20" i="11"/>
  <c r="H36" i="11"/>
  <c r="J45" i="11"/>
  <c r="I46" i="11"/>
  <c r="I45" i="11"/>
  <c r="H45" i="11"/>
  <c r="J46" i="11"/>
  <c r="I36" i="11"/>
  <c r="I37" i="11"/>
  <c r="J36" i="11"/>
  <c r="J37" i="11"/>
  <c r="K46" i="11" l="1"/>
  <c r="K45" i="11"/>
  <c r="K36" i="11"/>
  <c r="K37" i="11"/>
  <c r="D43" i="11" l="1"/>
  <c r="E43" i="11"/>
  <c r="G43" i="11"/>
  <c r="D44" i="11"/>
  <c r="E44" i="11"/>
  <c r="G44" i="11"/>
  <c r="H44" i="11" l="1"/>
  <c r="H43" i="11"/>
  <c r="I43" i="11"/>
  <c r="J44" i="11"/>
  <c r="J43" i="11"/>
  <c r="I44" i="11"/>
  <c r="K44" i="11" l="1"/>
  <c r="K43" i="11"/>
  <c r="D38" i="11" l="1"/>
  <c r="J38" i="11" s="1"/>
  <c r="E38" i="11"/>
  <c r="G38" i="11"/>
  <c r="D39" i="11"/>
  <c r="H39" i="11" s="1"/>
  <c r="E39" i="11"/>
  <c r="G39" i="11"/>
  <c r="D40" i="11"/>
  <c r="J40" i="11" s="1"/>
  <c r="E40" i="11"/>
  <c r="G40" i="11"/>
  <c r="D41" i="11"/>
  <c r="J41" i="11" s="1"/>
  <c r="E41" i="11"/>
  <c r="G41" i="11"/>
  <c r="D42" i="11"/>
  <c r="E42" i="11"/>
  <c r="G42" i="11"/>
  <c r="I39" i="11" l="1"/>
  <c r="J42" i="11"/>
  <c r="I41" i="11"/>
  <c r="I40" i="11"/>
  <c r="I42" i="11"/>
  <c r="H41" i="11"/>
  <c r="H42" i="11"/>
  <c r="H40" i="11"/>
  <c r="J39" i="11"/>
  <c r="I38" i="11"/>
  <c r="H38" i="11"/>
  <c r="K39" i="11" l="1"/>
  <c r="K40" i="11"/>
  <c r="K41" i="11"/>
  <c r="K42" i="11"/>
  <c r="K38" i="11"/>
  <c r="G6" i="11" l="1"/>
  <c r="D56" i="11"/>
  <c r="J56" i="11" s="1"/>
  <c r="E56" i="11"/>
  <c r="G56" i="11"/>
  <c r="H56" i="11" l="1"/>
  <c r="I56" i="11"/>
  <c r="D14" i="11"/>
  <c r="J14" i="11" s="1"/>
  <c r="E14" i="11"/>
  <c r="G14" i="11"/>
  <c r="K19" i="60"/>
  <c r="D19" i="60"/>
  <c r="K56" i="11" l="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5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7" i="11"/>
  <c r="D58" i="11"/>
  <c r="H58" i="11" s="1"/>
  <c r="E5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5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5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7" i="11"/>
  <c r="J57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58" i="11"/>
  <c r="I58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E299" i="29"/>
  <c r="F303" i="29"/>
  <c r="E239" i="29"/>
  <c r="E268" i="29"/>
  <c r="E277" i="29"/>
  <c r="E273" i="29"/>
  <c r="E236" i="29"/>
  <c r="F308" i="29"/>
  <c r="F292" i="29"/>
  <c r="E227" i="29"/>
  <c r="E265" i="29"/>
  <c r="F279" i="29"/>
  <c r="F246" i="29"/>
  <c r="F253" i="29"/>
  <c r="E264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58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60" i="11"/>
  <c r="H61" i="11" s="1"/>
  <c r="I60" i="11"/>
  <c r="I61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89" i="29" l="1"/>
  <c r="F316" i="29"/>
  <c r="F286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62" i="11"/>
  <c r="I6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57" i="11" l="1"/>
  <c r="K60" i="11" s="1"/>
  <c r="K61" i="11" s="1"/>
  <c r="K62" i="11" s="1"/>
  <c r="B63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60" i="11"/>
  <c r="J6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9" i="41" l="1"/>
  <c r="F776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<sst xmlns="http://schemas.openxmlformats.org/spreadsheetml/2006/main" count="4733" uniqueCount="1631">
  <si>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</si>
  <si>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</si>
  <si>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</si>
  <si>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</si>
  <si>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</si>
  <si>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</si>
  <si>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</si>
  <si>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</si>
  <si>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</si>
  <si>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</si>
  <si>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</si>
  <si>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</si>
  <si>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</si>
  <si>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</si>
  <si>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</si>
  <si>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</si>
  <si>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</si>
  <si>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</si>
  <si>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</si>
  <si>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</si>
  <si>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</si>
  <si>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</si>
  <si>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</si>
  <si>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</si>
  <si>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</si>
  <si>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</si>
  <si>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</si>
  <si>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</si>
  <si>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</si>
  <si>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</si>
  <si>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</si>
  <si>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</si>
  <si>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</si>
  <si>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</si>
  <si>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</si>
  <si>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</si>
  <si>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</si>
  <si>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</si>
  <si>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</si>
  <si>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</si>
  <si>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</si>
  <si>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</si>
  <si>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</si>
  <si>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</si>
  <si>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</si>
  <si>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</si>
  <si>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</si>
  <si>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</si>
  <si>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</si>
  <si>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</si>
  <si>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</si>
  <si>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</si>
  <si>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</si>
  <si>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</si>
  <si>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</si>
  <si>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</si>
  <si>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</si>
  <si>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</si>
  <si>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</si>
  <si>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</si>
  <si>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</si>
  <si>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</si>
  <si>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</si>
  <si>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</si>
  <si>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</si>
  <si>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</si>
  <si>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</si>
  <si>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</si>
  <si>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</si>
  <si>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</si>
  <si>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</si>
  <si>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</si>
  <si>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</si>
  <si>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</si>
  <si>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</si>
  <si>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</si>
  <si>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</si>
  <si>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</si>
  <si>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</si>
  <si>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</si>
  <si>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</si>
  <si>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</si>
  <si>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</si>
  <si>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</si>
  <si>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</si>
  <si>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</si>
  <si>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</si>
  <si>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</si>
  <si>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</si>
  <si>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</si>
  <si>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</si>
  <si>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</si>
  <si>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</si>
  <si>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</si>
  <si>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</si>
  <si>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</si>
  <si>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</si>
  <si>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</si>
  <si>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</si>
  <si>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</si>
  <si>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</si>
  <si>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</si>
  <si>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</si>
  <si>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</si>
  <si>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</si>
  <si>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</si>
  <si>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</si>
  <si>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</si>
  <si>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</si>
  <si>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</si>
  <si>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</si>
  <si>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</si>
  <si>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</si>
  <si>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</si>
  <si>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</si>
  <si>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</si>
  <si>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</si>
  <si>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</si>
  <si>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</si>
  <si>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</si>
  <si>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</si>
  <si>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</si>
  <si>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</si>
  <si>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</si>
  <si>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</si>
  <si>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</si>
  <si>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</si>
  <si>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</si>
  <si>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</si>
  <si>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</si>
  <si>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</si>
  <si>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</si>
  <si>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</si>
  <si>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</si>
  <si>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</si>
  <si>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</si>
  <si>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</si>
  <si>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</si>
  <si>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</si>
  <si>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</si>
  <si>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</si>
  <si>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</si>
  <si>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</si>
  <si>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</si>
  <si>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</si>
  <si>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</si>
  <si>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</si>
  <si>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</si>
  <si>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</si>
  <si>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</si>
  <si>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</si>
  <si>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</si>
  <si>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</si>
  <si>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</si>
  <si>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</si>
  <si>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</si>
  <si>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</si>
  <si>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</si>
  <si>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</si>
  <si>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</si>
  <si>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</si>
  <si>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</si>
  <si>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</si>
  <si>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</si>
  <si>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</si>
  <si>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</si>
  <si>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</si>
  <si>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</si>
  <si>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</si>
  <si>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</si>
  <si>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</si>
  <si>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</si>
  <si>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</si>
  <si>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</si>
  <si>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</si>
  <si>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</si>
  <si>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</si>
  <si>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</si>
  <si>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</si>
  <si>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</si>
  <si>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</si>
  <si>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</si>
  <si>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</si>
  <si>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</si>
  <si>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</si>
  <si>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</si>
  <si>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</si>
  <si>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</si>
  <si>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</si>
  <si>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</si>
  <si>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</si>
  <si>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</si>
  <si>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</si>
  <si>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</si>
  <si>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</si>
  <si>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</si>
  <si>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</si>
  <si>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</si>
  <si>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</si>
  <si>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</si>
  <si>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</si>
  <si>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</si>
  <si>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</si>
  <si>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</si>
  <si>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</si>
  <si>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</si>
  <si>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</si>
  <si>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</si>
  <si>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</si>
  <si>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</si>
  <si>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</si>
  <si>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</si>
  <si>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</si>
  <si>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</si>
  <si>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</si>
  <si>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</si>
  <si>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</si>
  <si>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</si>
  <si>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</si>
  <si>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</si>
  <si>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</si>
  <si>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</si>
  <si>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</si>
  <si>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</si>
  <si>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</si>
  <si>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</si>
  <si>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</si>
  <si>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</si>
  <si>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</si>
  <si>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</si>
  <si>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</si>
  <si>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</si>
  <si>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</si>
  <si>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</si>
  <si>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</si>
  <si>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</si>
  <si>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</si>
  <si>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</si>
  <si>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</si>
  <si>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</si>
  <si>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</si>
  <si>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</si>
  <si>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</si>
  <si>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</si>
  <si>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</si>
  <si>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</si>
  <si>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</si>
  <si>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</si>
  <si>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</si>
  <si>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</si>
  <si>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</si>
  <si>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</si>
  <si>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</si>
  <si>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</si>
  <si>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</si>
  <si>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</si>
  <si>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</si>
  <si>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</si>
  <si>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</si>
  <si>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</si>
  <si>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</si>
  <si>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</si>
  <si>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</si>
  <si>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</si>
  <si>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</si>
  <si>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</si>
  <si>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</si>
  <si>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</si>
  <si>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</si>
  <si>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</si>
  <si>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</si>
  <si>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</si>
  <si>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</si>
  <si>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</si>
  <si>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</si>
  <si>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</si>
  <si>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</si>
  <si>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</si>
  <si>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</si>
  <si>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</si>
  <si>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</si>
  <si>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</si>
  <si>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</si>
  <si>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</si>
  <si>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</si>
  <si>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</si>
  <si>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</si>
  <si>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</si>
  <si>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</si>
  <si>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</si>
  <si>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</si>
  <si>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</si>
  <si>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</si>
  <si>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</si>
  <si>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</si>
  <si>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</si>
  <si>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</si>
  <si>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</si>
  <si>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</si>
  <si>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</si>
  <si>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</si>
  <si>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</si>
  <si>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</si>
  <si>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</si>
  <si>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</si>
  <si>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</si>
  <si>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</si>
  <si>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</si>
  <si>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</si>
  <si>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</si>
  <si>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</si>
  <si>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</si>
  <si>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</si>
  <si>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</si>
  <si>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</si>
  <si>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</si>
  <si>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</si>
  <si>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</si>
  <si>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</si>
  <si>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</si>
  <si>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</si>
  <si>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</si>
  <si>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</si>
  <si>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</si>
  <si>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</si>
  <si>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</si>
  <si>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</si>
  <si>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</si>
  <si>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</si>
  <si>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</si>
  <si>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</si>
  <si>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</si>
  <si>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</si>
  <si>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</si>
  <si>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</si>
  <si>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</si>
  <si>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</si>
  <si>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</si>
  <si>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</si>
  <si>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</si>
  <si>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</si>
  <si>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</si>
  <si>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</si>
  <si>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</si>
  <si>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</si>
  <si>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</si>
  <si>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</si>
  <si>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</si>
  <si>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</si>
  <si>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</si>
  <si>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</si>
  <si>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</si>
  <si>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</si>
  <si>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</si>
  <si>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</si>
  <si>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</si>
  <si>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</si>
  <si>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</si>
  <si>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</si>
  <si>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</si>
  <si>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</si>
  <si>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</si>
  <si>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</si>
  <si>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</si>
  <si>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</si>
  <si>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</si>
  <si>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</si>
  <si>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</si>
  <si>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</si>
  <si>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</si>
  <si>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</si>
  <si>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</si>
  <si>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</si>
  <si>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</si>
  <si>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</si>
  <si>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</si>
  <si>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</si>
  <si>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</si>
  <si>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</si>
  <si>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</si>
  <si>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</si>
  <si>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</si>
  <si>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</si>
  <si>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</si>
  <si>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</si>
  <si>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</si>
  <si>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</si>
  <si>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</si>
  <si>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</si>
  <si>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</si>
  <si>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</si>
  <si>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</si>
  <si>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</si>
  <si>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</si>
  <si>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</si>
  <si>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</si>
  <si>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</si>
  <si>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</si>
  <si>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</si>
  <si>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</si>
  <si>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</si>
  <si>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</si>
  <si>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</si>
  <si>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</si>
  <si>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</si>
  <si>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</si>
  <si>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</si>
  <si>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</si>
  <si>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</si>
  <si>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</si>
  <si>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</si>
  <si>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</si>
  <si>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</si>
  <si>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</si>
  <si>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</si>
  <si>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</si>
  <si>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</si>
  <si>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</si>
  <si>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</si>
  <si>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</si>
  <si>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</si>
  <si>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</si>
  <si>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</si>
  <si>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</si>
  <si>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</si>
  <si>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</si>
  <si>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</si>
  <si>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</si>
  <si>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</si>
  <si>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</si>
  <si>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</si>
  <si>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</si>
  <si>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</si>
  <si>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</si>
  <si>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</si>
  <si>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</si>
  <si>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</si>
  <si>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</si>
  <si>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</si>
  <si>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</si>
  <si>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</si>
  <si>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</si>
  <si>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</si>
  <si>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</si>
  <si>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</si>
  <si>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</si>
  <si>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</si>
  <si>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</si>
  <si>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</si>
  <si>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</si>
  <si>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</si>
  <si>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</si>
  <si>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</si>
  <si>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</si>
  <si>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</si>
  <si>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</si>
  <si>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</si>
  <si>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</si>
  <si>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</si>
  <si>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</si>
  <si>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</si>
  <si>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</si>
  <si>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</si>
  <si>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</si>
  <si>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</si>
  <si>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</si>
  <si>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</si>
  <si>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</si>
  <si>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</si>
  <si>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</si>
  <si>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</si>
  <si>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</si>
  <si>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</si>
  <si>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</si>
  <si>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</si>
  <si>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</si>
  <si>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</si>
  <si>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</si>
  <si>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</si>
  <si>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</si>
  <si>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</si>
  <si>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</si>
  <si>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</si>
  <si>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</si>
  <si>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</si>
  <si>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</si>
  <si>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</si>
  <si>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</si>
  <si>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</si>
  <si>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</si>
  <si>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</si>
  <si>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</si>
  <si>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</si>
  <si>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</si>
  <si>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</si>
  <si>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</si>
  <si>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</si>
  <si>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</si>
  <si>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</si>
  <si>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</si>
  <si>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</si>
  <si>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</si>
  <si>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</si>
  <si>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</si>
  <si>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</si>
  <si>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</si>
  <si>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</si>
  <si>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</si>
  <si>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</si>
  <si>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</si>
  <si>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</si>
  <si>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</si>
  <si>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</si>
  <si>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</si>
  <si>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</si>
  <si>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</si>
  <si>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</si>
  <si>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</si>
  <si>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</si>
  <si>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</si>
  <si>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</si>
  <si>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</si>
  <si>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</si>
  <si>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</si>
  <si>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</si>
  <si>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</si>
  <si>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</si>
  <si>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</si>
  <si>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</si>
  <si>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</si>
  <si>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</si>
  <si>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</si>
  <si>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</si>
  <si>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</si>
  <si>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</si>
  <si>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</si>
  <si>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</si>
  <si>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</si>
  <si>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</si>
  <si>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</si>
  <si>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</si>
  <si>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</si>
  <si>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</si>
  <si>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</si>
  <si>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</si>
  <si>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</si>
  <si>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</si>
  <si>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</si>
  <si>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</si>
  <si>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</si>
  <si>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</si>
  <si>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</si>
  <si>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</si>
  <si>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</si>
  <si>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</si>
  <si>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</si>
  <si>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</si>
  <si>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</si>
  <si>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</si>
  <si>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</si>
  <si>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</si>
  <si>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</si>
  <si>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</si>
  <si>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</si>
  <si>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</si>
  <si>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</si>
  <si>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</si>
  <si>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</si>
  <si>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</si>
  <si>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</si>
  <si>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</si>
  <si>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</si>
  <si>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</si>
  <si>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</si>
  <si>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</si>
  <si>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</si>
  <si>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</si>
  <si>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</si>
  <si>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</si>
  <si>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</si>
  <si>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</si>
  <si>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</si>
  <si>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</si>
  <si>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</si>
  <si>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</si>
  <si>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</si>
  <si>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</si>
  <si>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</si>
  <si>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</si>
  <si>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</si>
  <si>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</si>
  <si>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</si>
  <si>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</si>
  <si>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</si>
  <si>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</si>
  <si>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</si>
  <si>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</si>
  <si>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</si>
  <si>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</si>
  <si>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</si>
  <si>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</si>
  <si>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</si>
  <si>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</si>
  <si>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</si>
  <si>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</si>
  <si>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</si>
  <si>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</si>
  <si>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</si>
  <si>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</si>
  <si>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</si>
  <si>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</si>
  <si>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</si>
  <si>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</si>
  <si>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</si>
  <si>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</si>
  <si>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</si>
  <si>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</si>
  <si>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</si>
  <si>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</si>
  <si>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</si>
  <si>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</si>
  <si>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</si>
  <si>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</si>
  <si>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</si>
  <si>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</si>
  <si>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</si>
  <si>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</si>
  <si>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</si>
  <si>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</si>
  <si>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</si>
  <si>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</si>
  <si>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</si>
  <si>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</si>
  <si>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</si>
  <si>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</si>
  <si>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</si>
  <si>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</si>
  <si>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</si>
  <si>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</si>
  <si>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</si>
  <si>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</si>
  <si>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</si>
  <si>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</si>
  <si>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</si>
  <si>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</si>
  <si>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</si>
  <si>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</si>
  <si>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</si>
  <si>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</si>
  <si>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</si>
  <si>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</si>
  <si>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</si>
  <si>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</si>
  <si>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</si>
  <si>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</si>
  <si>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</si>
  <si>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</si>
  <si>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</si>
  <si>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</si>
  <si>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</si>
  <si>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</si>
  <si>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</si>
  <si>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</si>
  <si>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</si>
  <si>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</si>
  <si>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</si>
  <si>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</si>
  <si>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</si>
  <si>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</si>
  <si>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</si>
  <si>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</si>
  <si>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</si>
  <si>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</si>
  <si>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</si>
  <si>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</si>
  <si>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</si>
  <si>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</si>
  <si>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</si>
  <si>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</si>
  <si>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</si>
  <si>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</si>
  <si>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</si>
  <si>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</si>
  <si>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</si>
  <si>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</si>
  <si>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</si>
  <si>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</si>
  <si>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</si>
  <si>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</si>
  <si>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</si>
  <si>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</si>
  <si>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</si>
  <si>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</si>
  <si>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</si>
  <si>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</si>
  <si>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</si>
  <si>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</si>
  <si>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</si>
  <si>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</si>
  <si>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</si>
  <si>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</si>
  <si>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</si>
  <si>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</si>
  <si>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</si>
  <si>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</si>
  <si>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</si>
  <si>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</si>
  <si>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</si>
  <si>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</si>
  <si>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</si>
  <si>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</si>
  <si>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</si>
  <si>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</si>
  <si>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</si>
  <si>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</si>
  <si>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</si>
  <si>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</si>
  <si>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</si>
  <si>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</si>
  <si>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</si>
  <si>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</si>
  <si>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</si>
  <si>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</si>
  <si>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</si>
  <si>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</si>
  <si>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</si>
  <si>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</si>
  <si>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</si>
  <si>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</si>
  <si>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</si>
  <si>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</si>
  <si>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</si>
  <si>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</si>
  <si>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</si>
  <si>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</si>
  <si>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</si>
  <si>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</si>
  <si>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</si>
  <si>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</si>
  <si>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</si>
  <si>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</si>
  <si>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</si>
  <si>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</si>
  <si>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</si>
  <si>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</si>
  <si>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</si>
  <si>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</si>
  <si>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</si>
  <si>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</si>
  <si>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</si>
  <si>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</si>
  <si>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</si>
  <si>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</si>
  <si>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</si>
  <si>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</si>
  <si>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</si>
  <si>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</si>
  <si>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</si>
  <si>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</si>
  <si>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</si>
  <si>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</si>
  <si>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</si>
  <si>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</si>
  <si>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</si>
  <si>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</si>
  <si>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</si>
  <si>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</si>
  <si>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</si>
  <si>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</si>
  <si>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</si>
  <si>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</si>
  <si>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</si>
  <si>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</si>
  <si>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</si>
  <si>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</si>
  <si>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</si>
  <si>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</si>
  <si>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</si>
  <si>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</si>
  <si>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</si>
  <si>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</si>
  <si>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</si>
  <si>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</si>
  <si>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</si>
  <si>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</si>
  <si>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</si>
  <si>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</si>
  <si>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</si>
  <si>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</si>
  <si>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</si>
  <si>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</si>
  <si>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</si>
  <si>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</si>
  <si>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</si>
  <si>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</si>
  <si>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</si>
  <si>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</si>
  <si>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</si>
  <si>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</si>
  <si>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</si>
  <si>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</si>
  <si>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</si>
  <si>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</si>
  <si>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</si>
  <si>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</si>
  <si>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</si>
  <si>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</si>
  <si>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</si>
  <si>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</si>
  <si>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</si>
  <si>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</si>
  <si>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</si>
  <si>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</si>
  <si>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</si>
  <si>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</si>
  <si>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</si>
  <si>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</si>
  <si>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</si>
  <si>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</si>
  <si>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</si>
  <si>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</si>
  <si>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</si>
  <si>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</si>
  <si>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</si>
  <si>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</si>
  <si>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</si>
  <si>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</si>
  <si>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</si>
  <si>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</si>
  <si>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</si>
  <si>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</si>
  <si>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</si>
  <si>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</si>
  <si>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</si>
  <si>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</si>
  <si>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</si>
  <si>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</si>
  <si>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</si>
  <si>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</si>
  <si>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</si>
  <si>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</si>
  <si>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</si>
  <si>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</si>
  <si>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</si>
  <si>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</si>
  <si>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</si>
  <si>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</si>
  <si>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</si>
  <si>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</si>
  <si>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</si>
  <si>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</si>
  <si>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</si>
  <si>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</si>
  <si>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</si>
  <si>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</si>
  <si>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</si>
  <si>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</si>
  <si>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</si>
  <si>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</si>
  <si>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</si>
  <si>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</si>
  <si>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</si>
  <si>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</si>
  <si>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</si>
  <si>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</si>
  <si>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</si>
  <si>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</si>
  <si>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</si>
  <si>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</si>
  <si>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</si>
  <si>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</si>
  <si>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</si>
  <si>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</si>
  <si>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</si>
  <si>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</si>
  <si>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</si>
  <si>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</si>
  <si>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</si>
  <si>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</si>
  <si>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</si>
  <si>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</si>
  <si>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</si>
  <si>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</si>
  <si>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</si>
  <si>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</si>
  <si>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</si>
  <si>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</si>
  <si>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</si>
  <si>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</si>
  <si>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</si>
  <si>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</si>
  <si>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</si>
  <si>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</si>
  <si>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</si>
  <si>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</si>
  <si>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</si>
  <si>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</si>
  <si>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</si>
  <si>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</si>
  <si>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</si>
  <si>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</si>
  <si>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</si>
  <si>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</si>
  <si>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</si>
  <si>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</si>
  <si>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</si>
  <si>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</si>
  <si>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</si>
  <si>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</si>
  <si>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</si>
  <si>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</si>
  <si>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</si>
  <si>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</si>
  <si>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</si>
  <si>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</si>
  <si>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</si>
  <si>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</si>
  <si>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</si>
  <si>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</si>
  <si>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</si>
  <si>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</si>
  <si>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</si>
  <si>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</si>
  <si>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</si>
  <si>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</si>
  <si>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</si>
  <si>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</si>
  <si>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</si>
  <si>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</si>
  <si>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</si>
  <si>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</si>
  <si>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</si>
  <si>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</si>
  <si>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</si>
  <si>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</si>
  <si>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</si>
  <si>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</si>
  <si>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</si>
  <si>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</si>
  <si>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</si>
  <si>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</si>
  <si>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</si>
  <si>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</si>
  <si>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</si>
  <si>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</si>
  <si>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</si>
  <si>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</si>
  <si>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</si>
  <si>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</si>
  <si>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</si>
  <si>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</si>
  <si>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</si>
  <si>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</si>
  <si>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</si>
  <si>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</si>
  <si>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</si>
  <si>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</si>
  <si>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</si>
  <si>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</si>
  <si>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</si>
  <si>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</si>
  <si>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</si>
  <si>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</si>
  <si>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</si>
  <si>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</si>
  <si>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</si>
  <si>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</si>
  <si>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</si>
  <si>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</si>
  <si>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</si>
  <si>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</si>
  <si>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</si>
  <si>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</si>
  <si>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</si>
  <si>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</si>
  <si>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</si>
  <si>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</si>
  <si>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</si>
  <si>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</si>
  <si>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</si>
  <si>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</si>
  <si>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</si>
  <si>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</si>
  <si>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</si>
  <si>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</si>
  <si>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</si>
  <si>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</si>
  <si>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</si>
  <si>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</si>
  <si>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</si>
  <si>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</si>
  <si>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</si>
  <si>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</si>
  <si>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</si>
  <si>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</si>
  <si>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</si>
  <si>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</si>
  <si>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</si>
  <si>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</si>
  <si>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</si>
  <si>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</si>
  <si>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</si>
  <si>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</si>
  <si>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</si>
  <si>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</si>
  <si>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</si>
  <si>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</si>
  <si>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</si>
  <si>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</si>
  <si>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</si>
  <si>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</si>
  <si>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</si>
  <si>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</si>
  <si>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</si>
  <si>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</si>
  <si>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</si>
  <si>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</si>
  <si>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</si>
  <si>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</si>
  <si>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</si>
  <si>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</si>
  <si>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</si>
  <si>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</si>
  <si>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</si>
  <si>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</si>
  <si>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</si>
  <si>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</si>
  <si>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</si>
  <si>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</si>
  <si>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</si>
  <si>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</si>
  <si>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</si>
  <si>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</si>
  <si>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</si>
  <si>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</si>
  <si>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</si>
  <si>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</si>
  <si>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</si>
  <si>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</si>
  <si>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</si>
  <si>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</si>
  <si>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</si>
  <si>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</si>
  <si>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</si>
  <si>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</si>
  <si>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</si>
  <si>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</si>
  <si>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</si>
  <si>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</si>
  <si>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</si>
  <si>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</si>
  <si>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</si>
  <si>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</si>
  <si>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</si>
  <si>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</si>
  <si>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</si>
  <si>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</si>
  <si>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</si>
  <si>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</si>
  <si>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</si>
  <si>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</si>
  <si>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</si>
  <si>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</si>
  <si>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</si>
  <si>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</si>
  <si>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</si>
  <si>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</si>
  <si>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</si>
  <si>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</si>
  <si>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</si>
  <si>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</si>
  <si>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</si>
  <si>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</si>
  <si>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</si>
  <si>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</si>
  <si>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</si>
  <si>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</si>
  <si>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</si>
  <si>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</si>
  <si>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</si>
  <si>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</si>
  <si>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</si>
  <si>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</si>
  <si>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</si>
  <si>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</si>
  <si>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</si>
  <si>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</si>
  <si>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</si>
  <si>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</si>
  <si>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</si>
  <si>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</si>
  <si>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</si>
  <si>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</si>
  <si>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</si>
  <si>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</si>
  <si>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</si>
  <si>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</si>
  <si>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</si>
  <si>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</si>
  <si>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</si>
  <si>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</si>
  <si>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</si>
  <si>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</si>
  <si>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</si>
  <si>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</si>
  <si>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</si>
  <si>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</si>
  <si>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</si>
  <si>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</si>
  <si>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</si>
  <si>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</si>
  <si>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</si>
  <si>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</si>
  <si>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</si>
  <si>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</si>
  <si>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</si>
  <si>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</si>
  <si>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</si>
  <si>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</si>
  <si>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</si>
  <si>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</si>
  <si>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</si>
  <si>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</si>
  <si>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</si>
  <si>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</si>
  <si>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</si>
  <si>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</si>
  <si>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</si>
  <si>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</si>
  <si>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</si>
  <si>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</si>
  <si>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</si>
  <si>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</si>
  <si>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</si>
  <si>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</si>
  <si>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</si>
  <si>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</si>
  <si>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</si>
  <si>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</si>
  <si>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</si>
  <si>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</si>
  <si>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</si>
  <si>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</si>
  <si>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</si>
  <si>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</si>
  <si>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</si>
  <si>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</si>
  <si>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</si>
  <si>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</si>
  <si>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</si>
  <si>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</si>
  <si>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</si>
  <si>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</si>
  <si>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</si>
  <si>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</si>
  <si>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</si>
  <si>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</si>
  <si>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</si>
  <si>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</si>
  <si>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</si>
  <si>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</si>
  <si>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</si>
  <si>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</si>
  <si>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</si>
  <si>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</si>
  <si>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</si>
  <si>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</si>
  <si>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</si>
  <si>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</si>
  <si>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</si>
  <si>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</si>
  <si>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</si>
  <si>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</si>
  <si>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</si>
  <si>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</si>
  <si>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</si>
  <si>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</si>
  <si>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</si>
  <si>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</si>
  <si>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</si>
  <si>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</si>
  <si>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</si>
  <si>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</si>
  <si>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</si>
  <si>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</si>
  <si>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</si>
  <si>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</si>
  <si>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</si>
  <si>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</si>
  <si>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</si>
  <si>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</si>
  <si>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</si>
  <si>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</si>
  <si>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</si>
  <si>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</si>
  <si>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</si>
  <si>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</si>
  <si>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</si>
  <si>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</si>
  <si>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</si>
  <si>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</si>
  <si>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</si>
  <si>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</si>
  <si>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</si>
  <si>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</si>
  <si>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</si>
  <si>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</si>
  <si>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</si>
  <si>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</si>
  <si>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</si>
  <si>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</si>
  <si>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</si>
  <si>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</si>
  <si>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</si>
  <si>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</si>
  <si>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</si>
  <si>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</si>
  <si>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</si>
  <si>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</si>
  <si>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</si>
  <si>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</si>
  <si>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</si>
  <si>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</si>
  <si>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</si>
  <si>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</si>
  <si>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</si>
  <si>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</si>
  <si>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</si>
  <si>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</si>
  <si>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</si>
  <si>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</si>
  <si>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</si>
  <si>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</si>
  <si>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</si>
  <si>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</si>
  <si>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</si>
  <si>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</si>
  <si>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</si>
  <si>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</si>
  <si>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</si>
  <si>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</si>
  <si>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</si>
  <si>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</si>
  <si>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</si>
  <si>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</si>
  <si>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</si>
  <si>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</si>
  <si>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</si>
  <si>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</si>
  <si>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</si>
  <si>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</si>
  <si>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</si>
  <si>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</si>
  <si>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</si>
  <si>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</si>
  <si>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</si>
  <si>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</si>
  <si>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</si>
  <si>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</si>
  <si>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</si>
  <si>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</si>
  <si>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</si>
  <si>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</si>
  <si>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</si>
  <si>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</si>
  <si>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</si>
  <si>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</si>
  <si>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</si>
  <si>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</si>
  <si>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</si>
  <si>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</si>
  <si>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</si>
  <si>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</si>
  <si>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</si>
  <si>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</si>
  <si>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</si>
  <si>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</si>
  <si>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</si>
  <si>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</si>
  <si>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</si>
  <si>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</si>
  <si>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</si>
  <si>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</si>
  <si>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</si>
  <si>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</si>
  <si>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</si>
  <si>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</si>
  <si>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</si>
  <si>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</si>
  <si>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</si>
  <si>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</si>
  <si>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</si>
  <si>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</si>
  <si>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</si>
  <si>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</si>
  <si>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</si>
  <si>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</si>
  <si>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</si>
  <si>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</si>
  <si>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</si>
  <si>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</si>
  <si>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</si>
  <si>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</si>
  <si>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</si>
  <si>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</si>
  <si>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</si>
  <si>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</si>
  <si>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</si>
  <si>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</si>
  <si>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</si>
  <si>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</si>
  <si>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</si>
  <si>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</si>
  <si>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</si>
  <si>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</si>
  <si>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</si>
  <si>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</si>
  <si>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</si>
  <si>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</si>
  <si>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</si>
  <si>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</si>
  <si>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</si>
  <si>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</si>
  <si>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</si>
  <si>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</si>
  <si>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</si>
  <si>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</si>
  <si>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</si>
  <si>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</si>
  <si>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</si>
  <si>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</si>
  <si>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</si>
  <si>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</si>
  <si>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</si>
  <si>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</si>
  <si>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</si>
  <si>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</si>
  <si>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</si>
  <si>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</si>
  <si>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</si>
  <si>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</si>
  <si>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</si>
  <si>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</si>
  <si>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</si>
  <si>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</si>
  <si>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</si>
  <si>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</si>
  <si>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</si>
  <si>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</si>
  <si>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</si>
  <si>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</si>
  <si>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</si>
  <si>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</si>
  <si>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</si>
  <si>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</si>
  <si>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</si>
  <si>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</si>
  <si>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</si>
  <si>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</si>
  <si>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</si>
  <si>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</si>
  <si>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</si>
  <si>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</si>
  <si>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</si>
  <si>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</si>
  <si>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</si>
  <si>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</si>
  <si>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</si>
  <si>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</si>
  <si>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</si>
  <si>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</si>
  <si>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</si>
  <si>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</si>
  <si>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</si>
  <si>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</si>
  <si>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</si>
  <si>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</si>
  <si>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</si>
  <si>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</si>
  <si>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</si>
  <si>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</si>
  <si>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</si>
  <si>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</si>
  <si>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</si>
  <si>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</si>
  <si>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</si>
  <si>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</si>
  <si>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</si>
  <si>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</si>
  <si>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</si>
  <si>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</si>
  <si>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</si>
  <si>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</si>
  <si>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</si>
  <si>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</si>
  <si>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</si>
  <si>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</si>
  <si>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</si>
  <si>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</si>
  <si>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</si>
  <si>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</si>
  <si>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</si>
  <si>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</si>
  <si>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</si>
  <si>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</si>
  <si>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</si>
  <si>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</si>
  <si>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</si>
  <si>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</si>
  <si>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</si>
  <si>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</si>
  <si>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</si>
  <si>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</si>
  <si>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</si>
  <si>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</si>
  <si>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</si>
  <si>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</si>
  <si>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</si>
  <si>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</si>
  <si>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</si>
  <si>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</si>
  <si>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</si>
  <si>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</si>
  <si>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</si>
  <si>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</si>
  <si>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</si>
  <si>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</si>
  <si>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</si>
  <si>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</si>
  <si>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</si>
  <si>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</si>
  <si>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</si>
  <si>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</si>
  <si>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</si>
  <si>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</si>
  <si>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</si>
  <si>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</si>
  <si>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</si>
  <si>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</si>
  <si>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</si>
  <si>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</si>
  <si>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</si>
  <si>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</si>
  <si>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</si>
  <si>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</si>
  <si>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</si>
  <si>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</si>
  <si>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</si>
  <si>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</si>
  <si>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</si>
  <si>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</si>
  <si>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</si>
  <si>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</si>
  <si>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</si>
  <si>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</si>
  <si>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</si>
  <si>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</si>
  <si>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</si>
  <si>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</si>
  <si>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</si>
  <si>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</si>
  <si>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</si>
  <si>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</si>
  <si>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</si>
  <si>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</si>
  <si>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</si>
  <si>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</si>
  <si>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</si>
  <si>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</si>
  <si>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</si>
  <si>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</si>
  <si>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</si>
  <si>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</si>
  <si>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</si>
  <si>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</si>
  <si>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</si>
  <si>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</si>
  <si>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</si>
  <si>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</si>
  <si>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</si>
  <si>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</si>
  <si>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</si>
  <si>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</si>
  <si>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</si>
  <si>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</si>
  <si>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</si>
  <si>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</si>
  <si>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</si>
  <si>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</si>
  <si>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</si>
  <si>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</si>
  <si>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</si>
  <si>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</si>
  <si>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</si>
  <si>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</si>
  <si>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</si>
  <si>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</si>
  <si>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</si>
  <si>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</si>
  <si>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</si>
  <si>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</si>
  <si>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</si>
  <si>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</si>
  <si>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</si>
  <si>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</si>
  <si>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</si>
  <si>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</si>
  <si>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</si>
  <si>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</si>
  <si>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</si>
  <si>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</si>
  <si>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</si>
  <si>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</si>
  <si>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</si>
  <si>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</si>
  <si>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</si>
  <si>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</si>
  <si>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</si>
  <si>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</si>
  <si>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</si>
  <si>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</si>
  <si>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</si>
  <si>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</si>
  <si>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</si>
  <si>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</si>
  <si>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</si>
  <si>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</si>
  <si>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</si>
  <si>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</si>
  <si>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</si>
  <si>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</si>
  <si>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</si>
  <si>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</si>
  <si>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</si>
  <si>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</si>
  <si>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</si>
  <si>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</si>
  <si>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</si>
  <si>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</si>
  <si>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</si>
  <si>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</si>
  <si>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</si>
  <si>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</si>
  <si>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</si>
  <si>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</si>
  <si>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</si>
  <si>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</si>
  <si>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</si>
  <si>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</si>
  <si>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</si>
  <si>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</si>
  <si>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</si>
  <si>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</si>
  <si>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</si>
  <si>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</si>
  <si>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</si>
  <si>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</si>
  <si>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</si>
  <si>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</si>
  <si>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</si>
  <si>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</si>
  <si>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</si>
  <si>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</si>
  <si>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</si>
  <si>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</si>
  <si>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</si>
  <si>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</si>
  <si>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</si>
  <si>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</si>
  <si>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</si>
  <si>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</si>
  <si>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</si>
  <si>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</si>
  <si>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</si>
  <si>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</si>
  <si>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</si>
  <si>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</si>
  <si>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</si>
  <si>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</si>
  <si>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</si>
  <si>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</si>
  <si>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</si>
  <si>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</si>
  <si>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</si>
  <si>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</si>
  <si>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</si>
  <si>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</si>
  <si>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</si>
  <si>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</si>
  <si>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</si>
  <si>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</si>
  <si>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</si>
  <si>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</si>
  <si>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</si>
  <si>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</si>
  <si>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</si>
  <si>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</si>
  <si>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</si>
  <si>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</si>
  <si>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</si>
  <si>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</si>
  <si>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</si>
  <si>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</si>
  <si>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</si>
  <si>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</si>
  <si>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</si>
  <si>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</si>
  <si>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</si>
  <si>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</si>
  <si>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</si>
  <si>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</si>
  <si>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</si>
  <si>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PEMASANGAN TIANG</t>
  </si>
  <si>
    <t>PEKERJAAN PEMASANGAN KONSTRUKSI TM</t>
  </si>
  <si>
    <t>PEKERJAAN PEMASANGAN APP</t>
  </si>
  <si>
    <t>CJ6-T</t>
  </si>
  <si>
    <t>Daya 16.500 VA</t>
  </si>
  <si>
    <t>Pemasangan APP 3 Fasa Di Bangunan</t>
  </si>
  <si>
    <t>KONSTRUKSI PHBTR</t>
  </si>
  <si>
    <t>KDS 16</t>
  </si>
  <si>
    <t>T.NOTOSUKARJO</t>
  </si>
  <si>
    <t>B2T</t>
  </si>
  <si>
    <t>CJ5-T</t>
  </si>
  <si>
    <t>-6.887840, 110.648103</t>
  </si>
  <si>
    <t>1 CJ6-T</t>
  </si>
  <si>
    <t>1 CJ5-T</t>
  </si>
  <si>
    <t>NFA2X 3X70+N50</t>
  </si>
  <si>
    <t>BOX APP DAN KWH DAY 16,5 KVA</t>
  </si>
  <si>
    <t>DS BINTORO, KEC DEMAK</t>
  </si>
  <si>
    <t>K3-298</t>
  </si>
  <si>
    <t>SYG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</si>
</sst>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3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5128">
    <xf numFmtId="0" fontId="0" fillId="0" borderId="0"/>
    <xf numFmtId="171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168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6" fillId="0" borderId="0" applyFont="0" applyFill="0" applyBorder="0" applyAlignment="0" applyProtection="0"/>
    <xf numFmtId="18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204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5" fontId="35" fillId="0" borderId="3"/>
    <xf numFmtId="185" fontId="21" fillId="0" borderId="3"/>
    <xf numFmtId="42" fontId="22" fillId="0" borderId="0" applyFont="0" applyFill="0" applyBorder="0" applyAlignment="0" applyProtection="0"/>
    <xf numFmtId="42" fontId="47" fillId="0" borderId="0" applyFont="0" applyFill="0" applyBorder="0" applyAlignment="0" applyProtection="0"/>
    <xf numFmtId="172" fontId="35" fillId="0" borderId="0" applyFont="0" applyFill="0" applyBorder="0" applyAlignment="0" applyProtection="0"/>
    <xf numFmtId="172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69" fillId="0" borderId="0" applyFont="0" applyFill="0" applyBorder="0" applyAlignment="0" applyProtection="0"/>
    <xf numFmtId="187" fontId="71" fillId="0" borderId="0">
      <protection locked="0"/>
    </xf>
    <xf numFmtId="14" fontId="63" fillId="0" borderId="0" applyFill="0" applyBorder="0" applyAlignment="0"/>
    <xf numFmtId="188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89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0" fontId="76" fillId="0" borderId="0">
      <protection locked="0"/>
    </xf>
    <xf numFmtId="190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1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2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21" fillId="0" borderId="0"/>
    <xf numFmtId="192" fontId="35" fillId="0" borderId="0"/>
    <xf numFmtId="171" fontId="82" fillId="0" borderId="0"/>
    <xf numFmtId="171" fontId="83" fillId="0" borderId="0"/>
    <xf numFmtId="171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3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1" fontId="83" fillId="0" borderId="0"/>
    <xf numFmtId="0" fontId="83" fillId="0" borderId="0"/>
    <xf numFmtId="194" fontId="83" fillId="0" borderId="0"/>
    <xf numFmtId="195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4" fontId="83" fillId="0" borderId="0"/>
    <xf numFmtId="0" fontId="83" fillId="0" borderId="0"/>
    <xf numFmtId="0" fontId="35" fillId="0" borderId="0"/>
    <xf numFmtId="0" fontId="21" fillId="0" borderId="0"/>
    <xf numFmtId="181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7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6" fontId="83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3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3" fontId="42" fillId="0" borderId="0"/>
    <xf numFmtId="193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5" fontId="35" fillId="0" borderId="0" applyFont="0" applyFill="0" applyBorder="0" applyAlignment="0" applyProtection="0"/>
    <xf numFmtId="175" fontId="21" fillId="0" borderId="0" applyFont="0" applyFill="0" applyBorder="0" applyAlignment="0" applyProtection="0"/>
    <xf numFmtId="199" fontId="35" fillId="0" borderId="0" applyFont="0" applyFill="0" applyBorder="0" applyAlignment="0" applyProtection="0"/>
    <xf numFmtId="199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3" fillId="0" borderId="0"/>
    <xf numFmtId="200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1" fontId="35" fillId="0" borderId="0" applyFill="0" applyBorder="0" applyAlignment="0"/>
    <xf numFmtId="201" fontId="21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" fillId="0" borderId="0"/>
    <xf numFmtId="165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165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6" fillId="0" borderId="0"/>
    <xf numFmtId="165" fontId="21" fillId="0" borderId="0" applyFont="0" applyFill="0" applyBorder="0" applyAlignment="0" applyProtection="0"/>
    <xf numFmtId="0" fontId="6" fillId="0" borderId="0"/>
    <xf numFmtId="166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42" fontId="15" fillId="0" borderId="0" applyFont="0" applyFill="0" applyBorder="0" applyAlignment="0" applyProtection="0"/>
    <xf numFmtId="42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95"/>
    <xf numFmtId="0" fontId="88" fillId="0" borderId="96"/>
    <xf numFmtId="166" fontId="21" fillId="0" borderId="0" applyFont="0" applyFill="0" applyBorder="0" applyAlignment="0" applyProtection="0"/>
    <xf numFmtId="0" fontId="36" fillId="20" borderId="103" applyNumberFormat="0" applyAlignment="0" applyProtection="0"/>
    <xf numFmtId="0" fontId="15" fillId="27" borderId="102" applyNumberFormat="0" applyFont="0" applyAlignment="0" applyProtection="0"/>
    <xf numFmtId="0" fontId="21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26" fillId="21" borderId="99" applyNumberFormat="0" applyAlignment="0" applyProtection="0"/>
    <xf numFmtId="0" fontId="32" fillId="7" borderId="107" applyNumberFormat="0" applyAlignment="0" applyProtection="0"/>
    <xf numFmtId="0" fontId="38" fillId="0" borderId="104" applyNumberFormat="0" applyFill="0" applyAlignment="0" applyProtection="0"/>
    <xf numFmtId="0" fontId="5" fillId="0" borderId="0"/>
    <xf numFmtId="0" fontId="5" fillId="0" borderId="0"/>
    <xf numFmtId="0" fontId="87" fillId="0" borderId="106"/>
    <xf numFmtId="0" fontId="21" fillId="27" borderId="108" applyNumberFormat="0" applyFont="0" applyAlignment="0" applyProtection="0"/>
    <xf numFmtId="0" fontId="36" fillId="20" borderId="109" applyNumberFormat="0" applyAlignment="0" applyProtection="0"/>
    <xf numFmtId="0" fontId="38" fillId="0" borderId="110" applyNumberFormat="0" applyFill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0" fontId="21" fillId="27" borderId="102" applyNumberFormat="0" applyFont="0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0" fontId="5" fillId="0" borderId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166" fontId="5" fillId="0" borderId="0" applyFont="0" applyFill="0" applyBorder="0" applyAlignment="0" applyProtection="0"/>
    <xf numFmtId="0" fontId="78" fillId="23" borderId="105"/>
    <xf numFmtId="0" fontId="78" fillId="0" borderId="105"/>
    <xf numFmtId="0" fontId="78" fillId="0" borderId="100"/>
    <xf numFmtId="0" fontId="78" fillId="0" borderId="100"/>
    <xf numFmtId="0" fontId="73" fillId="0" borderId="105"/>
    <xf numFmtId="0" fontId="73" fillId="0" borderId="105"/>
    <xf numFmtId="0" fontId="73" fillId="0" borderId="111"/>
    <xf numFmtId="0" fontId="73" fillId="0" borderId="111"/>
    <xf numFmtId="0" fontId="78" fillId="0" borderId="111"/>
    <xf numFmtId="0" fontId="78" fillId="23" borderId="111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5" fillId="0" borderId="0"/>
    <xf numFmtId="0" fontId="5" fillId="0" borderId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0" fontId="15" fillId="27" borderId="108" applyNumberFormat="0" applyFont="0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193" fontId="42" fillId="28" borderId="108" applyAlignment="0" applyProtection="0"/>
    <xf numFmtId="0" fontId="36" fillId="20" borderId="103" applyNumberFormat="0" applyAlignment="0" applyProtection="0"/>
    <xf numFmtId="0" fontId="21" fillId="27" borderId="102" applyNumberFormat="0" applyFont="0" applyAlignment="0" applyProtection="0"/>
    <xf numFmtId="0" fontId="32" fillId="7" borderId="101" applyNumberFormat="0" applyAlignment="0" applyProtection="0"/>
    <xf numFmtId="0" fontId="25" fillId="20" borderId="101" applyNumberFormat="0" applyAlignment="0" applyProtection="0"/>
    <xf numFmtId="193" fontId="42" fillId="28" borderId="108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32" fillId="7" borderId="107" applyNumberFormat="0" applyAlignment="0" applyProtection="0"/>
    <xf numFmtId="0" fontId="25" fillId="20" borderId="107" applyNumberFormat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87" fillId="0" borderId="112"/>
    <xf numFmtId="0" fontId="32" fillId="7" borderId="107" applyNumberFormat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32" fillId="7" borderId="107" applyNumberFormat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32" fillId="7" borderId="107" applyNumberFormat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42" fontId="15" fillId="0" borderId="0" applyFont="0" applyFill="0" applyBorder="0" applyAlignment="0" applyProtection="0"/>
    <xf numFmtId="0" fontId="73" fillId="0" borderId="111"/>
    <xf numFmtId="0" fontId="73" fillId="0" borderId="111"/>
    <xf numFmtId="0" fontId="78" fillId="0" borderId="100"/>
    <xf numFmtId="0" fontId="78" fillId="0" borderId="100"/>
    <xf numFmtId="0" fontId="78" fillId="0" borderId="111"/>
    <xf numFmtId="0" fontId="78" fillId="23" borderId="111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9" fontId="21" fillId="0" borderId="0" applyFont="0" applyFill="0" applyBorder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9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7" fillId="0" borderId="113"/>
    <xf numFmtId="0" fontId="87" fillId="0" borderId="113"/>
    <xf numFmtId="0" fontId="88" fillId="0" borderId="114"/>
    <xf numFmtId="0" fontId="88" fillId="0" borderId="114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111" fillId="0" borderId="0"/>
    <xf numFmtId="166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6" fillId="20" borderId="119" applyNumberFormat="0" applyAlignment="0" applyProtection="0"/>
    <xf numFmtId="0" fontId="21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15" fillId="27" borderId="118" applyNumberFormat="0" applyFont="0" applyAlignment="0" applyProtection="0"/>
    <xf numFmtId="0" fontId="21" fillId="27" borderId="118" applyNumberFormat="0" applyFont="0" applyAlignment="0" applyProtection="0"/>
    <xf numFmtId="193" fontId="42" fillId="28" borderId="118" applyAlignment="0" applyProtection="0"/>
    <xf numFmtId="193" fontId="42" fillId="28" borderId="130" applyAlignment="0" applyProtection="0"/>
    <xf numFmtId="0" fontId="32" fillId="7" borderId="107" applyNumberFormat="0" applyAlignment="0" applyProtection="0"/>
    <xf numFmtId="0" fontId="32" fillId="7" borderId="123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38" fillId="0" borderId="120" applyNumberFormat="0" applyFill="0" applyAlignment="0" applyProtection="0"/>
    <xf numFmtId="0" fontId="3" fillId="0" borderId="0"/>
    <xf numFmtId="0" fontId="32" fillId="7" borderId="123" applyNumberFormat="0" applyAlignment="0" applyProtection="0"/>
    <xf numFmtId="0" fontId="25" fillId="20" borderId="117" applyNumberFormat="0" applyAlignment="0" applyProtection="0"/>
    <xf numFmtId="0" fontId="3" fillId="0" borderId="0"/>
    <xf numFmtId="0" fontId="21" fillId="27" borderId="124" applyNumberFormat="0" applyFont="0" applyAlignment="0" applyProtection="0"/>
    <xf numFmtId="0" fontId="32" fillId="7" borderId="123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0" fontId="36" fillId="20" borderId="119" applyNumberFormat="0" applyAlignment="0" applyProtection="0"/>
    <xf numFmtId="193" fontId="42" fillId="28" borderId="118" applyAlignment="0" applyProtection="0"/>
    <xf numFmtId="193" fontId="42" fillId="28" borderId="118" applyAlignment="0" applyProtection="0"/>
    <xf numFmtId="0" fontId="21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21" fillId="27" borderId="118" applyNumberFormat="0" applyFont="0" applyAlignment="0" applyProtection="0"/>
    <xf numFmtId="193" fontId="42" fillId="28" borderId="118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21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21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21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193" fontId="42" fillId="28" borderId="118" applyAlignment="0" applyProtection="0"/>
    <xf numFmtId="0" fontId="21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0" fontId="21" fillId="27" borderId="118" applyNumberFormat="0" applyFont="0" applyAlignment="0" applyProtection="0"/>
    <xf numFmtId="0" fontId="21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15" fillId="27" borderId="118" applyNumberFormat="0" applyFont="0" applyAlignment="0" applyProtection="0"/>
    <xf numFmtId="193" fontId="42" fillId="28" borderId="118" applyAlignment="0" applyProtection="0"/>
    <xf numFmtId="0" fontId="21" fillId="27" borderId="118" applyNumberFormat="0" applyFont="0" applyAlignment="0" applyProtection="0"/>
    <xf numFmtId="0" fontId="21" fillId="27" borderId="118" applyNumberFormat="0" applyFont="0" applyAlignment="0" applyProtection="0"/>
    <xf numFmtId="193" fontId="42" fillId="28" borderId="118" applyAlignment="0" applyProtection="0"/>
    <xf numFmtId="0" fontId="21" fillId="27" borderId="118" applyNumberFormat="0" applyFont="0" applyAlignment="0" applyProtection="0"/>
    <xf numFmtId="193" fontId="42" fillId="28" borderId="118" applyAlignment="0" applyProtection="0"/>
    <xf numFmtId="0" fontId="21" fillId="27" borderId="118" applyNumberFormat="0" applyFont="0" applyAlignment="0" applyProtection="0"/>
    <xf numFmtId="193" fontId="42" fillId="28" borderId="118" applyAlignment="0" applyProtection="0"/>
    <xf numFmtId="0" fontId="21" fillId="27" borderId="118" applyNumberFormat="0" applyFont="0" applyAlignment="0" applyProtection="0"/>
    <xf numFmtId="193" fontId="42" fillId="28" borderId="118" applyAlignment="0" applyProtection="0"/>
    <xf numFmtId="0" fontId="21" fillId="27" borderId="118" applyNumberFormat="0" applyFont="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21" fillId="27" borderId="130" applyNumberFormat="0" applyFont="0" applyAlignment="0" applyProtection="0"/>
    <xf numFmtId="193" fontId="42" fillId="28" borderId="130" applyAlignment="0" applyProtection="0"/>
    <xf numFmtId="0" fontId="21" fillId="27" borderId="130" applyNumberFormat="0" applyFont="0" applyAlignment="0" applyProtection="0"/>
    <xf numFmtId="193" fontId="42" fillId="28" borderId="130" applyAlignment="0" applyProtection="0"/>
    <xf numFmtId="0" fontId="21" fillId="27" borderId="130" applyNumberFormat="0" applyFont="0" applyAlignment="0" applyProtection="0"/>
    <xf numFmtId="193" fontId="42" fillId="28" borderId="130" applyAlignment="0" applyProtection="0"/>
    <xf numFmtId="0" fontId="21" fillId="27" borderId="130" applyNumberFormat="0" applyFont="0" applyAlignment="0" applyProtection="0"/>
    <xf numFmtId="193" fontId="42" fillId="28" borderId="130" applyAlignment="0" applyProtection="0"/>
    <xf numFmtId="0" fontId="21" fillId="27" borderId="130" applyNumberFormat="0" applyFont="0" applyAlignment="0" applyProtection="0"/>
    <xf numFmtId="0" fontId="21" fillId="27" borderId="130" applyNumberFormat="0" applyFon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25" fillId="20" borderId="123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0" fontId="32" fillId="7" borderId="129" applyNumberFormat="0" applyAlignment="0" applyProtection="0"/>
    <xf numFmtId="166" fontId="3" fillId="0" borderId="0" applyFont="0" applyFill="0" applyBorder="0" applyAlignment="0" applyProtection="0"/>
    <xf numFmtId="0" fontId="78" fillId="23" borderId="121"/>
    <xf numFmtId="0" fontId="78" fillId="0" borderId="121"/>
    <xf numFmtId="0" fontId="78" fillId="23" borderId="133"/>
    <xf numFmtId="0" fontId="78" fillId="0" borderId="133"/>
    <xf numFmtId="0" fontId="73" fillId="0" borderId="121"/>
    <xf numFmtId="0" fontId="73" fillId="0" borderId="121"/>
    <xf numFmtId="0" fontId="73" fillId="0" borderId="133"/>
    <xf numFmtId="0" fontId="73" fillId="0" borderId="133"/>
    <xf numFmtId="0" fontId="73" fillId="0" borderId="127"/>
    <xf numFmtId="0" fontId="73" fillId="0" borderId="127"/>
    <xf numFmtId="0" fontId="78" fillId="0" borderId="127"/>
    <xf numFmtId="0" fontId="78" fillId="23" borderId="127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32" fillId="7" borderId="123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25" fillId="20" borderId="129" applyNumberFormat="0" applyAlignment="0" applyProtection="0"/>
    <xf numFmtId="0" fontId="3" fillId="0" borderId="0"/>
    <xf numFmtId="0" fontId="3" fillId="0" borderId="0"/>
    <xf numFmtId="0" fontId="21" fillId="27" borderId="124" applyNumberFormat="0" applyFont="0" applyAlignment="0" applyProtection="0"/>
    <xf numFmtId="193" fontId="42" fillId="28" borderId="124" applyAlignment="0" applyProtection="0"/>
    <xf numFmtId="0" fontId="21" fillId="27" borderId="124" applyNumberFormat="0" applyFont="0" applyAlignment="0" applyProtection="0"/>
    <xf numFmtId="193" fontId="42" fillId="28" borderId="124" applyAlignment="0" applyProtection="0"/>
    <xf numFmtId="0" fontId="21" fillId="27" borderId="124" applyNumberFormat="0" applyFont="0" applyAlignment="0" applyProtection="0"/>
    <xf numFmtId="193" fontId="42" fillId="28" borderId="124" applyAlignment="0" applyProtection="0"/>
    <xf numFmtId="0" fontId="21" fillId="27" borderId="124" applyNumberFormat="0" applyFont="0" applyAlignment="0" applyProtection="0"/>
    <xf numFmtId="193" fontId="42" fillId="28" borderId="124" applyAlignment="0" applyProtection="0"/>
    <xf numFmtId="193" fontId="42" fillId="28" borderId="124" applyAlignment="0" applyProtection="0"/>
    <xf numFmtId="0" fontId="21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21" fillId="27" borderId="124" applyNumberFormat="0" applyFont="0" applyAlignment="0" applyProtection="0"/>
    <xf numFmtId="0" fontId="21" fillId="27" borderId="124" applyNumberFormat="0" applyFont="0" applyAlignment="0" applyProtection="0"/>
    <xf numFmtId="0" fontId="21" fillId="27" borderId="124" applyNumberFormat="0" applyFont="0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0" fontId="21" fillId="27" borderId="130" applyNumberFormat="0" applyFont="0" applyAlignment="0" applyProtection="0"/>
    <xf numFmtId="0" fontId="87" fillId="0" borderId="115"/>
    <xf numFmtId="0" fontId="88" fillId="0" borderId="116"/>
    <xf numFmtId="0" fontId="36" fillId="20" borderId="119" applyNumberFormat="0" applyAlignment="0" applyProtection="0"/>
    <xf numFmtId="0" fontId="21" fillId="27" borderId="118" applyNumberFormat="0" applyFont="0" applyAlignment="0" applyProtection="0"/>
    <xf numFmtId="0" fontId="32" fillId="7" borderId="129" applyNumberFormat="0" applyAlignment="0" applyProtection="0"/>
    <xf numFmtId="0" fontId="32" fillId="7" borderId="117" applyNumberFormat="0" applyAlignment="0" applyProtection="0"/>
    <xf numFmtId="0" fontId="25" fillId="20" borderId="117" applyNumberFormat="0" applyAlignment="0" applyProtection="0"/>
    <xf numFmtId="193" fontId="42" fillId="28" borderId="124" applyAlignment="0" applyProtection="0"/>
    <xf numFmtId="193" fontId="42" fillId="28" borderId="124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21" fillId="27" borderId="130" applyNumberFormat="0" applyFont="0" applyAlignment="0" applyProtection="0"/>
    <xf numFmtId="0" fontId="21" fillId="27" borderId="130" applyNumberFormat="0" applyFont="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0" fontId="38" fillId="0" borderId="126" applyNumberFormat="0" applyFill="0" applyAlignment="0" applyProtection="0"/>
    <xf numFmtId="0" fontId="36" fillId="20" borderId="125" applyNumberFormat="0" applyAlignment="0" applyProtection="0"/>
    <xf numFmtId="0" fontId="21" fillId="27" borderId="124" applyNumberFormat="0" applyFont="0" applyAlignment="0" applyProtection="0"/>
    <xf numFmtId="0" fontId="87" fillId="0" borderId="122"/>
    <xf numFmtId="0" fontId="32" fillId="7" borderId="123" applyNumberFormat="0" applyAlignment="0" applyProtection="0"/>
    <xf numFmtId="0" fontId="25" fillId="20" borderId="123" applyNumberFormat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193" fontId="42" fillId="28" borderId="130" applyAlignment="0" applyProtection="0"/>
    <xf numFmtId="193" fontId="42" fillId="28" borderId="130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21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21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21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21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21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15" fillId="27" borderId="124" applyNumberFormat="0" applyFont="0" applyAlignment="0" applyProtection="0"/>
    <xf numFmtId="193" fontId="42" fillId="28" borderId="124" applyAlignment="0" applyProtection="0"/>
    <xf numFmtId="0" fontId="21" fillId="27" borderId="124" applyNumberFormat="0" applyFont="0" applyAlignment="0" applyProtection="0"/>
    <xf numFmtId="193" fontId="42" fillId="28" borderId="124" applyAlignment="0" applyProtection="0"/>
    <xf numFmtId="0" fontId="21" fillId="27" borderId="124" applyNumberFormat="0" applyFont="0" applyAlignment="0" applyProtection="0"/>
    <xf numFmtId="193" fontId="42" fillId="28" borderId="124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6" fillId="20" borderId="125" applyNumberFormat="0" applyAlignment="0" applyProtection="0"/>
    <xf numFmtId="0" fontId="38" fillId="0" borderId="132" applyNumberFormat="0" applyFill="0" applyAlignment="0" applyProtection="0"/>
    <xf numFmtId="0" fontId="36" fillId="20" borderId="131" applyNumberFormat="0" applyAlignment="0" applyProtection="0"/>
    <xf numFmtId="0" fontId="21" fillId="27" borderId="130" applyNumberFormat="0" applyFont="0" applyAlignment="0" applyProtection="0"/>
    <xf numFmtId="0" fontId="87" fillId="0" borderId="128"/>
    <xf numFmtId="0" fontId="32" fillId="7" borderId="129" applyNumberFormat="0" applyAlignment="0" applyProtection="0"/>
    <xf numFmtId="0" fontId="25" fillId="20" borderId="129" applyNumberFormat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38" fillId="0" borderId="126" applyNumberFormat="0" applyFill="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21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21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21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21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21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15" fillId="27" borderId="130" applyNumberFormat="0" applyFont="0" applyAlignment="0" applyProtection="0"/>
    <xf numFmtId="193" fontId="42" fillId="28" borderId="130" applyAlignment="0" applyProtection="0"/>
    <xf numFmtId="0" fontId="21" fillId="27" borderId="130" applyNumberFormat="0" applyFont="0" applyAlignment="0" applyProtection="0"/>
    <xf numFmtId="193" fontId="42" fillId="28" borderId="130" applyAlignment="0" applyProtection="0"/>
    <xf numFmtId="0" fontId="21" fillId="27" borderId="130" applyNumberFormat="0" applyFont="0" applyAlignment="0" applyProtection="0"/>
    <xf numFmtId="193" fontId="42" fillId="28" borderId="13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36" fillId="20" borderId="131" applyNumberFormat="0" applyAlignment="0" applyProtection="0"/>
    <xf numFmtId="0" fontId="87" fillId="0" borderId="134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  <xf numFmtId="0" fontId="38" fillId="0" borderId="132" applyNumberFormat="0" applyFill="0" applyAlignment="0" applyProtection="0"/>
  </cellStyleXfs>
  <cellXfs count="695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41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41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41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43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8" fontId="44" fillId="0" borderId="0" xfId="714" applyFont="1" applyFill="1" applyAlignment="1">
      <alignment horizontal="center" wrapText="1"/>
    </xf>
    <xf numFmtId="168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8" fontId="44" fillId="0" borderId="21" xfId="715" applyNumberFormat="1" applyFont="1" applyFill="1" applyBorder="1" applyAlignment="1">
      <alignment horizontal="center" vertical="center" wrapText="1"/>
    </xf>
    <xf numFmtId="168" fontId="44" fillId="0" borderId="21" xfId="714" applyFont="1" applyFill="1" applyBorder="1" applyAlignment="1">
      <alignment horizontal="center" vertical="center" wrapText="1"/>
    </xf>
    <xf numFmtId="168" fontId="44" fillId="0" borderId="33" xfId="714" applyFont="1" applyFill="1" applyBorder="1" applyAlignment="1">
      <alignment horizontal="center" vertical="center" wrapText="1"/>
    </xf>
    <xf numFmtId="43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43" fontId="43" fillId="0" borderId="0" xfId="1615" applyNumberFormat="1" applyFont="1" applyAlignment="1">
      <alignment horizontal="left" vertical="center"/>
    </xf>
    <xf numFmtId="43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6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41" fontId="95" fillId="0" borderId="0" xfId="1448" applyNumberFormat="1" applyFont="1" applyAlignment="1">
      <alignment wrapText="1"/>
    </xf>
    <xf numFmtId="41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8" fontId="44" fillId="0" borderId="21" xfId="717" applyNumberFormat="1" applyFont="1" applyFill="1" applyBorder="1" applyAlignment="1" applyProtection="1">
      <alignment horizontal="center" vertical="center" wrapText="1"/>
    </xf>
    <xf numFmtId="41" fontId="44" fillId="0" borderId="21" xfId="1451" applyNumberFormat="1" applyFont="1" applyBorder="1" applyAlignment="1">
      <alignment horizontal="center" vertical="center" wrapText="1"/>
    </xf>
    <xf numFmtId="168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8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8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8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43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8" xfId="0" applyFont="1" applyFill="1" applyBorder="1" applyAlignment="1">
      <alignment horizontal="center" vertical="center"/>
    </xf>
    <xf numFmtId="0" fontId="119" fillId="33" borderId="69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41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8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2" fillId="0" borderId="0" xfId="1538"/>
    <xf numFmtId="43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43" fontId="0" fillId="0" borderId="3" xfId="1026" applyFont="1" applyFill="1" applyBorder="1" applyProtection="1"/>
    <xf numFmtId="43" fontId="112" fillId="0" borderId="3" xfId="1538" applyNumberFormat="1" applyBorder="1"/>
    <xf numFmtId="43" fontId="140" fillId="0" borderId="3" xfId="1026" applyFont="1" applyBorder="1" applyProtection="1"/>
    <xf numFmtId="43" fontId="0" fillId="0" borderId="3" xfId="1026" applyFont="1" applyBorder="1" applyProtection="1"/>
    <xf numFmtId="43" fontId="128" fillId="0" borderId="3" xfId="1538" applyNumberFormat="1" applyFont="1" applyBorder="1"/>
    <xf numFmtId="0" fontId="61" fillId="0" borderId="3" xfId="1538" applyFont="1" applyBorder="1"/>
    <xf numFmtId="41" fontId="112" fillId="0" borderId="3" xfId="1538" applyNumberFormat="1" applyBorder="1"/>
    <xf numFmtId="43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43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43" fontId="49" fillId="0" borderId="0" xfId="1538" applyNumberFormat="1" applyFont="1"/>
    <xf numFmtId="0" fontId="112" fillId="29" borderId="3" xfId="1538" applyFill="1" applyBorder="1"/>
    <xf numFmtId="168" fontId="112" fillId="29" borderId="3" xfId="1538" applyNumberFormat="1" applyFill="1" applyBorder="1" applyAlignment="1">
      <alignment horizontal="right"/>
    </xf>
    <xf numFmtId="166" fontId="112" fillId="0" borderId="0" xfId="1538" applyNumberFormat="1"/>
    <xf numFmtId="43" fontId="112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43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6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41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79" xfId="2670" applyFont="1" applyFill="1" applyBorder="1" applyAlignment="1">
      <alignment horizontal="left" vertical="center"/>
    </xf>
    <xf numFmtId="0" fontId="160" fillId="39" borderId="80" xfId="2670" applyFont="1" applyFill="1" applyBorder="1" applyAlignment="1">
      <alignment horizontal="center" vertical="center"/>
    </xf>
    <xf numFmtId="0" fontId="160" fillId="39" borderId="82" xfId="2670" applyFont="1" applyFill="1" applyBorder="1" applyAlignment="1">
      <alignment horizontal="left" vertical="center"/>
    </xf>
    <xf numFmtId="0" fontId="160" fillId="39" borderId="78" xfId="2670" applyFont="1" applyFill="1" applyBorder="1" applyAlignment="1">
      <alignment horizontal="center" vertical="center"/>
    </xf>
    <xf numFmtId="0" fontId="160" fillId="39" borderId="84" xfId="2670" applyFont="1" applyFill="1" applyBorder="1" applyAlignment="1">
      <alignment horizontal="left" vertical="center"/>
    </xf>
    <xf numFmtId="0" fontId="160" fillId="39" borderId="85" xfId="2670" applyFont="1" applyFill="1" applyBorder="1" applyAlignment="1">
      <alignment horizontal="center" vertical="center"/>
    </xf>
    <xf numFmtId="43" fontId="141" fillId="40" borderId="81" xfId="2672" applyFont="1" applyFill="1" applyBorder="1" applyAlignment="1" applyProtection="1">
      <alignment horizontal="right" vertical="center" wrapText="1"/>
      <protection locked="0"/>
    </xf>
    <xf numFmtId="43" fontId="141" fillId="40" borderId="83" xfId="2672" applyFont="1" applyFill="1" applyBorder="1" applyAlignment="1" applyProtection="1">
      <alignment horizontal="right" vertical="center"/>
      <protection locked="0"/>
    </xf>
    <xf numFmtId="168" fontId="141" fillId="40" borderId="83" xfId="2672" applyNumberFormat="1" applyFont="1" applyFill="1" applyBorder="1" applyAlignment="1" applyProtection="1">
      <alignment horizontal="right" vertical="center"/>
      <protection locked="0"/>
    </xf>
    <xf numFmtId="168" fontId="141" fillId="40" borderId="86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0" xfId="2673" applyFont="1" applyFill="1" applyBorder="1" applyAlignment="1">
      <alignment vertical="center" wrapText="1"/>
    </xf>
    <xf numFmtId="0" fontId="147" fillId="43" borderId="90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4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4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5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6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8" fontId="145" fillId="47" borderId="0" xfId="2672" applyNumberFormat="1" applyFont="1" applyFill="1" applyBorder="1" applyAlignment="1" applyProtection="1">
      <alignment horizontal="right" vertical="center"/>
    </xf>
    <xf numFmtId="0" fontId="10" fillId="0" borderId="21" xfId="1614" applyFont="1" applyBorder="1" applyAlignment="1">
      <alignment horizontal="center" vertical="center" wrapText="1"/>
    </xf>
    <xf numFmtId="0" fontId="92" fillId="0" borderId="97" xfId="1450" applyFont="1" applyBorder="1" applyAlignment="1">
      <alignment horizontal="left" vertical="center"/>
    </xf>
    <xf numFmtId="0" fontId="92" fillId="0" borderId="98" xfId="1450" applyFont="1" applyBorder="1" applyAlignment="1">
      <alignment horizontal="left" vertical="center"/>
    </xf>
    <xf numFmtId="0" fontId="92" fillId="0" borderId="40" xfId="1450" applyFont="1" applyBorder="1" applyAlignment="1">
      <alignment horizontal="center" vertical="center"/>
    </xf>
    <xf numFmtId="0" fontId="92" fillId="0" borderId="47" xfId="1450" applyFont="1" applyBorder="1" applyAlignment="1">
      <alignment horizontal="center" vertical="center"/>
    </xf>
    <xf numFmtId="0" fontId="43" fillId="0" borderId="20" xfId="1615" applyFont="1" applyBorder="1" applyAlignment="1">
      <alignment horizontal="center" vertical="center"/>
    </xf>
    <xf numFmtId="0" fontId="43" fillId="0" borderId="21" xfId="1615" applyFont="1" applyBorder="1" applyAlignment="1">
      <alignment horizontal="left" vertical="center" wrapText="1"/>
    </xf>
    <xf numFmtId="0" fontId="114" fillId="0" borderId="20" xfId="1653" applyFont="1" applyBorder="1" applyAlignment="1">
      <alignment horizontal="center" vertical="center"/>
    </xf>
    <xf numFmtId="0" fontId="175" fillId="0" borderId="20" xfId="1653" applyFont="1" applyBorder="1" applyAlignment="1">
      <alignment horizontal="center" vertical="center"/>
    </xf>
    <xf numFmtId="0" fontId="175" fillId="0" borderId="21" xfId="1653" applyFont="1" applyBorder="1" applyAlignment="1">
      <alignment vertical="center" wrapText="1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21" fillId="0" borderId="21" xfId="1451" applyBorder="1" applyAlignment="1">
      <alignment horizontal="left" wrapText="1"/>
    </xf>
    <xf numFmtId="0" fontId="4" fillId="0" borderId="21" xfId="1652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/>
    </xf>
    <xf numFmtId="0" fontId="116" fillId="33" borderId="0" xfId="0" applyFont="1" applyFill="1" applyAlignment="1">
      <alignment horizontal="left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16" fillId="33" borderId="0" xfId="0" quotePrefix="1" applyFont="1" applyFill="1" applyAlignment="1">
      <alignment horizontal="left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8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87" xfId="2673" applyFont="1" applyFill="1" applyBorder="1" applyAlignment="1">
      <alignment horizontal="center" vertical="center" wrapText="1"/>
    </xf>
    <xf numFmtId="0" fontId="164" fillId="42" borderId="88" xfId="2673" applyFont="1" applyFill="1" applyBorder="1" applyAlignment="1">
      <alignment horizontal="center" vertical="center" wrapText="1"/>
    </xf>
    <xf numFmtId="0" fontId="164" fillId="42" borderId="89" xfId="2673" applyFont="1" applyFill="1" applyBorder="1" applyAlignment="1">
      <alignment horizontal="center" vertical="center" wrapText="1"/>
    </xf>
    <xf numFmtId="166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66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1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3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166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1" xfId="2673" applyNumberFormat="1" applyFont="1" applyFill="1" applyBorder="1" applyAlignment="1">
      <alignment horizontal="center" vertical="center" wrapText="1"/>
    </xf>
    <xf numFmtId="0" fontId="164" fillId="41" borderId="87" xfId="2673" applyFont="1" applyFill="1" applyBorder="1" applyAlignment="1">
      <alignment horizontal="center" vertical="center" wrapText="1"/>
    </xf>
    <xf numFmtId="0" fontId="164" fillId="41" borderId="88" xfId="2673" applyFont="1" applyFill="1" applyBorder="1" applyAlignment="1">
      <alignment horizontal="center" vertical="center" wrapText="1"/>
    </xf>
    <xf numFmtId="0" fontId="164" fillId="41" borderId="89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6" xfId="2670" applyFill="1" applyBorder="1" applyAlignment="1">
      <alignment horizontal="center" vertical="center"/>
    </xf>
    <xf numFmtId="0" fontId="139" fillId="0" borderId="77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left" vertical="center"/>
    </xf>
    <xf numFmtId="0" fontId="92" fillId="33" borderId="40" xfId="0" applyFont="1" applyFill="1" applyBorder="1" applyAlignment="1">
      <alignment horizontal="left" vertical="center"/>
    </xf>
    <xf numFmtId="0" fontId="120" fillId="33" borderId="74" xfId="0" applyFont="1" applyFill="1" applyBorder="1" applyAlignment="1">
      <alignment horizontal="center" vertical="center" wrapText="1"/>
    </xf>
    <xf numFmtId="0" fontId="120" fillId="33" borderId="75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0" borderId="60" xfId="1450" applyFont="1" applyBorder="1" applyAlignment="1">
      <alignment horizontal="left" vertical="center"/>
    </xf>
    <xf numFmtId="0" fontId="92" fillId="0" borderId="61" xfId="1450" applyFont="1" applyBorder="1" applyAlignment="1">
      <alignment horizontal="left" vertical="center"/>
    </xf>
    <xf numFmtId="49" fontId="115" fillId="33" borderId="3" xfId="0" applyNumberFormat="1" applyFont="1" applyFill="1" applyBorder="1" applyAlignment="1">
      <alignment horizontal="center" vertical="center"/>
    </xf>
    <xf numFmtId="0" fontId="119" fillId="33" borderId="72" xfId="0" applyFont="1" applyFill="1" applyBorder="1" applyAlignment="1">
      <alignment horizontal="left" vertical="center"/>
    </xf>
    <xf numFmtId="0" fontId="119" fillId="33" borderId="73" xfId="0" applyFont="1" applyFill="1" applyBorder="1" applyAlignment="1">
      <alignment horizontal="left" vertical="center"/>
    </xf>
    <xf numFmtId="49" fontId="115" fillId="33" borderId="3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92" fillId="0" borderId="97" xfId="1450" applyFont="1" applyBorder="1" applyAlignment="1">
      <alignment horizontal="left" vertical="center"/>
    </xf>
    <xf numFmtId="0" fontId="92" fillId="0" borderId="98" xfId="1450" applyFont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quotePrefix="1" applyFont="1" applyAlignment="1">
      <alignment horizontal="left"/>
    </xf>
    <xf numFmtId="0" fontId="161" fillId="0" borderId="0" xfId="1451" applyFont="1" applyAlignment="1">
      <alignment horizontal="left"/>
    </xf>
  </cellXfs>
  <cellStyles count="512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3" xfId="3682" xr:uid="{FC6AEF61-9B3A-4953-998C-0C6AFC45D5D2}"/>
    <cellStyle name="Calculation 10 4" xfId="3591" xr:uid="{B655F429-28BF-45C6-93BF-B407E7B9A907}"/>
    <cellStyle name="Calculation 10 5" xfId="4419" xr:uid="{3E592471-91F9-4CB2-8E02-85555E15D4F4}"/>
    <cellStyle name="Calculation 10 6" xfId="4601" xr:uid="{BD7201DA-B766-4AFA-A35B-995DFCE275CE}"/>
    <cellStyle name="Calculation 10 7" xfId="4728" xr:uid="{B6F45539-E456-4164-8C94-BE69290A6A9F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3" xfId="3681" xr:uid="{49265FCD-15EE-4F3D-98E8-26B740BA12AD}"/>
    <cellStyle name="Calculation 11 4" xfId="3592" xr:uid="{E2179F3A-FB95-4FF9-A8A9-829217F6D160}"/>
    <cellStyle name="Calculation 11 5" xfId="4711" xr:uid="{D64260B7-FBEF-48B8-9CF7-7AFA3FF428F8}"/>
    <cellStyle name="Calculation 11 6" xfId="4602" xr:uid="{00BA2FCC-CC51-4E17-8741-E75C5F7AEAE7}"/>
    <cellStyle name="Calculation 11 7" xfId="4727" xr:uid="{C35DA139-53DB-417E-B7F7-1C705DB75E8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3" xfId="3680" xr:uid="{6B0320A4-A2D3-4406-89CB-8BDD606492C2}"/>
    <cellStyle name="Calculation 12 4" xfId="3593" xr:uid="{224B4B05-29BD-4E94-87A2-DC2338ADB2FE}"/>
    <cellStyle name="Calculation 12 5" xfId="4710" xr:uid="{163176CD-04D1-4303-91DA-BEAD47DB4E15}"/>
    <cellStyle name="Calculation 12 6" xfId="4603" xr:uid="{668CAA00-5EFF-4097-B644-4F4519166298}"/>
    <cellStyle name="Calculation 12 7" xfId="4726" xr:uid="{BA6DA858-AAE1-440A-A753-8F3AEFB218A2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3" xfId="3679" xr:uid="{FEAAD657-80FF-4B3F-A165-C830F32FE787}"/>
    <cellStyle name="Calculation 13 4" xfId="3594" xr:uid="{241B265A-9BBA-4E2E-9F9C-501A42D0E722}"/>
    <cellStyle name="Calculation 13 5" xfId="4423" xr:uid="{622CF4E8-D14D-4F08-9A1C-3D2C18D7B0B9}"/>
    <cellStyle name="Calculation 13 6" xfId="4604" xr:uid="{2567DD98-B3EA-44A2-ACB7-DC572E477203}"/>
    <cellStyle name="Calculation 13 7" xfId="4725" xr:uid="{EDA561DC-9B0B-4F05-87D3-02A507A6CD7C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3" xfId="3678" xr:uid="{699905E9-41AD-4FDE-870F-27C8345502F9}"/>
    <cellStyle name="Calculation 14 4" xfId="3595" xr:uid="{90E91377-8151-4422-A0AD-88AE8F1187A2}"/>
    <cellStyle name="Calculation 14 5" xfId="4418" xr:uid="{ACB2DCE2-9A57-4E85-88F4-C4236A8A0C1B}"/>
    <cellStyle name="Calculation 14 6" xfId="4605" xr:uid="{4C8FDA69-3499-4DAA-B3C2-02645A90BD07}"/>
    <cellStyle name="Calculation 14 7" xfId="4724" xr:uid="{A19388A1-A2EA-4721-84D1-5DB09B8AB573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3" xfId="3677" xr:uid="{AE8EC5A1-839F-4732-86B7-46096DDCDE12}"/>
    <cellStyle name="Calculation 15 4" xfId="3596" xr:uid="{F6F418C4-4533-4F5F-82AD-3A41AEEC2F1A}"/>
    <cellStyle name="Calculation 15 5" xfId="4417" xr:uid="{975A673C-FFEC-494D-A941-BED90BDBB1A3}"/>
    <cellStyle name="Calculation 15 6" xfId="4606" xr:uid="{2E75ECCB-4F74-49DD-BB4D-E228A066BD10}"/>
    <cellStyle name="Calculation 15 7" xfId="4723" xr:uid="{27AB441A-D361-4D5F-9B05-18D2F1754CD7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3" xfId="3676" xr:uid="{04128D6D-B053-499F-A46D-04800D3E2238}"/>
    <cellStyle name="Calculation 16 4" xfId="3597" xr:uid="{3D44A7A2-C6CF-4D05-A0A9-C885E61A480F}"/>
    <cellStyle name="Calculation 16 5" xfId="4709" xr:uid="{19F88138-B624-4061-B2FC-B7683D2BFCB6}"/>
    <cellStyle name="Calculation 16 6" xfId="4607" xr:uid="{E638084A-6358-4B07-9C8E-ED17F1CF37AB}"/>
    <cellStyle name="Calculation 16 7" xfId="4722" xr:uid="{B5E77468-8608-4779-82AE-1A962300BDE0}"/>
    <cellStyle name="Calculation 17" xfId="3717" xr:uid="{E31DC55E-44B3-4C15-A94E-F3616F11BE52}"/>
    <cellStyle name="Calculation 18" xfId="3723" xr:uid="{EC2A906A-06C9-4A0E-94F7-4560E7890D96}"/>
    <cellStyle name="Calculation 19" xfId="4768" xr:uid="{0F757056-B196-48F2-AD21-CFE864EFC6DC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3" xfId="3674" xr:uid="{1718B1CA-B296-4F88-91A1-CEFE7FA5ECD3}"/>
    <cellStyle name="Calculation 2 2 4" xfId="3599" xr:uid="{033BE833-D9EB-4371-8EBF-964B97BF4DAA}"/>
    <cellStyle name="Calculation 2 2 5" xfId="4707" xr:uid="{163E705B-693F-4419-9BCB-783B79A60FE0}"/>
    <cellStyle name="Calculation 2 2 6" xfId="4609" xr:uid="{8256E356-3991-4287-A30F-4F9F761DDF87}"/>
    <cellStyle name="Calculation 2 2 7" xfId="4720" xr:uid="{2293315F-51A1-4D41-B721-E4AA38F0F310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3" xfId="3673" xr:uid="{31BF3874-959B-4CF2-B304-75AE18E9AE5B}"/>
    <cellStyle name="Calculation 2 3 4" xfId="3600" xr:uid="{2CB8C117-701D-45BB-A598-D9148D263A48}"/>
    <cellStyle name="Calculation 2 3 5" xfId="4706" xr:uid="{7734E199-B3B9-476B-9282-256354E2AD33}"/>
    <cellStyle name="Calculation 2 3 6" xfId="4610" xr:uid="{23CBF0D2-066D-471A-A6C3-45745DEA2E96}"/>
    <cellStyle name="Calculation 2 3 7" xfId="4719" xr:uid="{68920D80-3C00-4D76-BDF1-A4E972381C0B}"/>
    <cellStyle name="Calculation 2 4" xfId="487" xr:uid="{00000000-0005-0000-0000-0000E6010000}"/>
    <cellStyle name="Calculation 2 4 2" xfId="3908" xr:uid="{3A7BEF43-6E48-46CA-9B78-B8F34725A269}"/>
    <cellStyle name="Calculation 2 5" xfId="3675" xr:uid="{057B7AF0-40C9-4BD3-844F-72456D2A9274}"/>
    <cellStyle name="Calculation 2 6" xfId="3598" xr:uid="{035455AE-63C5-4666-9AFD-1E3A1F915273}"/>
    <cellStyle name="Calculation 2 7" xfId="4708" xr:uid="{09E28E25-6AF2-4C25-834E-EA3A177B2FE0}"/>
    <cellStyle name="Calculation 2 8" xfId="4608" xr:uid="{9E460217-80AD-45BC-B7DC-D73221FCCA0F}"/>
    <cellStyle name="Calculation 2 9" xfId="4721" xr:uid="{05F1DCFF-1953-4CFB-B534-5808CF4FAA7D}"/>
    <cellStyle name="Calculation 20" xfId="4789" xr:uid="{8DE1E537-898B-4B20-A3AB-90B2E45B3822}"/>
    <cellStyle name="Calculation 21" xfId="4953" xr:uid="{C1116C9C-6B04-4EFD-8763-5F873EC40686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3" xfId="3672" xr:uid="{E5879892-07DD-4EBC-907F-C27620EC2FC3}"/>
    <cellStyle name="Calculation 3 4" xfId="3601" xr:uid="{C25E7B5E-8DDA-4350-B230-18D8A3EA4AF4}"/>
    <cellStyle name="Calculation 3 5" xfId="4705" xr:uid="{81ACEE78-AE42-406B-9E5C-86850B678770}"/>
    <cellStyle name="Calculation 3 6" xfId="4611" xr:uid="{FD5C4E7B-62FB-42F7-89AB-3226AD387C26}"/>
    <cellStyle name="Calculation 3 7" xfId="4718" xr:uid="{276B2D26-33E3-4716-9F2F-644224F6F2E8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3" xfId="3671" xr:uid="{6AEAFCB9-5231-47F7-9505-42C8FB83BBF0}"/>
    <cellStyle name="Calculation 4 4" xfId="3602" xr:uid="{7D0D1C41-630E-42C8-9488-1F0788B8B9D7}"/>
    <cellStyle name="Calculation 4 5" xfId="4704" xr:uid="{2EFCFE79-F18E-42DA-892B-88733BE75690}"/>
    <cellStyle name="Calculation 4 6" xfId="4612" xr:uid="{5CC5BDEB-D324-42AC-857D-5B1B52CFB904}"/>
    <cellStyle name="Calculation 4 7" xfId="4717" xr:uid="{055503F5-683D-4CD9-BC47-9D13493D64A4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3" xfId="3670" xr:uid="{42D94F41-20DA-4CF7-92DB-85197F0B8661}"/>
    <cellStyle name="Calculation 5 4" xfId="3603" xr:uid="{9A06A685-528B-4267-AC6F-5615A807F909}"/>
    <cellStyle name="Calculation 5 5" xfId="4703" xr:uid="{A1965D98-5327-49EB-9330-CE47DB889C2D}"/>
    <cellStyle name="Calculation 5 6" xfId="4613" xr:uid="{E3F089EF-A417-4549-A2AA-7627E572123D}"/>
    <cellStyle name="Calculation 5 7" xfId="4716" xr:uid="{6163CF86-08C1-4C9F-A8D9-9B6D77C216C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3" xfId="3669" xr:uid="{BF3E1D3E-2AE4-4054-BB93-CAA66C993C5B}"/>
    <cellStyle name="Calculation 6 4" xfId="3604" xr:uid="{7F337BCC-54FC-4C80-BBF0-FD9533CF61EE}"/>
    <cellStyle name="Calculation 6 5" xfId="4702" xr:uid="{4C113038-F5FD-4CC7-90CD-690C6289EA56}"/>
    <cellStyle name="Calculation 6 6" xfId="4614" xr:uid="{84D6A9E7-23EE-40A2-AB2B-EB66A59E087E}"/>
    <cellStyle name="Calculation 6 7" xfId="4715" xr:uid="{80129318-747D-461C-8F2E-019B320AD1F7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3" xfId="3668" xr:uid="{C97DD6BA-705C-48D9-8EEF-EDD3731712CD}"/>
    <cellStyle name="Calculation 7 4" xfId="3605" xr:uid="{1503EC32-E1F2-4C0B-AA36-0DBB83DC29E3}"/>
    <cellStyle name="Calculation 7 5" xfId="4701" xr:uid="{0883A7BF-DE8A-49DB-B9E8-7D1977D05606}"/>
    <cellStyle name="Calculation 7 6" xfId="4615" xr:uid="{B8C7B53D-B539-413C-9895-A306E319125F}"/>
    <cellStyle name="Calculation 7 7" xfId="4714" xr:uid="{136C56C1-CD9F-464D-AC1B-6BA6ED04F218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3" xfId="3667" xr:uid="{0926AF0E-11A0-4E04-BAA4-9550DDF02D6A}"/>
    <cellStyle name="Calculation 8 4" xfId="3606" xr:uid="{C5DDA028-9262-402D-86D5-CCB9A838208A}"/>
    <cellStyle name="Calculation 8 5" xfId="4700" xr:uid="{EB88FBD7-FB1A-4C18-AFE7-D2D56A0D8614}"/>
    <cellStyle name="Calculation 8 6" xfId="4616" xr:uid="{B692DE36-0397-4E1C-82E1-BE88C49253BD}"/>
    <cellStyle name="Calculation 8 7" xfId="4713" xr:uid="{EBC7C8F9-4DED-43D8-B885-D5C5927D806A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3" xfId="3666" xr:uid="{97810E95-0FDD-4506-8D83-5627D31ED025}"/>
    <cellStyle name="Calculation 9 4" xfId="3607" xr:uid="{D2758DFD-0E23-4403-9E33-3A55A33AD304}"/>
    <cellStyle name="Calculation 9 5" xfId="4699" xr:uid="{BAA57479-2313-4E22-AF22-29D9F094272C}"/>
    <cellStyle name="Calculation 9 6" xfId="4617" xr:uid="{6A2C8267-F976-4FCA-AFAA-CA796DC1CB80}"/>
    <cellStyle name="Calculation 9 7" xfId="4712" xr:uid="{46A38011-2BA6-43C6-82BD-B5EC686BCFAB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665" xr:uid="{F22A5773-669A-44CE-BC87-F82CFE6BEBDD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671" xr:uid="{B886C8A7-2F01-4CBB-801D-F98363650A47}"/>
    <cellStyle name="Draw lines around data in range 6" xfId="4674" xr:uid="{0FEEDB7E-8C7B-4017-A0CF-C1F07FFFEA45}"/>
    <cellStyle name="Draw lines around data in range 7" xfId="4673" xr:uid="{82476046-5F9E-4555-ADCC-EA094BA28DF9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670" xr:uid="{C094F61F-D02B-44DF-A84D-AFF0C4630939}"/>
    <cellStyle name="Draw shadow and lines within range 6" xfId="4675" xr:uid="{927145FD-482C-4754-8F87-A743670CB088}"/>
    <cellStyle name="Draw shadow and lines within range 7" xfId="4672" xr:uid="{75D2CF5E-83BB-4473-954E-9B92CBA86388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3" xfId="3634" xr:uid="{59883E9C-A3BA-4332-BC55-2415578A1943}"/>
    <cellStyle name="Format a row of totals 4" xfId="3641" xr:uid="{5904F3BF-F20E-4331-BBAA-43B4C949CA60}"/>
    <cellStyle name="Format a row of totals 5" xfId="4667" xr:uid="{61470EC1-AEF4-449B-B286-E6D4377321B2}"/>
    <cellStyle name="Format a row of totals 6" xfId="4676" xr:uid="{08867776-4A7A-44B9-A228-AB279A99690C}"/>
    <cellStyle name="Format a row of totals 7" xfId="4669" xr:uid="{F77BE34C-364F-4FB1-BC39-AE272D0AC412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666" xr:uid="{CA09BA7F-CF8B-49E0-BF4F-D69D789F05A3}"/>
    <cellStyle name="Format text as bold, black on yellow 6" xfId="4677" xr:uid="{7862F7A1-28FA-4E84-8E9A-2544A5A0A2E8}"/>
    <cellStyle name="Format text as bold, black on yellow 7" xfId="4668" xr:uid="{D82620E9-A4F8-4A60-B690-6D02F7B54133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3" xfId="3631" xr:uid="{9E15F01B-623A-410B-90FD-FF76974ADC1C}"/>
    <cellStyle name="Input 10 4" xfId="3643" xr:uid="{185635B6-BA8F-454D-BD36-0059101CE4A3}"/>
    <cellStyle name="Input 10 5" xfId="4653" xr:uid="{79DD5DA7-74DC-4CC7-8AAE-77804BF17466}"/>
    <cellStyle name="Input 10 6" xfId="4678" xr:uid="{1F5C035D-34EA-4D8B-9DA3-5CF60722BD0E}"/>
    <cellStyle name="Input 10 7" xfId="4664" xr:uid="{0BA32491-7CB5-468C-857D-5D7190F5A602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3" xfId="3630" xr:uid="{FDB4B1F3-3A6A-4DB3-B956-7837CDC781EB}"/>
    <cellStyle name="Input 11 4" xfId="3644" xr:uid="{64BC5015-6597-4D79-B5FB-D3400530AD8A}"/>
    <cellStyle name="Input 11 5" xfId="4652" xr:uid="{30F8C009-5076-4837-A197-93E8B9751BD1}"/>
    <cellStyle name="Input 11 6" xfId="4679" xr:uid="{1A281211-B9B2-4C3E-B497-A82DE29A0CE6}"/>
    <cellStyle name="Input 11 7" xfId="4663" xr:uid="{681A2F8B-B826-4DE1-A7B2-791A3502BE00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3" xfId="3629" xr:uid="{B151740C-786A-4C5A-B664-8ACA03067F61}"/>
    <cellStyle name="Input 12 4" xfId="3403" xr:uid="{D8E4C416-0E41-4561-8E98-3A51A80C1BAD}"/>
    <cellStyle name="Input 12 5" xfId="4651" xr:uid="{BC536431-7A14-43D7-BEFB-21A2AE35B57F}"/>
    <cellStyle name="Input 12 6" xfId="4680" xr:uid="{6014214D-F591-4C69-B4BE-AF703AC1F559}"/>
    <cellStyle name="Input 12 7" xfId="4662" xr:uid="{D32F1241-9C4A-45DB-A3A4-4C5403EBEE2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3" xfId="3628" xr:uid="{9C90BD0C-C16C-442E-A10A-E27747DC2FAF}"/>
    <cellStyle name="Input 13 4" xfId="3645" xr:uid="{604D21ED-C645-4AFB-AD3A-F60304F3827E}"/>
    <cellStyle name="Input 13 5" xfId="4650" xr:uid="{D497BEDC-571F-444B-9938-D827C808C500}"/>
    <cellStyle name="Input 13 6" xfId="4426" xr:uid="{7627E49F-3E7F-465B-B63D-BE1E90EA4070}"/>
    <cellStyle name="Input 13 7" xfId="4661" xr:uid="{04CC8638-362A-4FE8-B982-B53219A96CAA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3" xfId="3627" xr:uid="{91DABBD7-5B2A-4B01-B035-74FCC1D9AED7}"/>
    <cellStyle name="Input 14 4" xfId="3646" xr:uid="{840A6920-97CA-4005-8972-B86A33A727E0}"/>
    <cellStyle name="Input 14 5" xfId="4649" xr:uid="{C7915AF2-8DED-4592-BF56-FEE85BD3AB5F}"/>
    <cellStyle name="Input 14 6" xfId="4681" xr:uid="{7E351C00-CEE4-4D27-9E79-39B839386D18}"/>
    <cellStyle name="Input 14 7" xfId="4660" xr:uid="{7F0F723A-A394-49D8-90E0-D95F8F4CACBA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3" xfId="3626" xr:uid="{CD34BDA4-F48B-4399-B781-4CB144500259}"/>
    <cellStyle name="Input 15 4" xfId="3647" xr:uid="{2EE379DB-E30A-4361-B66B-94655DFA0A1A}"/>
    <cellStyle name="Input 15 5" xfId="4648" xr:uid="{3DBF044E-2807-4EF6-B09D-6D53723FBDD7}"/>
    <cellStyle name="Input 15 6" xfId="4682" xr:uid="{E5B88ACD-1648-49CC-BCB3-F58C444F291E}"/>
    <cellStyle name="Input 15 7" xfId="4659" xr:uid="{A4389D7A-CB08-4B10-97EB-FF5A9B67E7BF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3" xfId="3625" xr:uid="{0D7A49DD-9A91-4C6A-B1C9-1FA366FB0CFE}"/>
    <cellStyle name="Input 16 4" xfId="3648" xr:uid="{05C94ECF-3627-4B9C-BE40-9163E6AA4224}"/>
    <cellStyle name="Input 16 5" xfId="4647" xr:uid="{5793860B-1E4F-4733-A18D-3F0A0221D527}"/>
    <cellStyle name="Input 16 6" xfId="4683" xr:uid="{EB713176-D01D-4754-8383-0C9A559F4515}"/>
    <cellStyle name="Input 16 7" xfId="4658" xr:uid="{125E211A-D5D2-481E-A270-B6B1E952B27A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3" xfId="3624" xr:uid="{34EB2CD2-198F-4EA0-B8C1-9B509200BC8D}"/>
    <cellStyle name="Input 17 4" xfId="3649" xr:uid="{8C6BB267-608D-4B53-B279-10B3DB2C6F12}"/>
    <cellStyle name="Input 17 5" xfId="4646" xr:uid="{340AAC03-FA61-4DDC-992D-6EE9B2ED47E3}"/>
    <cellStyle name="Input 17 6" xfId="4684" xr:uid="{0032C43F-80B6-4F2B-A623-D30E453A5ACA}"/>
    <cellStyle name="Input 17 7" xfId="4657" xr:uid="{C9B3744C-C6AE-4759-8366-F1B4DFFE7A79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3" xfId="3623" xr:uid="{0C2D6B64-B18B-499C-A093-5D1B0BBD630B}"/>
    <cellStyle name="Input 18 4" xfId="3650" xr:uid="{D44CE9DC-8AFF-40AD-9976-F673282A90C3}"/>
    <cellStyle name="Input 18 5" xfId="4645" xr:uid="{7ED0F5C5-76C0-4DCF-ABCA-8657D414BE4E}"/>
    <cellStyle name="Input 18 6" xfId="4685" xr:uid="{2F45E6C3-DFE7-4E13-8996-5BBFDBF8ABF6}"/>
    <cellStyle name="Input 18 7" xfId="4656" xr:uid="{C114A421-A4A1-40BC-839E-EF9620C42B29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3" xfId="3622" xr:uid="{08AA1154-D682-4668-B4AC-D9CD0C994BDD}"/>
    <cellStyle name="Input 19 4" xfId="3651" xr:uid="{9338EA3E-C701-4ABD-B890-FEC58562C4FF}"/>
    <cellStyle name="Input 19 5" xfId="4644" xr:uid="{0508FA80-CBF2-4947-9570-754199C3600D}"/>
    <cellStyle name="Input 19 6" xfId="4686" xr:uid="{CA58161B-BB85-49F5-B3BE-8C34C6FCC87E}"/>
    <cellStyle name="Input 19 7" xfId="4655" xr:uid="{9737E417-08B5-496A-AEDA-00DE74DD5EBB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3" xfId="3620" xr:uid="{69741AAF-C562-47D2-B8E5-F79F5ECD709F}"/>
    <cellStyle name="Input 2 2 4" xfId="3653" xr:uid="{A732DDBC-11CC-4CC0-9D82-03359556332C}"/>
    <cellStyle name="Input 2 2 5" xfId="4642" xr:uid="{BBE9A3A9-69B3-4F23-BDF9-20CC299326A4}"/>
    <cellStyle name="Input 2 2 6" xfId="4416" xr:uid="{56AB6296-DC2B-486A-AFEC-F31739D4DC49}"/>
    <cellStyle name="Input 2 2 7" xfId="4629" xr:uid="{94A9CC14-FFC2-44C1-840B-F47CE7091226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3" xfId="3619" xr:uid="{A166ECD6-0DDA-46A6-B4BE-3E7DC68008F6}"/>
    <cellStyle name="Input 2 3 4" xfId="3654" xr:uid="{16663D59-111F-47A4-B1EE-8C1E0F2CD8C9}"/>
    <cellStyle name="Input 2 3 5" xfId="4641" xr:uid="{E4D7F1DE-D0F9-4AA8-8D8E-4571401908D8}"/>
    <cellStyle name="Input 2 3 6" xfId="4688" xr:uid="{881D6008-F3C3-48BC-AD85-9DD43E5EF792}"/>
    <cellStyle name="Input 2 3 7" xfId="4628" xr:uid="{EE5B5D34-B343-447A-8F46-BF59D7DD3F4D}"/>
    <cellStyle name="Input 2 4" xfId="1373" xr:uid="{00000000-0005-0000-0000-00005D050000}"/>
    <cellStyle name="Input 2 4 2" xfId="4170" xr:uid="{E3D35EEE-7F46-4CFD-9F62-016FCF66FA19}"/>
    <cellStyle name="Input 2 5" xfId="3621" xr:uid="{C6A34531-B4ED-41CD-96EE-6A20DDEE49C4}"/>
    <cellStyle name="Input 2 6" xfId="3652" xr:uid="{A309B868-13F4-4902-9A64-DDB13455D57B}"/>
    <cellStyle name="Input 2 7" xfId="4643" xr:uid="{D8677EE1-C3F6-4FF1-9209-C7EE36E8C0C4}"/>
    <cellStyle name="Input 2 8" xfId="4687" xr:uid="{F114DEE7-80B9-43B2-87BB-389A732C4899}"/>
    <cellStyle name="Input 2 9" xfId="4654" xr:uid="{7A988AB3-7D36-409A-9F69-3D5C5810AC08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3" xfId="3618" xr:uid="{6CAFABA3-81EF-4481-B797-652F5DB53334}"/>
    <cellStyle name="Input 20 4" xfId="3655" xr:uid="{FA442496-58F9-424C-AFE5-2EE253AB8104}"/>
    <cellStyle name="Input 20 5" xfId="4640" xr:uid="{E5FA5CD6-2D13-414F-AA52-E71D5E228BAD}"/>
    <cellStyle name="Input 20 6" xfId="4689" xr:uid="{B026E3ED-8DBA-4EC3-874E-36BE731E3A73}"/>
    <cellStyle name="Input 20 7" xfId="4627" xr:uid="{206D5557-8425-4E29-AF6F-9746B19174C8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3" xfId="3617" xr:uid="{5ADBAC3D-4DE9-48D0-A8EC-578CFD49037E}"/>
    <cellStyle name="Input 21 4" xfId="3656" xr:uid="{617B4D88-F26B-44E4-A44C-24E0F85E51C5}"/>
    <cellStyle name="Input 21 5" xfId="4639" xr:uid="{795AEBC9-2EDE-4ABC-BE78-32DDBBD94C84}"/>
    <cellStyle name="Input 21 6" xfId="4690" xr:uid="{1ED1F309-60BD-445D-8A31-C2DCE665C01B}"/>
    <cellStyle name="Input 21 7" xfId="4626" xr:uid="{49CAA774-98B8-4BDF-8A54-D2231728F5FF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15" xr:uid="{9DDBF814-E7E1-44C3-ADB3-E8F8234FA011}"/>
    <cellStyle name="Input 29" xfId="4767" xr:uid="{FADCE5CD-8ED4-417F-B390-8DF68FCC515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3" xfId="3615" xr:uid="{88B86E0E-290A-49B2-A8F3-0504D28F2927}"/>
    <cellStyle name="Input 3 2 4" xfId="3658" xr:uid="{CDA5ADFA-114F-44B8-BDCE-88D37E2B561B}"/>
    <cellStyle name="Input 3 2 5" xfId="4637" xr:uid="{D7833E19-90DD-45A4-8B48-298D8AAA386C}"/>
    <cellStyle name="Input 3 2 6" xfId="4692" xr:uid="{9048E866-96AA-47BA-9F39-F1FA9AD54C68}"/>
    <cellStyle name="Input 3 2 7" xfId="4766" xr:uid="{BE4FD2AA-508F-47DD-A45E-ADE1B2AA9393}"/>
    <cellStyle name="Input 3 3" xfId="1381" xr:uid="{00000000-0005-0000-0000-000065050000}"/>
    <cellStyle name="Input 3 3 2" xfId="4174" xr:uid="{F9647545-2E26-4846-AABB-DF051F872212}"/>
    <cellStyle name="Input 3 4" xfId="3616" xr:uid="{3A0EE516-E0DF-4BD7-B8B6-D66792CFFB83}"/>
    <cellStyle name="Input 3 5" xfId="3657" xr:uid="{9592CC59-6A1B-4BD8-8E25-1B0B77FD038C}"/>
    <cellStyle name="Input 3 6" xfId="4638" xr:uid="{14D4E7B7-C179-4D35-9448-68BDC50C2BCB}"/>
    <cellStyle name="Input 3 7" xfId="4691" xr:uid="{A15F5DAB-F4EA-4E54-BCDA-B7FD0F7DD2CB}"/>
    <cellStyle name="Input 3 8" xfId="4625" xr:uid="{1C3C4B49-2837-4908-9BD6-0181B26D0CD5}"/>
    <cellStyle name="Input 30" xfId="4788" xr:uid="{D2DCF180-5A20-4BC8-8593-75EFA1061C06}"/>
    <cellStyle name="Input 31" xfId="4952" xr:uid="{330B818C-A93D-46F5-87B4-02373D1E6B2B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3" xfId="3613" xr:uid="{5A377356-3073-4FF4-B377-B8C51B42E942}"/>
    <cellStyle name="Input 4 2 4" xfId="3660" xr:uid="{DC9E134D-C267-4C51-A85B-5E17CEE3B52B}"/>
    <cellStyle name="Input 4 2 5" xfId="4635" xr:uid="{C3B8183E-83F6-49B9-8AE2-3966D5344669}"/>
    <cellStyle name="Input 4 2 6" xfId="4693" xr:uid="{517C9A22-5985-428F-B430-5A7256B57A4D}"/>
    <cellStyle name="Input 4 2 7" xfId="4623" xr:uid="{CD3EC590-CF1D-4CCF-ADC9-F8E1D4CEC6B7}"/>
    <cellStyle name="Input 4 3" xfId="1385" xr:uid="{00000000-0005-0000-0000-000069050000}"/>
    <cellStyle name="Input 4 3 2" xfId="4176" xr:uid="{B6522B9F-EB12-4EF9-A7D9-390BE1DEDF3A}"/>
    <cellStyle name="Input 4 4" xfId="3614" xr:uid="{24169DD6-5894-4CC1-BE69-B61D52C83021}"/>
    <cellStyle name="Input 4 5" xfId="3659" xr:uid="{A784B56B-7650-4648-8534-2B9F5AE0EF60}"/>
    <cellStyle name="Input 4 6" xfId="4636" xr:uid="{05BD53A8-F887-4916-9A2B-ED525B30393C}"/>
    <cellStyle name="Input 4 7" xfId="4422" xr:uid="{91AFFF16-10A9-4E60-971D-14224C4B897D}"/>
    <cellStyle name="Input 4 8" xfId="4624" xr:uid="{B154D7BB-10C7-42B3-AD93-6BE7678C834C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3" xfId="3612" xr:uid="{C0ECC8AF-F35F-4F2D-B8A4-7691F494F593}"/>
    <cellStyle name="Input 5 4" xfId="3661" xr:uid="{6528565D-F371-455F-898D-E0E31FE4D139}"/>
    <cellStyle name="Input 5 5" xfId="4634" xr:uid="{7D0D12C2-ADC7-4E58-9F3B-C77F19A8D42D}"/>
    <cellStyle name="Input 5 6" xfId="4694" xr:uid="{5325B05C-B9A2-4173-AA83-6AE3D4597038}"/>
    <cellStyle name="Input 5 7" xfId="4622" xr:uid="{36B113BD-6B11-4825-B0D7-96ACC9D17DCC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3" xfId="3611" xr:uid="{9B066DE3-4BA7-4F33-AC55-FB940D486AB3}"/>
    <cellStyle name="Input 6 4" xfId="3662" xr:uid="{92DABE5F-97E3-41FF-8798-5FC5D1D6DF4B}"/>
    <cellStyle name="Input 6 5" xfId="4633" xr:uid="{3C924A3C-335E-4280-B8A0-7B664E8155CA}"/>
    <cellStyle name="Input 6 6" xfId="4695" xr:uid="{3AC96980-F272-4CDB-A874-BA042F273AF5}"/>
    <cellStyle name="Input 6 7" xfId="4621" xr:uid="{C49CEF18-DE3F-4635-9826-20741C368A17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3" xfId="3610" xr:uid="{84E4764C-9C48-47C0-9995-1FF14785D200}"/>
    <cellStyle name="Input 7 4" xfId="3663" xr:uid="{3AED04F1-6CA4-47A0-A73A-90F854D5EFBF}"/>
    <cellStyle name="Input 7 5" xfId="4632" xr:uid="{D60BE27B-0698-47F0-8FB4-780F1D75C704}"/>
    <cellStyle name="Input 7 6" xfId="4696" xr:uid="{FA5CC94E-26E3-45F5-A325-04D85ED26AFD}"/>
    <cellStyle name="Input 7 7" xfId="4620" xr:uid="{CAE8955A-1342-4266-89EE-E6031B7B370D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3" xfId="3609" xr:uid="{90AF3169-BA5D-4DA7-9BC5-F037E84A7E49}"/>
    <cellStyle name="Input 8 4" xfId="3664" xr:uid="{749988D3-251A-4C1B-9A49-C37648722EAE}"/>
    <cellStyle name="Input 8 5" xfId="4631" xr:uid="{A8B3DBEB-5C25-494A-9B52-EFCF2150F12D}"/>
    <cellStyle name="Input 8 6" xfId="4697" xr:uid="{7B86E9B9-3B5A-49C8-9705-4B8BE583BD0C}"/>
    <cellStyle name="Input 8 7" xfId="4619" xr:uid="{F1BB5FEA-A310-403A-BA2A-2551489A32D1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3" xfId="3608" xr:uid="{8CB7C364-2960-4899-848A-F0F15EF3B567}"/>
    <cellStyle name="Input 9 4" xfId="3665" xr:uid="{BCD3A065-913D-431C-ADBA-0BB602279C4B}"/>
    <cellStyle name="Input 9 5" xfId="4630" xr:uid="{5A729FC5-E47F-4086-BFB7-2CDBB552C6E8}"/>
    <cellStyle name="Input 9 6" xfId="4698" xr:uid="{B787988F-3092-4A87-B689-8BCD14CD9C4B}"/>
    <cellStyle name="Input 9 7" xfId="4618" xr:uid="{17707F77-7CB0-4E60-90F9-D22A2FB5F0A2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3" xfId="4182" xr:uid="{3CC2BC0D-C486-42BA-B7F5-354B5936946A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3" xfId="4184" xr:uid="{EB668996-7777-4974-83AE-00F74C641A87}"/>
    <cellStyle name="Normal 135" xfId="1536" xr:uid="{00000000-0005-0000-0000-000001060000}"/>
    <cellStyle name="Normal 135 2" xfId="4186" xr:uid="{1D3C6348-7925-4E07-8779-4108399AF423}"/>
    <cellStyle name="Normal 136" xfId="1537" xr:uid="{00000000-0005-0000-0000-000002060000}"/>
    <cellStyle name="Normal 136 2" xfId="4187" xr:uid="{CC16C93C-2663-43B7-AA81-4F5C06CC4D53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3" xfId="4189" xr:uid="{0557A355-FE71-48BE-8A52-773C0EE05A5E}"/>
    <cellStyle name="Normal 137 3" xfId="2670" xr:uid="{DE2FAB10-EC26-4C42-9A25-5D9F87A07F8A}"/>
    <cellStyle name="Normal 137 4" xfId="4188" xr:uid="{80344B34-BD7F-4A40-B8F0-FB7C336A988D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3" xfId="4191" xr:uid="{7483AA81-4B29-4340-A0A1-E2651EF652A4}"/>
    <cellStyle name="Normal 2 5 3" xfId="1754" xr:uid="{00000000-0005-0000-0000-0000DB060000}"/>
    <cellStyle name="Normal 2 5 3 2" xfId="4193" xr:uid="{1CE67BCA-536C-47FA-BD4B-0C4A2C506E6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24" xr:uid="{B250C60C-6616-4BF2-98C8-8790CC3D9729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21" xr:uid="{EBDC478B-5819-4280-9B54-C23384BEAE79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729" xr:uid="{7C84B1D0-C581-47DD-A8B9-9F8FE1FC0BC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730" xr:uid="{1D9809AA-26B2-45CC-BB31-645C846E217B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3" xfId="3568" xr:uid="{F4DC7545-2D0B-4172-A83F-68B4145E4283}"/>
    <cellStyle name="Note 10 2 4" xfId="3686" xr:uid="{883B94DA-CCD6-467F-A2F5-24CFE9B9983B}"/>
    <cellStyle name="Note 10 2 5" xfId="4583" xr:uid="{6CB30158-98D8-4AB7-97B8-ED40A9DDE2F0}"/>
    <cellStyle name="Note 10 2 6" xfId="4732" xr:uid="{8402A842-A59A-42A5-B13C-77E446F6AE0C}"/>
    <cellStyle name="Note 10 2 7" xfId="4414" xr:uid="{541BD929-8638-40BB-A88C-50F9DC1FEAE8}"/>
    <cellStyle name="Note 10 3" xfId="2095" xr:uid="{00000000-0005-0000-0000-000030080000}"/>
    <cellStyle name="Note 10 3 2" xfId="4202" xr:uid="{BB6C598A-C5A0-4842-9849-4F18EB2CAF94}"/>
    <cellStyle name="Note 10 4" xfId="3569" xr:uid="{B439B9D0-F086-4B53-91B8-11A5FC5F90FF}"/>
    <cellStyle name="Note 10 5" xfId="3685" xr:uid="{6293D730-4D22-49CC-BB57-F88E7FA179DE}"/>
    <cellStyle name="Note 10 6" xfId="4584" xr:uid="{E152793B-EEF3-4EC6-B8FC-F898A527C180}"/>
    <cellStyle name="Note 10 7" xfId="4731" xr:uid="{86E1DCC1-ED00-4C7D-A19B-93BBC59B2B59}"/>
    <cellStyle name="Note 10 8" xfId="4600" xr:uid="{C0AA2095-E6F0-4497-8739-F29423DF7CB7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3" xfId="3566" xr:uid="{205537AD-27B3-484A-A046-DAA93A7CF763}"/>
    <cellStyle name="Note 11 2 4" xfId="3688" xr:uid="{4833ED3F-0E1B-4AEB-A5DF-FC4412C1EB10}"/>
    <cellStyle name="Note 11 2 5" xfId="4581" xr:uid="{71579580-A704-4FB4-8CB6-D947F0F4B3AD}"/>
    <cellStyle name="Note 11 2 6" xfId="4734" xr:uid="{46697CB2-5C8B-46D8-8D20-DE98BD684A9A}"/>
    <cellStyle name="Note 11 2 7" xfId="4598" xr:uid="{6C1F0060-F04E-4EBE-ACC1-300ED37EEF1E}"/>
    <cellStyle name="Note 11 3" xfId="2100" xr:uid="{00000000-0005-0000-0000-000035080000}"/>
    <cellStyle name="Note 11 3 2" xfId="4204" xr:uid="{375D8658-2A86-4325-A911-F0F5BBE50C7B}"/>
    <cellStyle name="Note 11 4" xfId="3567" xr:uid="{6EC65E93-1522-4D17-A0BE-8C74BA668353}"/>
    <cellStyle name="Note 11 5" xfId="3687" xr:uid="{0832E0D7-7CAD-4B0F-90DF-A0D7306941D7}"/>
    <cellStyle name="Note 11 6" xfId="4582" xr:uid="{13DB3CF3-EE3E-4E0A-8D55-831DD19ABED0}"/>
    <cellStyle name="Note 11 7" xfId="4733" xr:uid="{BEB685A2-A2C3-415F-9681-850DB2E7DC16}"/>
    <cellStyle name="Note 11 8" xfId="4599" xr:uid="{BEC4788E-CD99-4C5E-B242-0368973AFC39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3" xfId="3564" xr:uid="{C2E4B143-D2DB-43DB-AD30-3BF1A160D0B8}"/>
    <cellStyle name="Note 12 2 4" xfId="3690" xr:uid="{7F821820-206D-4443-96F3-FDA9A59379E6}"/>
    <cellStyle name="Note 12 2 5" xfId="4579" xr:uid="{D7030845-C100-42AA-B03E-78469D94970B}"/>
    <cellStyle name="Note 12 2 6" xfId="4736" xr:uid="{5B06F2A1-8D71-4A43-BB2F-6F19B574F546}"/>
    <cellStyle name="Note 12 2 7" xfId="4596" xr:uid="{77328B3E-C34D-4287-9480-73CB6915B893}"/>
    <cellStyle name="Note 12 3" xfId="2105" xr:uid="{00000000-0005-0000-0000-00003A080000}"/>
    <cellStyle name="Note 12 3 2" xfId="4206" xr:uid="{4FCF11F5-C6E2-445B-AEA4-C7147B878D67}"/>
    <cellStyle name="Note 12 4" xfId="3565" xr:uid="{54D1241D-4B9E-43E4-B705-DED4A75B40A9}"/>
    <cellStyle name="Note 12 5" xfId="3689" xr:uid="{20710B06-7FE9-4204-B70D-C518434FACCD}"/>
    <cellStyle name="Note 12 6" xfId="4580" xr:uid="{BF3F876D-361F-4DFF-B2AD-39AF4C2F8298}"/>
    <cellStyle name="Note 12 7" xfId="4735" xr:uid="{5B43658C-97F5-449D-93A5-75451BF9F9F2}"/>
    <cellStyle name="Note 12 8" xfId="4597" xr:uid="{D73470BC-20BB-4BBD-BD5B-724E5E429BC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3" xfId="3562" xr:uid="{6B7EC394-05B1-4CF9-BB00-1B2249B65C05}"/>
    <cellStyle name="Note 13 2 4" xfId="3718" xr:uid="{6E07A05C-E655-4DA1-B9DE-51AB15309B02}"/>
    <cellStyle name="Note 13 2 5" xfId="4577" xr:uid="{E0325616-C277-404A-8C1B-1A375F280642}"/>
    <cellStyle name="Note 13 2 6" xfId="4738" xr:uid="{196BAF13-656C-4271-A207-B5348BE8E434}"/>
    <cellStyle name="Note 13 2 7" xfId="4594" xr:uid="{0ADA18C6-22DD-498F-9E39-42398F16485E}"/>
    <cellStyle name="Note 13 3" xfId="2110" xr:uid="{00000000-0005-0000-0000-00003F080000}"/>
    <cellStyle name="Note 13 3 2" xfId="4208" xr:uid="{E9E8115D-AB8A-4E55-898A-10BCD331385B}"/>
    <cellStyle name="Note 13 4" xfId="3563" xr:uid="{DEAB9482-F2A6-4667-98AD-D865AC7A7C4A}"/>
    <cellStyle name="Note 13 5" xfId="3691" xr:uid="{79DC5C88-2516-41B6-8BAF-E481DA7D299B}"/>
    <cellStyle name="Note 13 6" xfId="4578" xr:uid="{F39833BA-D244-432B-B36F-51075B39B523}"/>
    <cellStyle name="Note 13 7" xfId="4737" xr:uid="{86717D47-DA90-41C3-8D88-B8B47EACDCC2}"/>
    <cellStyle name="Note 13 8" xfId="4595" xr:uid="{B3A4FC92-867C-4136-B940-7BEC15D56147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3" xfId="3560" xr:uid="{E9D19252-62D7-4A88-9759-D4CB01E33F55}"/>
    <cellStyle name="Note 14 2 4" xfId="3693" xr:uid="{913FE86A-0461-403F-85F3-61759EF0D4FA}"/>
    <cellStyle name="Note 14 2 5" xfId="4413" xr:uid="{D94E2752-7A0B-4E19-B2F9-7CFB28D8B1FF}"/>
    <cellStyle name="Note 14 2 6" xfId="4739" xr:uid="{FF84EE1B-4245-4A8D-BE6F-8B01AEC8BBD4}"/>
    <cellStyle name="Note 14 2 7" xfId="4592" xr:uid="{A5E8B55C-3A14-4EAE-8927-9173BA9C4AD9}"/>
    <cellStyle name="Note 14 3" xfId="2115" xr:uid="{00000000-0005-0000-0000-000044080000}"/>
    <cellStyle name="Note 14 3 2" xfId="4210" xr:uid="{3E257BB3-1D59-4451-98DB-54286E3A95EC}"/>
    <cellStyle name="Note 14 4" xfId="3561" xr:uid="{94C40CC5-C516-4102-B3F6-0B528B912C45}"/>
    <cellStyle name="Note 14 5" xfId="3692" xr:uid="{644D3D78-77FE-45D3-B1B2-EFB80893F6A0}"/>
    <cellStyle name="Note 14 6" xfId="4576" xr:uid="{3496BA29-A038-4F30-8C19-C8529DE51DCD}"/>
    <cellStyle name="Note 14 7" xfId="4425" xr:uid="{CB0AE8D7-61C7-4EDB-8F06-F410C3952E1C}"/>
    <cellStyle name="Note 14 8" xfId="4593" xr:uid="{8721C5B5-5CC2-4F9B-87AF-578D9951C4CC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3" xfId="3401" xr:uid="{447E2A41-6D55-47E4-AC0F-15081734DEB9}"/>
    <cellStyle name="Note 15 2 4" xfId="3695" xr:uid="{2E1C3EAF-DB06-455B-908F-9DD84D3675CB}"/>
    <cellStyle name="Note 15 2 5" xfId="4574" xr:uid="{F3746F94-646E-457C-8326-2E6979DC5E7D}"/>
    <cellStyle name="Note 15 2 6" xfId="4741" xr:uid="{3322096B-0B7A-4657-8550-987144112B33}"/>
    <cellStyle name="Note 15 2 7" xfId="4590" xr:uid="{A67BF0BE-D9F4-46F5-B6B3-F318928501F1}"/>
    <cellStyle name="Note 15 3" xfId="2120" xr:uid="{00000000-0005-0000-0000-000049080000}"/>
    <cellStyle name="Note 15 3 2" xfId="4212" xr:uid="{5558113D-A2A5-47E7-A070-7F009B62CE88}"/>
    <cellStyle name="Note 15 4" xfId="3559" xr:uid="{4F2BF2D7-D209-4E6A-8177-198508ED28F3}"/>
    <cellStyle name="Note 15 5" xfId="3694" xr:uid="{7A902CF9-2214-4517-BAED-BA31A4621FDA}"/>
    <cellStyle name="Note 15 6" xfId="4575" xr:uid="{D8F80B83-5973-4D09-8AD0-3A48B143419C}"/>
    <cellStyle name="Note 15 7" xfId="4740" xr:uid="{8F2127FC-C2F6-42B9-8713-DE3E597B5E4D}"/>
    <cellStyle name="Note 15 8" xfId="4591" xr:uid="{B44084B6-4D7B-48D4-BC59-7A64B7C82A8A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3" xfId="3557" xr:uid="{00555360-C7B7-4F2B-8FDB-216071916004}"/>
    <cellStyle name="Note 16 2 4" xfId="3697" xr:uid="{1089D358-C93D-4D17-8D7B-1B44BB8C5277}"/>
    <cellStyle name="Note 16 2 5" xfId="4572" xr:uid="{3BE458F5-2A20-4D93-A855-FC86640139FC}"/>
    <cellStyle name="Note 16 2 6" xfId="4743" xr:uid="{AA4BC0DF-CB4B-4C0D-85C2-2AD2C02A28EB}"/>
    <cellStyle name="Note 16 2 7" xfId="4588" xr:uid="{04CF136C-2A7C-4107-8B86-6C36F22D3A10}"/>
    <cellStyle name="Note 16 3" xfId="2125" xr:uid="{00000000-0005-0000-0000-00004E080000}"/>
    <cellStyle name="Note 16 3 2" xfId="4214" xr:uid="{F2ADE3C5-F46A-4DA1-82F8-BF93C4ACAEB9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573" xr:uid="{2963888E-3900-41C4-8D72-55B4595C4D0D}"/>
    <cellStyle name="Note 16 8" xfId="4742" xr:uid="{0CE96C8F-9C90-4D63-A3EB-E76A640FB020}"/>
    <cellStyle name="Note 16 9" xfId="4589" xr:uid="{577ABBFD-3A0C-46D0-A672-A5E64037E3AD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3" xfId="3555" xr:uid="{45B1441D-AE6D-46C5-AEC2-85594A12D1EB}"/>
    <cellStyle name="Note 17 2 4" xfId="3699" xr:uid="{26C49427-3E30-4F16-8A5E-92413AC99FBD}"/>
    <cellStyle name="Note 17 2 5" xfId="4570" xr:uid="{86E45E0B-8E31-44FE-BE07-33F5B560180B}"/>
    <cellStyle name="Note 17 2 6" xfId="4745" xr:uid="{916B7967-98D3-4A17-9457-0CD2A6C5359E}"/>
    <cellStyle name="Note 17 2 7" xfId="4586" xr:uid="{314856C7-99F9-4DD7-AE6E-0058D78114C4}"/>
    <cellStyle name="Note 17 3" xfId="2130" xr:uid="{00000000-0005-0000-0000-000053080000}"/>
    <cellStyle name="Note 17 3 2" xfId="4216" xr:uid="{8A9752AD-F527-462C-84EF-40B9E0AFA12D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571" xr:uid="{4AF55B2C-D3F0-4AFF-BDD0-F114749B90D8}"/>
    <cellStyle name="Note 17 8" xfId="4744" xr:uid="{55CE2BBA-489A-41E1-B2AF-1703CE79DF61}"/>
    <cellStyle name="Note 17 9" xfId="4587" xr:uid="{67C05016-EA25-4F38-A1A2-49AF70F9530A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3" xfId="3553" xr:uid="{F03978FA-E04F-4277-95E6-FAD1D49926EA}"/>
    <cellStyle name="Note 18 2 4" xfId="3701" xr:uid="{3DEB7904-A9E8-4143-A7CB-224D7C13D7B7}"/>
    <cellStyle name="Note 18 2 5" xfId="4568" xr:uid="{CAE65E0C-BA0A-4E80-AB2F-5496CF8DA21C}"/>
    <cellStyle name="Note 18 2 6" xfId="4747" xr:uid="{AD276BBD-17A1-482A-9899-43E7689B47CE}"/>
    <cellStyle name="Note 18 2 7" xfId="4808" xr:uid="{00B03EDF-0719-4E7E-ADE1-4138E9F99BFF}"/>
    <cellStyle name="Note 18 3" xfId="2135" xr:uid="{00000000-0005-0000-0000-000058080000}"/>
    <cellStyle name="Note 18 3 2" xfId="4218" xr:uid="{90B64A7F-2EE5-46FD-8C3C-7824034AA583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569" xr:uid="{F475F2CC-DF79-4FCD-885D-8CAED08C1C2F}"/>
    <cellStyle name="Note 18 8" xfId="4746" xr:uid="{E483E081-BDF5-455E-BB5F-2654266A740B}"/>
    <cellStyle name="Note 18 9" xfId="4585" xr:uid="{CB45C0EB-9FC2-4537-8595-AC4529B8F20B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3" xfId="3551" xr:uid="{C96B48D4-B188-4884-96F9-E2D0CACA5517}"/>
    <cellStyle name="Note 19 2 4" xfId="3719" xr:uid="{E75B1DB0-0CA9-4661-A19A-010B48AA39CC}"/>
    <cellStyle name="Note 19 2 5" xfId="4566" xr:uid="{3ADDA5AD-523B-4978-A77D-A72AF705DEE1}"/>
    <cellStyle name="Note 19 2 6" xfId="4749" xr:uid="{3D6D0553-F847-4F92-BFA3-5AD01DC3B379}"/>
    <cellStyle name="Note 19 2 7" xfId="4772" xr:uid="{94358A84-7D30-4D7C-B478-C1506CE9B6FA}"/>
    <cellStyle name="Note 19 3" xfId="2140" xr:uid="{00000000-0005-0000-0000-00005D080000}"/>
    <cellStyle name="Note 19 3 2" xfId="4220" xr:uid="{54453589-ACBD-4C08-A31D-75F0330236F6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567" xr:uid="{932C5AC9-700A-4A0A-9C39-A8E5257D151A}"/>
    <cellStyle name="Note 19 8" xfId="4748" xr:uid="{1AAACEB3-247B-41F4-8BDD-D7694CAC4CD0}"/>
    <cellStyle name="Note 19 9" xfId="4771" xr:uid="{A04E9A7C-F930-44C5-B995-2D483799C55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3" xfId="3549" xr:uid="{4C5C129E-6515-4E3E-BA25-EE6FC155D27F}"/>
    <cellStyle name="Note 2 2 4" xfId="3704" xr:uid="{622DD6A0-44B6-43A0-AE22-841D7BB90D71}"/>
    <cellStyle name="Note 2 2 5" xfId="4412" xr:uid="{5C0D1188-26ED-4315-AC98-FD615BC829E2}"/>
    <cellStyle name="Note 2 2 6" xfId="4751" xr:uid="{4909EA66-786F-47B5-9075-CD018BFB2F1E}"/>
    <cellStyle name="Note 2 2 7" xfId="4773" xr:uid="{821136B8-8136-46E8-B50A-B49F2F00122D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3" xfId="3548" xr:uid="{8B3106CF-C714-414A-921D-022027D197E0}"/>
    <cellStyle name="Note 2 3 4" xfId="3705" xr:uid="{E4917F34-FFD0-47DE-BFE0-7FCD8BBE59C2}"/>
    <cellStyle name="Note 2 3 5" xfId="4564" xr:uid="{49313522-E253-4EE5-838A-F126BEB9F517}"/>
    <cellStyle name="Note 2 3 6" xfId="4752" xr:uid="{10670500-2C5F-4262-A7FB-EF3FCDE68E07}"/>
    <cellStyle name="Note 2 3 7" xfId="4774" xr:uid="{F7C7FF04-D148-46C9-B89E-851B694C61A4}"/>
    <cellStyle name="Note 2 4" xfId="2147" xr:uid="{00000000-0005-0000-0000-000064080000}"/>
    <cellStyle name="Note 2 4 2" xfId="4223" xr:uid="{CF993074-28D4-4EFA-8B29-D8B4566879E8}"/>
    <cellStyle name="Note 2 5" xfId="3550" xr:uid="{6CB81A76-ED24-4ED7-AF59-789FF31C7B8C}"/>
    <cellStyle name="Note 2 6" xfId="3703" xr:uid="{BE8C92E8-DF4D-4D27-9C15-4DB8A578E71D}"/>
    <cellStyle name="Note 2 7" xfId="4565" xr:uid="{BF616559-45A9-4FC3-A2FA-8CB8E8D5D024}"/>
    <cellStyle name="Note 2 8" xfId="4750" xr:uid="{4B7569EF-6DCF-4B88-B08D-A8099917490B}"/>
    <cellStyle name="Note 2 9" xfId="4761" xr:uid="{479E596B-FA89-45FE-AFB4-7DF8BA86B52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3" xfId="3547" xr:uid="{930B3C45-3A81-41A1-B8A5-73EEBA6EC07F}"/>
    <cellStyle name="Note 20 2 4" xfId="3721" xr:uid="{70C3C946-639A-4258-9087-BA63F1E17274}"/>
    <cellStyle name="Note 20 2 5" xfId="4562" xr:uid="{995E3CC3-962B-4513-9295-7925804C5463}"/>
    <cellStyle name="Note 20 2 6" xfId="4754" xr:uid="{613E28A1-13F9-4F83-B49C-DF2C8F31B58D}"/>
    <cellStyle name="Note 20 2 7" xfId="4776" xr:uid="{7378FDD3-A469-4B90-BFA8-B1B06CE7336B}"/>
    <cellStyle name="Note 20 3" xfId="2152" xr:uid="{00000000-0005-0000-0000-000069080000}"/>
    <cellStyle name="Note 20 3 2" xfId="4225" xr:uid="{55A64992-24DB-4154-8716-DCA37E939110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563" xr:uid="{9DFFB273-877D-407A-8C42-8D8884D09C04}"/>
    <cellStyle name="Note 20 8" xfId="4753" xr:uid="{37626BBE-6132-4ACC-AB39-98AD70D02E30}"/>
    <cellStyle name="Note 20 9" xfId="4775" xr:uid="{B655E519-09B8-44E2-AB6D-D3B31298E0F8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3" xfId="3545" xr:uid="{8D750221-DD71-476A-8DCA-C80DBE0AB000}"/>
    <cellStyle name="Note 21 2 4" xfId="3708" xr:uid="{28794C6B-8DA4-4A24-A3B9-8784156A8684}"/>
    <cellStyle name="Note 21 2 5" xfId="4560" xr:uid="{53C29D60-0461-4E1D-951F-4FFAFED9DBAC}"/>
    <cellStyle name="Note 21 2 6" xfId="4770" xr:uid="{80D17D88-3221-471D-B742-3A88B9BF09BB}"/>
    <cellStyle name="Note 21 2 7" xfId="4778" xr:uid="{9CC22D9B-0A06-4276-BDDC-1D1541D71564}"/>
    <cellStyle name="Note 21 3" xfId="2157" xr:uid="{00000000-0005-0000-0000-00006E080000}"/>
    <cellStyle name="Note 21 3 2" xfId="4227" xr:uid="{1695CEED-7A67-4CBD-8172-F3416C52D9E4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561" xr:uid="{107447EA-1C13-43F4-8258-239E55BB4E7D}"/>
    <cellStyle name="Note 21 8" xfId="4755" xr:uid="{785EA104-DD3E-454B-BCFB-739317055B6C}"/>
    <cellStyle name="Note 21 9" xfId="4777" xr:uid="{58639361-6516-4F39-AAA4-8E1802C1D447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3" xfId="3543" xr:uid="{F4122DED-C15E-433F-8235-0605043DA0A5}"/>
    <cellStyle name="Note 22 2 4" xfId="3710" xr:uid="{C03BD515-6290-4DE6-A29F-B927056F3845}"/>
    <cellStyle name="Note 22 2 5" xfId="4558" xr:uid="{3464642E-335C-43F7-B66B-234E832B43C4}"/>
    <cellStyle name="Note 22 2 6" xfId="4757" xr:uid="{D3320648-2452-4809-9CD6-DA8801384EEE}"/>
    <cellStyle name="Note 22 2 7" xfId="4780" xr:uid="{98BABCCA-0B85-4639-9A62-E7C4BBFD8647}"/>
    <cellStyle name="Note 22 3" xfId="2162" xr:uid="{00000000-0005-0000-0000-000073080000}"/>
    <cellStyle name="Note 22 3 2" xfId="4229" xr:uid="{586A5625-5431-4667-A4E8-AE0306045E73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559" xr:uid="{0F759F48-C961-43F0-81F9-335082BA761B}"/>
    <cellStyle name="Note 22 8" xfId="4756" xr:uid="{2F65B75E-4D9E-45A2-929C-BF502D4EA386}"/>
    <cellStyle name="Note 22 9" xfId="4779" xr:uid="{7E27E4E4-1D13-46B0-932B-3AF38D3B0279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3" xfId="3541" xr:uid="{C07071DF-20A7-4DAC-BAC2-D5F383FE4C26}"/>
    <cellStyle name="Note 23 2 4" xfId="3712" xr:uid="{0BC56C7D-0C8B-4EE5-AEA3-EBD910803355}"/>
    <cellStyle name="Note 23 2 5" xfId="4556" xr:uid="{C062EF10-8DBF-45C0-9A2D-875A0D948EF3}"/>
    <cellStyle name="Note 23 2 6" xfId="4759" xr:uid="{7A71175F-3124-47A8-BB12-B80B7AD1CB63}"/>
    <cellStyle name="Note 23 2 7" xfId="4782" xr:uid="{84D3CABB-A34D-4419-AAC0-5E6AFCC0A769}"/>
    <cellStyle name="Note 23 3" xfId="2167" xr:uid="{00000000-0005-0000-0000-000078080000}"/>
    <cellStyle name="Note 23 3 2" xfId="4231" xr:uid="{433AF0D3-E22D-4AF4-8457-C5F08AD45A14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557" xr:uid="{CE5B4913-896D-40D3-A96E-46859DC5DE54}"/>
    <cellStyle name="Note 23 8" xfId="4758" xr:uid="{91C2144A-8AA5-481B-A29A-6661F1811815}"/>
    <cellStyle name="Note 23 9" xfId="4781" xr:uid="{4DD3F178-ADE1-448B-A596-3207ECE2FB6A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3" xfId="3539" xr:uid="{751B2724-C6F2-4E10-A967-21E90778C690}"/>
    <cellStyle name="Note 24 2 4" xfId="3713" xr:uid="{54E7B742-676B-4F32-9572-1FAD2580515C}"/>
    <cellStyle name="Note 24 2 5" xfId="4554" xr:uid="{30725F86-295B-4F95-B94B-5CE3D1ADA3A6}"/>
    <cellStyle name="Note 24 2 6" xfId="4769" xr:uid="{226BAD06-AF14-4986-8716-2A1C54E7E94C}"/>
    <cellStyle name="Note 24 2 7" xfId="4807" xr:uid="{397B579A-4E83-4874-97B2-8509BE9AC88C}"/>
    <cellStyle name="Note 24 3" xfId="2172" xr:uid="{00000000-0005-0000-0000-00007D080000}"/>
    <cellStyle name="Note 24 3 2" xfId="4233" xr:uid="{7E15C6FA-822D-46DD-85AC-5DDC59AEC434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555" xr:uid="{CF5739E9-AEE7-4F98-B1D1-D7A652C1F280}"/>
    <cellStyle name="Note 24 8" xfId="4760" xr:uid="{2972AF57-D3CE-463C-9CED-68B8357BD05C}"/>
    <cellStyle name="Note 24 9" xfId="4783" xr:uid="{EC279071-E1CB-4D94-8D61-17DB4868BADD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3" xfId="3537" xr:uid="{B82FEACA-FACC-4EA2-AEA3-71925ED3E03E}"/>
    <cellStyle name="Note 25 2 4" xfId="3742" xr:uid="{2BD86FE1-1D57-4CDA-9D49-41D8E5087A3B}"/>
    <cellStyle name="Note 25 2 5" xfId="4553" xr:uid="{7E8A6283-8A49-41A2-8CE2-928940729897}"/>
    <cellStyle name="Note 25 2 6" xfId="4810" xr:uid="{1C2D3D53-EF7E-4107-A92E-DBA0910AF702}"/>
    <cellStyle name="Note 25 2 7" xfId="4972" xr:uid="{7D2E73FE-2B42-405A-B998-9B0E37FDE3E0}"/>
    <cellStyle name="Note 25 3" xfId="2177" xr:uid="{00000000-0005-0000-0000-000082080000}"/>
    <cellStyle name="Note 25 3 2" xfId="4235" xr:uid="{71FE6C71-2557-47A0-9A52-EAECC4684D96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411" xr:uid="{5E18E8B7-3F09-4F83-94BE-6232095C2A63}"/>
    <cellStyle name="Note 25 8" xfId="4809" xr:uid="{01C93E16-0144-43DC-993F-B9700434A832}"/>
    <cellStyle name="Note 25 9" xfId="4971" xr:uid="{8650DA2B-6D79-4923-8C55-A4435D62D1F6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3" xfId="3536" xr:uid="{2D1E6C0F-D5B7-420F-AD46-77217C05859B}"/>
    <cellStyle name="Note 26 2 4" xfId="3744" xr:uid="{88E6EB8A-E2C4-4593-8399-44BC4BE46C4B}"/>
    <cellStyle name="Note 26 2 5" xfId="4551" xr:uid="{8B23EC91-0DCB-4B05-B675-36BC9DEBDCE6}"/>
    <cellStyle name="Note 26 2 6" xfId="4812" xr:uid="{ACEE3944-3BF5-48F6-95E3-51EF895C0646}"/>
    <cellStyle name="Note 26 2 7" xfId="4974" xr:uid="{E84EC69C-9779-42B5-B2EC-DA86F35A46EA}"/>
    <cellStyle name="Note 26 3" xfId="2182" xr:uid="{00000000-0005-0000-0000-000087080000}"/>
    <cellStyle name="Note 26 3 2" xfId="4237" xr:uid="{BBA52B4C-FDD3-4088-B3BE-17870A775A60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552" xr:uid="{1028B002-F86A-4ED9-B241-BCF24606DB27}"/>
    <cellStyle name="Note 26 8" xfId="4811" xr:uid="{B7D5CA45-E516-4436-8B35-7FD91E615220}"/>
    <cellStyle name="Note 26 9" xfId="4973" xr:uid="{71564FE1-5D26-40CA-80EA-68AF98C7550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3" xfId="3534" xr:uid="{5AC444B5-8157-4CFA-814A-AB0DC5DF1653}"/>
    <cellStyle name="Note 27 2 4" xfId="3746" xr:uid="{D6A73D59-906B-4324-960C-C7FDBA7FFB59}"/>
    <cellStyle name="Note 27 2 5" xfId="4549" xr:uid="{AACCE0FF-5B62-467F-A219-A7FD530FFF5A}"/>
    <cellStyle name="Note 27 2 6" xfId="4814" xr:uid="{C23DCD43-E934-452B-9CFB-5941187AE07B}"/>
    <cellStyle name="Note 27 2 7" xfId="4976" xr:uid="{AB24FB75-1CCF-4795-90C9-7816A8EAD1CD}"/>
    <cellStyle name="Note 27 3" xfId="2187" xr:uid="{00000000-0005-0000-0000-00008C080000}"/>
    <cellStyle name="Note 27 3 2" xfId="4239" xr:uid="{CD793FF9-0369-4705-BE07-56B8AC4A50BF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550" xr:uid="{9A99E4E0-1711-4406-9BF3-59084C4CD0AB}"/>
    <cellStyle name="Note 27 8" xfId="4813" xr:uid="{C1D9EA7F-3D3B-4592-826B-62E5929FC56D}"/>
    <cellStyle name="Note 27 9" xfId="4975" xr:uid="{6E3BE5DB-E794-49BF-B00F-8B0DB98BE0A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3" xfId="3532" xr:uid="{2C4F44AD-B425-4181-B767-C02C4FBC57BD}"/>
    <cellStyle name="Note 28 2 4" xfId="3748" xr:uid="{EB9D02EE-F031-4000-9657-0DD3D4952E06}"/>
    <cellStyle name="Note 28 2 5" xfId="4547" xr:uid="{C91DA8D5-C920-4D01-B5BB-32F5EB317608}"/>
    <cellStyle name="Note 28 2 6" xfId="4816" xr:uid="{2F526C26-53A8-4FB0-90F2-7BA09B9EAD39}"/>
    <cellStyle name="Note 28 2 7" xfId="4978" xr:uid="{FE29A206-0220-45FF-A183-B3FAAA0AE1A5}"/>
    <cellStyle name="Note 28 3" xfId="2192" xr:uid="{00000000-0005-0000-0000-000091080000}"/>
    <cellStyle name="Note 28 3 2" xfId="4241" xr:uid="{12195C52-9C7C-4203-B1CF-B7EA9CF0A572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548" xr:uid="{303BF288-B408-4510-BD63-E92C2593D8CB}"/>
    <cellStyle name="Note 28 8" xfId="4815" xr:uid="{F24538C4-FF3F-4F75-B189-F30F228DFB72}"/>
    <cellStyle name="Note 28 9" xfId="4977" xr:uid="{CE5B236E-55A0-45DF-964C-2C404C5C05E7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3" xfId="3530" xr:uid="{377B2BED-7111-468A-B6CA-7EE79B391CB4}"/>
    <cellStyle name="Note 29 2 4" xfId="3750" xr:uid="{46F3840F-B656-4617-BC84-A6872CE404D0}"/>
    <cellStyle name="Note 29 2 5" xfId="4545" xr:uid="{AD28B131-1595-4819-B559-937A622C263D}"/>
    <cellStyle name="Note 29 2 6" xfId="4818" xr:uid="{2C916198-9295-47D1-A4A3-4DADE7495906}"/>
    <cellStyle name="Note 29 2 7" xfId="4980" xr:uid="{5C30E481-1185-4D09-A8E6-08FD3B9EE9DE}"/>
    <cellStyle name="Note 29 3" xfId="2197" xr:uid="{00000000-0005-0000-0000-000096080000}"/>
    <cellStyle name="Note 29 3 2" xfId="4243" xr:uid="{5CD5AEB7-654B-4592-AF90-5E66DEBCCA6A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546" xr:uid="{B9E7406D-2188-4AF8-87AB-63415BA12919}"/>
    <cellStyle name="Note 29 8" xfId="4817" xr:uid="{3FC9C54F-07F2-4A63-9B9D-562DDDB3F13A}"/>
    <cellStyle name="Note 29 9" xfId="4979" xr:uid="{3CA8C685-E0E2-4045-B847-6FFE0ADAAA08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3" xfId="3528" xr:uid="{F87C0EF9-6694-49CD-AFB4-7215E914DA68}"/>
    <cellStyle name="Note 3 2 4" xfId="3752" xr:uid="{3BBBAED1-DCCF-47A6-94C4-91ED39175C7A}"/>
    <cellStyle name="Note 3 2 5" xfId="4543" xr:uid="{00CDF141-EB00-4EB7-B105-3ACF4C6B8EAA}"/>
    <cellStyle name="Note 3 2 6" xfId="4820" xr:uid="{C95DAB9E-0E21-4B17-BC58-205025F1B928}"/>
    <cellStyle name="Note 3 2 7" xfId="4982" xr:uid="{F8D6F9D5-EEED-4417-99D6-9745E11F27B9}"/>
    <cellStyle name="Note 3 3" xfId="2202" xr:uid="{00000000-0005-0000-0000-00009B080000}"/>
    <cellStyle name="Note 3 3 2" xfId="4245" xr:uid="{33F01C1A-0A4B-4C5F-8519-0DAF82933C24}"/>
    <cellStyle name="Note 3 4" xfId="3529" xr:uid="{9DD402F4-2AC4-413C-A7CA-D26262E3B4C4}"/>
    <cellStyle name="Note 3 5" xfId="3751" xr:uid="{EB4E66E2-8410-4190-8F4B-D466415C7E4B}"/>
    <cellStyle name="Note 3 6" xfId="4544" xr:uid="{DE17F7B9-F09C-4D31-93B7-65849905BE78}"/>
    <cellStyle name="Note 3 7" xfId="4819" xr:uid="{DC4C8C49-CD8C-482C-9607-7167FFD653B3}"/>
    <cellStyle name="Note 3 8" xfId="4981" xr:uid="{68D6CFD3-2B14-4F0F-B6A8-162DFC7107F9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3" xfId="3526" xr:uid="{718712D2-91DD-49F6-9EE3-C39EB3367EB3}"/>
    <cellStyle name="Note 30 2 4" xfId="3754" xr:uid="{98D3EBE0-74B2-491A-AE5B-9FDE3DCE7711}"/>
    <cellStyle name="Note 30 2 5" xfId="4542" xr:uid="{3E6DAE11-CE41-4D14-944F-7C56D7714897}"/>
    <cellStyle name="Note 30 2 6" xfId="4822" xr:uid="{BE115283-3539-464F-B6E0-118636A88BF5}"/>
    <cellStyle name="Note 30 2 7" xfId="4984" xr:uid="{B2C3C1AF-89AD-46D6-A81B-1022027C1120}"/>
    <cellStyle name="Note 30 3" xfId="2207" xr:uid="{00000000-0005-0000-0000-0000A0080000}"/>
    <cellStyle name="Note 30 3 2" xfId="4247" xr:uid="{19B937F8-065E-4D59-B487-26DA9E4F1004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410" xr:uid="{A90C8031-E529-4E9C-B77A-C2714A8B342F}"/>
    <cellStyle name="Note 30 8" xfId="4821" xr:uid="{37A5C495-D681-45C0-A8E3-2E53C97964C9}"/>
    <cellStyle name="Note 30 9" xfId="4983" xr:uid="{8E075703-853B-412A-9A25-75199FDE40A5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3" xfId="3525" xr:uid="{08AD6890-C3A9-40DC-B5CB-311C816D66EC}"/>
    <cellStyle name="Note 31 2 4" xfId="3756" xr:uid="{D4AD5B84-24D8-4074-88EC-3DFE55A21D76}"/>
    <cellStyle name="Note 31 2 5" xfId="4540" xr:uid="{409FD7FA-C143-4097-BD08-2835C25187CE}"/>
    <cellStyle name="Note 31 2 6" xfId="4824" xr:uid="{8D403FF5-5336-4617-B332-F32FEC20F01A}"/>
    <cellStyle name="Note 31 2 7" xfId="4986" xr:uid="{DE62D089-2466-45B0-B83E-38E3419203CF}"/>
    <cellStyle name="Note 31 3" xfId="2212" xr:uid="{00000000-0005-0000-0000-0000A5080000}"/>
    <cellStyle name="Note 31 3 2" xfId="4249" xr:uid="{15F3E935-1C17-45D4-BDEF-831FB181ECB1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541" xr:uid="{71551DFB-6BF5-4A46-A848-6CF16D0D27D0}"/>
    <cellStyle name="Note 31 8" xfId="4823" xr:uid="{DA5D395D-32D0-41A4-9AE6-87EAE7D30BEA}"/>
    <cellStyle name="Note 31 9" xfId="4985" xr:uid="{9BCD7589-8817-4E47-AF4A-05A6A6CD4E2F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3" xfId="3523" xr:uid="{72F5AAFB-3102-4217-9DAF-0E34128A8B23}"/>
    <cellStyle name="Note 32 2 4" xfId="3758" xr:uid="{9FA7BD7E-6913-4B05-AC48-AA4DBDFACDB3}"/>
    <cellStyle name="Note 32 2 5" xfId="4538" xr:uid="{93812D1B-09A4-4774-88B2-118C8AC9FC4D}"/>
    <cellStyle name="Note 32 2 6" xfId="4826" xr:uid="{AFAA5648-836D-4266-A37A-13CBA1225E27}"/>
    <cellStyle name="Note 32 2 7" xfId="4988" xr:uid="{CA60546E-0B2E-4649-9869-4CE8F1D5C529}"/>
    <cellStyle name="Note 32 3" xfId="2217" xr:uid="{00000000-0005-0000-0000-0000AA080000}"/>
    <cellStyle name="Note 32 3 2" xfId="4251" xr:uid="{DC33180E-E310-489C-8DE9-3A11C211E9D9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539" xr:uid="{2C77E94F-3E90-4D65-973D-4FEC7266C8D3}"/>
    <cellStyle name="Note 32 8" xfId="4825" xr:uid="{299100B5-71D2-4D8E-89CB-227024B4C992}"/>
    <cellStyle name="Note 32 9" xfId="4987" xr:uid="{A45BE76E-3EAA-4525-9303-4829FCE663A1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3" xfId="3521" xr:uid="{CFB16BBE-FA6B-40C1-A198-48497A19FD0F}"/>
    <cellStyle name="Note 33 2 4" xfId="3760" xr:uid="{D73BDA2A-D5BF-480A-8C9B-ACB24E23CDA4}"/>
    <cellStyle name="Note 33 2 5" xfId="4536" xr:uid="{23674475-BA62-4D40-B368-4C08D5E16115}"/>
    <cellStyle name="Note 33 2 6" xfId="4828" xr:uid="{8B385C4D-A244-4512-9075-DF71FDCA3FE8}"/>
    <cellStyle name="Note 33 2 7" xfId="4990" xr:uid="{1B56A04E-F16D-44DF-9974-9352F25CFC87}"/>
    <cellStyle name="Note 33 3" xfId="2222" xr:uid="{00000000-0005-0000-0000-0000AF080000}"/>
    <cellStyle name="Note 33 3 2" xfId="4253" xr:uid="{DDC2A0C4-388F-4284-93A1-2320EBE5817C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537" xr:uid="{DAD9284B-5D34-4400-A050-A8EBEB345101}"/>
    <cellStyle name="Note 33 8" xfId="4827" xr:uid="{B39A903D-C722-43D2-BF3A-FAAB6C20E453}"/>
    <cellStyle name="Note 33 9" xfId="4989" xr:uid="{DD7A7019-8372-4D5B-9AFD-FDC947C31A5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3" xfId="3519" xr:uid="{FB6E9F83-C002-4018-A05E-601C25724F0A}"/>
    <cellStyle name="Note 34 2 4" xfId="3762" xr:uid="{BA99EB05-11E5-496B-A8CF-28B89785D76A}"/>
    <cellStyle name="Note 34 2 5" xfId="4534" xr:uid="{635E09DC-4FFA-4B32-BC11-1464EB97B68E}"/>
    <cellStyle name="Note 34 2 6" xfId="4830" xr:uid="{7426AC24-F5CD-4D16-BFD2-CD6A44FAB03C}"/>
    <cellStyle name="Note 34 2 7" xfId="4992" xr:uid="{28AA8319-4267-4B43-899D-F27358078FE0}"/>
    <cellStyle name="Note 34 3" xfId="2227" xr:uid="{00000000-0005-0000-0000-0000B4080000}"/>
    <cellStyle name="Note 34 3 2" xfId="4255" xr:uid="{7ECCCEDE-9404-4387-BB42-63924A351DA9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535" xr:uid="{561A5409-E85B-4564-84B6-3C89C3BCD57B}"/>
    <cellStyle name="Note 34 8" xfId="4829" xr:uid="{1CB8430A-1834-4C4C-A10B-FC21569B117E}"/>
    <cellStyle name="Note 34 9" xfId="4991" xr:uid="{3A34E516-EF50-4FA9-A606-00F2669B8638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3" xfId="3517" xr:uid="{2E613429-9D30-4F72-97F0-E4E74B9F3B7B}"/>
    <cellStyle name="Note 35 2 4" xfId="3764" xr:uid="{68C3A4C9-0C10-40F9-AA64-615FBE1086B4}"/>
    <cellStyle name="Note 35 2 5" xfId="4532" xr:uid="{49FE348B-E44C-497D-A09B-C6D120F62AF7}"/>
    <cellStyle name="Note 35 2 6" xfId="4832" xr:uid="{82F5F8B7-EA7F-42EB-AF82-94070E4473BD}"/>
    <cellStyle name="Note 35 2 7" xfId="4994" xr:uid="{D12FFFFB-B625-468A-A43E-D4E8E1B8E084}"/>
    <cellStyle name="Note 35 3" xfId="2232" xr:uid="{00000000-0005-0000-0000-0000B9080000}"/>
    <cellStyle name="Note 35 3 2" xfId="4257" xr:uid="{5D59B7C8-558D-495C-A7FD-05D724A644FE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4533" xr:uid="{E6C23D00-363A-40FE-88DB-C47468F6496F}"/>
    <cellStyle name="Note 35 8" xfId="4831" xr:uid="{43E993B4-684D-4F75-BB2D-D8443B5DFD40}"/>
    <cellStyle name="Note 35 9" xfId="4993" xr:uid="{C3580256-0433-43E0-ACFA-D18D0DA20E82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3" xfId="3515" xr:uid="{885BC555-C792-429E-A840-B5D521D8B7BE}"/>
    <cellStyle name="Note 36 2 4" xfId="3766" xr:uid="{6EAEBF62-AD97-436C-B9C1-405D98BFED16}"/>
    <cellStyle name="Note 36 2 5" xfId="4531" xr:uid="{F1869AD5-CC09-4385-81B5-7D4391A12B14}"/>
    <cellStyle name="Note 36 2 6" xfId="4834" xr:uid="{A13ABC80-CD97-4A41-A49A-36F9B4BDEB5B}"/>
    <cellStyle name="Note 36 2 7" xfId="4996" xr:uid="{712E1EF2-2160-474F-B0CD-EC9B044B6452}"/>
    <cellStyle name="Note 36 3" xfId="2237" xr:uid="{00000000-0005-0000-0000-0000BE080000}"/>
    <cellStyle name="Note 36 3 2" xfId="4259" xr:uid="{AA83D08B-3118-41DD-A581-36020A543A48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4409" xr:uid="{C3221E6A-6826-4D59-A8C2-C70B2E1AC6C1}"/>
    <cellStyle name="Note 36 8" xfId="4833" xr:uid="{22789CD3-1D7C-4F37-8A45-86D0A6D32A40}"/>
    <cellStyle name="Note 36 9" xfId="4995" xr:uid="{EDD57B63-FA07-42B0-9412-C48C667295B8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3" xfId="3514" xr:uid="{4C906F2A-FA0C-4CAE-9F4A-99F52A1C8590}"/>
    <cellStyle name="Note 37 2 4" xfId="3768" xr:uid="{ED70CF91-976A-41DC-AB01-FD1D7ADEA733}"/>
    <cellStyle name="Note 37 2 5" xfId="4529" xr:uid="{A52D4B67-A03A-461C-8794-6AEE706022AC}"/>
    <cellStyle name="Note 37 2 6" xfId="4836" xr:uid="{8E05DFAF-F982-40A4-89A9-BD51C1C54D47}"/>
    <cellStyle name="Note 37 2 7" xfId="4998" xr:uid="{AFC9BAD5-B9CF-429B-BC63-01B2F82BD6F7}"/>
    <cellStyle name="Note 37 3" xfId="2242" xr:uid="{00000000-0005-0000-0000-0000C3080000}"/>
    <cellStyle name="Note 37 3 2" xfId="4261" xr:uid="{1AE502C8-EC5E-400C-917C-618F4497FCA2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4530" xr:uid="{B79C1253-07AB-4647-BF80-11DB00A8D224}"/>
    <cellStyle name="Note 37 8" xfId="4835" xr:uid="{B6AC5E4E-115A-48DF-B459-BFFDDE200D75}"/>
    <cellStyle name="Note 37 9" xfId="4997" xr:uid="{633E095D-EBBA-4552-AB09-65F42C9CC8B7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3" xfId="3512" xr:uid="{D16D38EA-B665-40B5-BC2E-2C6B6FE66526}"/>
    <cellStyle name="Note 38 2 4" xfId="3770" xr:uid="{33D4E884-4EA2-4C83-B185-E013031A2735}"/>
    <cellStyle name="Note 38 2 5" xfId="4527" xr:uid="{A5C862E5-3B06-4AF8-8EC6-01D7615D9818}"/>
    <cellStyle name="Note 38 2 6" xfId="4838" xr:uid="{A4195D40-82D1-4784-BB0D-A623D37FBAD3}"/>
    <cellStyle name="Note 38 2 7" xfId="5000" xr:uid="{16C93368-DAEE-470F-AD7F-F2DCD50D52D9}"/>
    <cellStyle name="Note 38 3" xfId="2247" xr:uid="{00000000-0005-0000-0000-0000C8080000}"/>
    <cellStyle name="Note 38 3 2" xfId="4263" xr:uid="{550D9A76-9C4E-4BF0-A859-ED30C1F490C0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4528" xr:uid="{F4DAAE18-996B-40AE-86BE-A5CDEDF64058}"/>
    <cellStyle name="Note 38 8" xfId="4837" xr:uid="{D0AAF178-89EF-429F-99C4-E711FD47D430}"/>
    <cellStyle name="Note 38 9" xfId="4999" xr:uid="{1F19FE96-2AA9-4784-940C-83E59EFB1E6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3" xfId="3510" xr:uid="{B794D999-C943-4C52-8CCA-5BE2BE143E4B}"/>
    <cellStyle name="Note 39 2 4" xfId="3772" xr:uid="{8A9B16EE-F3BC-4E1C-AC90-E53BDB02490E}"/>
    <cellStyle name="Note 39 2 5" xfId="4525" xr:uid="{E290BBD4-634E-455E-BEF7-232673DC510B}"/>
    <cellStyle name="Note 39 2 6" xfId="4840" xr:uid="{4C52EFDD-9871-40D4-88A0-4AA250D2CC7D}"/>
    <cellStyle name="Note 39 2 7" xfId="5002" xr:uid="{43E5BC2E-11CA-4259-95D5-954E7B46C071}"/>
    <cellStyle name="Note 39 3" xfId="2252" xr:uid="{00000000-0005-0000-0000-0000CD080000}"/>
    <cellStyle name="Note 39 3 2" xfId="4265" xr:uid="{EDF1E44B-1C90-47AD-AB1D-9F0A7B93E4BA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4526" xr:uid="{4FF66139-F767-45E1-8BEF-4CF1C3AB80D4}"/>
    <cellStyle name="Note 39 8" xfId="4839" xr:uid="{8C7BF723-6C39-4CAD-A1DF-0D41E6755AFA}"/>
    <cellStyle name="Note 39 9" xfId="5001" xr:uid="{C892699C-FD39-4F89-8193-F04BAD3B0A18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3" xfId="3508" xr:uid="{3D876ED0-A5C3-4C14-9E3B-2BCFB76F5D4A}"/>
    <cellStyle name="Note 4 2 4" xfId="3774" xr:uid="{7FE38EE5-769B-413C-85C5-CD7DD8474CDF}"/>
    <cellStyle name="Note 4 2 5" xfId="4523" xr:uid="{33E383D3-2E08-4DFB-84F3-666C8DE8CE29}"/>
    <cellStyle name="Note 4 2 6" xfId="4842" xr:uid="{F259232A-7482-475C-8CD4-120AFB2A7175}"/>
    <cellStyle name="Note 4 2 7" xfId="5004" xr:uid="{9EB273E8-45B8-45C9-BAFE-97A857198CB3}"/>
    <cellStyle name="Note 4 3" xfId="2257" xr:uid="{00000000-0005-0000-0000-0000D2080000}"/>
    <cellStyle name="Note 4 3 2" xfId="4267" xr:uid="{1F830F20-8B1B-49E9-93AA-9545BCB1F08F}"/>
    <cellStyle name="Note 4 4" xfId="3509" xr:uid="{089A340B-7B90-4355-96E5-8BC71AF0B48E}"/>
    <cellStyle name="Note 4 5" xfId="3773" xr:uid="{AD92EDDE-3208-4F5A-A0E5-07C972F54460}"/>
    <cellStyle name="Note 4 6" xfId="4524" xr:uid="{20459BB8-7CA8-403A-852B-87C9E20AA6E1}"/>
    <cellStyle name="Note 4 7" xfId="4841" xr:uid="{E3E1EFD0-E5F1-46EC-8101-AC5F1BCCA279}"/>
    <cellStyle name="Note 4 8" xfId="5003" xr:uid="{234ACD1E-1AFF-4A9A-ABBC-2031472FFAAF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3" xfId="3506" xr:uid="{F933FB09-42B9-4507-8916-50ABABF60FD7}"/>
    <cellStyle name="Note 40 2 4" xfId="3776" xr:uid="{1972F074-87A6-405E-A1D8-A8C2498F5FCB}"/>
    <cellStyle name="Note 40 2 5" xfId="4521" xr:uid="{C4ACFF7D-9605-432D-97E4-5260CEE39657}"/>
    <cellStyle name="Note 40 2 6" xfId="4844" xr:uid="{A7CEE4A3-3805-443B-982B-52E32B49DB8B}"/>
    <cellStyle name="Note 40 2 7" xfId="5006" xr:uid="{30F37D9A-C708-4F10-9CCB-CCA634A9EBEE}"/>
    <cellStyle name="Note 40 3" xfId="2262" xr:uid="{00000000-0005-0000-0000-0000D7080000}"/>
    <cellStyle name="Note 40 3 2" xfId="4269" xr:uid="{5369A669-E140-44C9-8387-881CD7C47053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4522" xr:uid="{B2437A06-40F3-46E3-9826-750D7151E598}"/>
    <cellStyle name="Note 40 8" xfId="4843" xr:uid="{3089A5F5-170D-4BD5-9D39-8FBD40FA2AE9}"/>
    <cellStyle name="Note 40 9" xfId="5005" xr:uid="{7DDB4E08-31AD-4D7A-BA8D-42345D849C39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3" xfId="3504" xr:uid="{1D9CC0D4-8FA2-47C7-A3A3-ABEBFF6CF84B}"/>
    <cellStyle name="Note 41 2 4" xfId="3778" xr:uid="{8448DE82-F038-4EB3-B3AA-D767D2CFA26A}"/>
    <cellStyle name="Note 41 2 5" xfId="4520" xr:uid="{8436193D-3B47-4F2B-A09C-0A16BAB86788}"/>
    <cellStyle name="Note 41 2 6" xfId="4846" xr:uid="{37736407-BD43-4A49-8C14-18D981235E5D}"/>
    <cellStyle name="Note 41 2 7" xfId="5008" xr:uid="{0EC68A6B-05E5-4044-86F4-4A30B46E5128}"/>
    <cellStyle name="Note 41 3" xfId="2267" xr:uid="{00000000-0005-0000-0000-0000DC080000}"/>
    <cellStyle name="Note 41 3 2" xfId="4271" xr:uid="{8FE21F3D-34BF-4D31-BC5C-1ABFE58DE5A8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4408" xr:uid="{23CB5786-F6D0-4413-8E6F-A5C0ABAB9975}"/>
    <cellStyle name="Note 41 8" xfId="4845" xr:uid="{9BEB81EF-3839-4073-A1CE-8C02FAFF5333}"/>
    <cellStyle name="Note 41 9" xfId="5007" xr:uid="{AA3A7DCE-42DE-40D7-B099-B0A968FE08FB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3" xfId="3503" xr:uid="{153B1233-EC62-442B-89A0-41FB8C806F7F}"/>
    <cellStyle name="Note 42 2 4" xfId="3780" xr:uid="{167E6E77-9CAE-49CD-8183-F95E5913593F}"/>
    <cellStyle name="Note 42 2 5" xfId="4518" xr:uid="{AA5B4568-B0D7-4D98-9DA9-A7E8413C89E7}"/>
    <cellStyle name="Note 42 2 6" xfId="4848" xr:uid="{FE867AE8-C7CC-46B9-80B9-6BF833EC5EAE}"/>
    <cellStyle name="Note 42 2 7" xfId="5010" xr:uid="{789CA22A-5BDC-47EA-B40A-11F431C58D61}"/>
    <cellStyle name="Note 42 3" xfId="2272" xr:uid="{00000000-0005-0000-0000-0000E1080000}"/>
    <cellStyle name="Note 42 3 2" xfId="4273" xr:uid="{6480D832-2D3D-43A3-94C5-34A459B9D83F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4519" xr:uid="{5F78D502-599A-48D6-AE49-A261229165CA}"/>
    <cellStyle name="Note 42 8" xfId="4847" xr:uid="{1FFC3FA8-CF4A-4BE5-8B5D-3313A80198B2}"/>
    <cellStyle name="Note 42 9" xfId="5009" xr:uid="{8E375321-6C05-4A97-8A81-B27D9B536F58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3" xfId="3501" xr:uid="{4E76DD36-63D5-42EC-92B0-2D4F57F351EA}"/>
    <cellStyle name="Note 43 2 4" xfId="3782" xr:uid="{F310EF74-1721-4F8C-BA94-F44EC629855B}"/>
    <cellStyle name="Note 43 2 5" xfId="4516" xr:uid="{8FCF301B-ABD7-4463-8991-4B5E5BBA9173}"/>
    <cellStyle name="Note 43 2 6" xfId="4850" xr:uid="{825E71C3-0308-45FD-AAAB-163A22463A5E}"/>
    <cellStyle name="Note 43 2 7" xfId="5012" xr:uid="{7037A15B-9D49-4653-95CD-21D732844512}"/>
    <cellStyle name="Note 43 3" xfId="2277" xr:uid="{00000000-0005-0000-0000-0000E6080000}"/>
    <cellStyle name="Note 43 3 2" xfId="4275" xr:uid="{90127FC5-1028-466F-800A-B15ABCAE5952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4517" xr:uid="{08619BC2-1E33-45DC-ACA1-3EC3384BB885}"/>
    <cellStyle name="Note 43 8" xfId="4849" xr:uid="{52FD3A8E-972E-48B1-885A-ED4A2B160CCA}"/>
    <cellStyle name="Note 43 9" xfId="5011" xr:uid="{F4699F6A-3EC1-4957-B86F-8CCF516D5C2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3" xfId="3499" xr:uid="{23BAAFA5-0C22-4091-81C4-F2A5746E5773}"/>
    <cellStyle name="Note 44 2 4" xfId="3784" xr:uid="{C7575516-FCE6-4E85-84F8-93A188CE90F2}"/>
    <cellStyle name="Note 44 2 5" xfId="4514" xr:uid="{37C5DD99-BFCB-44CB-A5E8-9E9EFAD01675}"/>
    <cellStyle name="Note 44 2 6" xfId="4852" xr:uid="{9352EAB2-1492-4030-81D8-A188BF3F08C7}"/>
    <cellStyle name="Note 44 2 7" xfId="5014" xr:uid="{1F7DBF39-5257-4898-8160-4AA71886C23B}"/>
    <cellStyle name="Note 44 3" xfId="2282" xr:uid="{00000000-0005-0000-0000-0000EB080000}"/>
    <cellStyle name="Note 44 3 2" xfId="4277" xr:uid="{A68C1B42-7829-47B9-AB84-DF2186C9EC16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4515" xr:uid="{6E9FFF68-446A-42A8-B9DE-7275769FCEC5}"/>
    <cellStyle name="Note 44 8" xfId="4851" xr:uid="{07BBDE4B-1899-4C55-9BBF-FB95E696EFCE}"/>
    <cellStyle name="Note 44 9" xfId="5013" xr:uid="{15B9F798-F7C7-4AE0-9C32-F0D9E6615639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3" xfId="3497" xr:uid="{6F2283C3-44BB-44DA-9A03-5E56A4E1B4C8}"/>
    <cellStyle name="Note 45 2 4" xfId="3786" xr:uid="{DD14E96D-1CA3-4A9A-9187-0033578CECCE}"/>
    <cellStyle name="Note 45 2 5" xfId="4512" xr:uid="{06D02D26-42FC-4241-BDAC-C6D3CF7AEDBB}"/>
    <cellStyle name="Note 45 2 6" xfId="4854" xr:uid="{19C48703-FDED-4CB0-B88B-8813760C7C8A}"/>
    <cellStyle name="Note 45 2 7" xfId="5016" xr:uid="{D83401B3-4D60-4851-97A4-7F6F8CAB340C}"/>
    <cellStyle name="Note 45 3" xfId="2287" xr:uid="{00000000-0005-0000-0000-0000F0080000}"/>
    <cellStyle name="Note 45 3 2" xfId="4279" xr:uid="{4B5B1A4F-F59E-4D44-A925-105DA55BD835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4513" xr:uid="{E2997375-CAAE-43C0-AB18-F7441CAD3DB2}"/>
    <cellStyle name="Note 45 8" xfId="4853" xr:uid="{B86CEED3-27A5-4F68-A66F-C4CBE3D13FE5}"/>
    <cellStyle name="Note 45 9" xfId="5015" xr:uid="{B04CB354-13C7-44DF-8100-FD12C298EF94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3" xfId="3495" xr:uid="{B7F6E97F-9E98-4336-8F74-E517BE17BC83}"/>
    <cellStyle name="Note 46 2 4" xfId="3788" xr:uid="{9A30BB75-68FD-4E72-9C11-8F0A3D55B8FF}"/>
    <cellStyle name="Note 46 2 5" xfId="4510" xr:uid="{E59EE96B-569F-4DE5-A19C-68BEB860953D}"/>
    <cellStyle name="Note 46 2 6" xfId="4856" xr:uid="{78F4B5FF-67B2-4333-9512-272C0628277A}"/>
    <cellStyle name="Note 46 2 7" xfId="5018" xr:uid="{2C4DC5A7-42FD-48E9-925E-0070387F45C0}"/>
    <cellStyle name="Note 46 3" xfId="2292" xr:uid="{00000000-0005-0000-0000-0000F5080000}"/>
    <cellStyle name="Note 46 3 2" xfId="4281" xr:uid="{6642C4A8-B747-44A2-B952-B9792C265E36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4511" xr:uid="{6EBE3224-BA44-4325-91AE-4DCBFA1E517A}"/>
    <cellStyle name="Note 46 8" xfId="4855" xr:uid="{4AE2E2E5-6904-47CE-9FEF-E5D5A91DAACB}"/>
    <cellStyle name="Note 46 9" xfId="5017" xr:uid="{F781CC40-79B7-4495-9DA9-F94BF9EF3CED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3" xfId="3493" xr:uid="{35C366E7-8088-44EC-B0AF-2617F0606FA1}"/>
    <cellStyle name="Note 47 2 4" xfId="3790" xr:uid="{470AF73F-416E-4A36-90AA-836FDF5CA7CE}"/>
    <cellStyle name="Note 47 2 5" xfId="4509" xr:uid="{5B589F3B-4C52-4FCA-9EF2-20434265CA96}"/>
    <cellStyle name="Note 47 2 6" xfId="4858" xr:uid="{EB96D890-68E6-48D5-98C2-30F63EB10155}"/>
    <cellStyle name="Note 47 2 7" xfId="5020" xr:uid="{F85DC290-1E41-4434-AE86-04A39DA9CDBD}"/>
    <cellStyle name="Note 47 3" xfId="2297" xr:uid="{00000000-0005-0000-0000-0000FA080000}"/>
    <cellStyle name="Note 47 3 2" xfId="4283" xr:uid="{E0662DBC-2C97-49D7-86C9-79FFDFD275D0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4407" xr:uid="{C03234C8-8365-4309-9051-C3FDA88977E6}"/>
    <cellStyle name="Note 47 8" xfId="4857" xr:uid="{A66D2312-6919-41E2-B871-BDCD54E827B6}"/>
    <cellStyle name="Note 47 9" xfId="5019" xr:uid="{39541415-7BE8-4BA7-AF7C-06DEF48A36BF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3" xfId="3492" xr:uid="{7CE198DC-0115-464E-A1C4-223E0AAE90AC}"/>
    <cellStyle name="Note 48 2 4" xfId="3792" xr:uid="{89D609BA-3BA0-4D96-A1E1-974508AFE610}"/>
    <cellStyle name="Note 48 2 5" xfId="4507" xr:uid="{86870A46-BBF9-47A8-9E8F-8FAFEE7C0991}"/>
    <cellStyle name="Note 48 2 6" xfId="4860" xr:uid="{E3C054BD-5E4F-4DCA-91B7-6C6E50A9187C}"/>
    <cellStyle name="Note 48 2 7" xfId="5022" xr:uid="{EC697BDC-0569-4A37-8680-19F25519B0BF}"/>
    <cellStyle name="Note 48 3" xfId="2302" xr:uid="{00000000-0005-0000-0000-0000FF080000}"/>
    <cellStyle name="Note 48 3 2" xfId="4285" xr:uid="{B5F49436-7E02-4FAE-ACAC-8495D6C49FC8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4508" xr:uid="{F597A476-222F-4934-90EA-CE8554DC4FF3}"/>
    <cellStyle name="Note 48 8" xfId="4859" xr:uid="{83D7E5AF-CC3C-48BF-8D01-232DDF40A8B0}"/>
    <cellStyle name="Note 48 9" xfId="5021" xr:uid="{D2793D0F-A782-42F8-91BC-207BA2CC7A06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3" xfId="3490" xr:uid="{1B7EAA1F-7834-456F-B2E5-EE0408F86FFA}"/>
    <cellStyle name="Note 49 2 4" xfId="3794" xr:uid="{DFCDA04A-EB78-496B-AAEF-2D24EC7007F1}"/>
    <cellStyle name="Note 49 2 5" xfId="4505" xr:uid="{C2DF706E-63A3-43FF-AAA0-2149A4D5F157}"/>
    <cellStyle name="Note 49 2 6" xfId="4862" xr:uid="{FE003D2E-B2B9-4B7E-993B-044216B1905E}"/>
    <cellStyle name="Note 49 2 7" xfId="5024" xr:uid="{7600D9C1-808B-4104-8B4B-579C5955BEEE}"/>
    <cellStyle name="Note 49 3" xfId="2307" xr:uid="{00000000-0005-0000-0000-000004090000}"/>
    <cellStyle name="Note 49 3 2" xfId="4287" xr:uid="{2F219C8E-4C01-4C0A-BD43-C31D60DD3768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4506" xr:uid="{E9184B4A-3389-4F9B-8495-7E4431719118}"/>
    <cellStyle name="Note 49 8" xfId="4861" xr:uid="{D4CB1662-B8EF-497B-BD00-F54382F1BF37}"/>
    <cellStyle name="Note 49 9" xfId="5023" xr:uid="{0BAB9AEB-EDD8-43E8-8B73-86A6BF05620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3" xfId="3488" xr:uid="{D0A6A90D-61E6-421D-B78E-AE8B4EEA32A7}"/>
    <cellStyle name="Note 5 2 4" xfId="3796" xr:uid="{5C7B7C29-E063-4758-9FF4-3FC3B0C8E24E}"/>
    <cellStyle name="Note 5 2 5" xfId="4503" xr:uid="{F9CA49DC-5B85-469D-8AB3-3FB2ABCDC66B}"/>
    <cellStyle name="Note 5 2 6" xfId="4864" xr:uid="{BE1577BA-FB2D-4F10-A175-15F1C81814CD}"/>
    <cellStyle name="Note 5 2 7" xfId="5026" xr:uid="{68427A2E-21C1-4987-B31A-7823097D7592}"/>
    <cellStyle name="Note 5 3" xfId="2312" xr:uid="{00000000-0005-0000-0000-000009090000}"/>
    <cellStyle name="Note 5 3 2" xfId="4289" xr:uid="{51389C68-ADDB-4005-BA82-6F3AE5EB93AA}"/>
    <cellStyle name="Note 5 4" xfId="3489" xr:uid="{995A962C-CC91-4EF5-A0F3-9CAC9EF2A8CA}"/>
    <cellStyle name="Note 5 5" xfId="3795" xr:uid="{795858D3-D92B-439C-9FED-D5B29D5BFF83}"/>
    <cellStyle name="Note 5 6" xfId="4504" xr:uid="{0AC53120-CAFA-4B82-AC46-BF95E87AD141}"/>
    <cellStyle name="Note 5 7" xfId="4863" xr:uid="{4CD32D64-D16D-44DA-8450-FFEE0A479FBE}"/>
    <cellStyle name="Note 5 8" xfId="5025" xr:uid="{03D0EA0C-C317-4AD4-A5B8-FAFF02040A36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3" xfId="3486" xr:uid="{3C9DD515-0C38-4E24-B822-8F706051D6A5}"/>
    <cellStyle name="Note 50 2 4" xfId="3798" xr:uid="{CD1C446A-618F-425E-85D4-F95D0A78DD20}"/>
    <cellStyle name="Note 50 2 5" xfId="4501" xr:uid="{7028EABE-5ED9-4CED-A6C2-79B7542ECB4D}"/>
    <cellStyle name="Note 50 2 6" xfId="4866" xr:uid="{79F1D02F-749B-4F74-986C-F3E6B0954279}"/>
    <cellStyle name="Note 50 2 7" xfId="5028" xr:uid="{B4F5D766-9F45-4417-A125-39C27A07D7E2}"/>
    <cellStyle name="Note 50 3" xfId="2317" xr:uid="{00000000-0005-0000-0000-00000E090000}"/>
    <cellStyle name="Note 50 3 2" xfId="4291" xr:uid="{D05CEEF8-6E1A-4CCC-A0F1-7B034F7FEDC6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4502" xr:uid="{8A3E25FC-62C3-46A9-BC58-FFCCC9BE5E0C}"/>
    <cellStyle name="Note 50 8" xfId="4865" xr:uid="{D38D120F-46F3-48AD-9FB5-8B3991BF0613}"/>
    <cellStyle name="Note 50 9" xfId="5027" xr:uid="{7CD1ADC0-A5A9-4E79-A892-3EA8286D59BA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3" xfId="3484" xr:uid="{D2F38DBA-96C5-4508-8348-11CD1E2879B9}"/>
    <cellStyle name="Note 51 2 4" xfId="3800" xr:uid="{062DEFCE-F557-432B-BEEB-74BFA5FB3049}"/>
    <cellStyle name="Note 51 2 5" xfId="4499" xr:uid="{CBB25F91-B37F-4E02-8113-561EBEE94966}"/>
    <cellStyle name="Note 51 2 6" xfId="4868" xr:uid="{A70B4C5E-EB3C-4F43-90C4-AC86988F98DE}"/>
    <cellStyle name="Note 51 2 7" xfId="5030" xr:uid="{F12E72B1-EFD5-4F4B-A4B9-C3C1F4D8E8E1}"/>
    <cellStyle name="Note 51 3" xfId="2322" xr:uid="{00000000-0005-0000-0000-000013090000}"/>
    <cellStyle name="Note 51 3 2" xfId="4293" xr:uid="{10C3C32C-824E-412D-80F1-1BE7EAE1DC30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4500" xr:uid="{725714B5-B7B0-4F9B-A0CA-BCA7BB25966C}"/>
    <cellStyle name="Note 51 8" xfId="4867" xr:uid="{CF105813-6998-45AD-8847-4554C8D0B98D}"/>
    <cellStyle name="Note 51 9" xfId="5029" xr:uid="{5E9DDACD-0999-4945-9CBC-723C32BDF83E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3" xfId="3482" xr:uid="{1ECF9EF7-5CDC-4842-8EED-7A7158C36454}"/>
    <cellStyle name="Note 52 2 4" xfId="3802" xr:uid="{7FB1FDD6-88C6-438D-9D1A-22DFACA65859}"/>
    <cellStyle name="Note 52 2 5" xfId="4498" xr:uid="{69F19AF2-C403-4010-9DAD-6652F08D9BF1}"/>
    <cellStyle name="Note 52 2 6" xfId="4870" xr:uid="{893FD86E-0BDD-4AD2-83A7-E0F084A1A85F}"/>
    <cellStyle name="Note 52 2 7" xfId="5032" xr:uid="{1FBD1833-CA62-40BA-84E0-19EACA5FC1D1}"/>
    <cellStyle name="Note 52 3" xfId="2327" xr:uid="{00000000-0005-0000-0000-000018090000}"/>
    <cellStyle name="Note 52 3 2" xfId="4295" xr:uid="{6233BD20-EA3B-4CA6-A00A-F33C928563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4406" xr:uid="{9CBE4824-8CEE-498F-9172-156AA7FA8B07}"/>
    <cellStyle name="Note 52 8" xfId="4869" xr:uid="{5D22D713-89D6-4C02-82BE-F07C03052D1D}"/>
    <cellStyle name="Note 52 9" xfId="5031" xr:uid="{42AE32D9-3795-4313-98B2-5711778C69B4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3" xfId="3481" xr:uid="{E4FD0A0F-AEA7-40CE-B594-83368061886E}"/>
    <cellStyle name="Note 53 2 4" xfId="3804" xr:uid="{9720FAE0-5104-49B6-82D6-C7E06045B1AB}"/>
    <cellStyle name="Note 53 2 5" xfId="4496" xr:uid="{E30141B2-8910-4AF2-B5ED-C9E05DD42EB6}"/>
    <cellStyle name="Note 53 2 6" xfId="4872" xr:uid="{0EFC0669-E4BF-4587-A993-282003A30C71}"/>
    <cellStyle name="Note 53 2 7" xfId="5034" xr:uid="{8344D00C-3A5F-44C1-A2F7-219C950BA752}"/>
    <cellStyle name="Note 53 3" xfId="2332" xr:uid="{00000000-0005-0000-0000-00001D090000}"/>
    <cellStyle name="Note 53 3 2" xfId="4297" xr:uid="{A2AA1E76-5504-414A-92A8-88AA1EE21618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4497" xr:uid="{F335BBF0-72CE-49D0-9D6A-FC20B6D3C4A4}"/>
    <cellStyle name="Note 53 8" xfId="4871" xr:uid="{FB8F36E5-A5E6-4CBF-8966-088258F6E912}"/>
    <cellStyle name="Note 53 9" xfId="5033" xr:uid="{E46E470D-ADC1-485B-929B-54D3C86FF5CF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3" xfId="3479" xr:uid="{990101D9-287F-48E8-A556-C06EE6895E55}"/>
    <cellStyle name="Note 54 2 4" xfId="3806" xr:uid="{DDFAA899-5C3A-4D12-AD4D-75ADF149E9B2}"/>
    <cellStyle name="Note 54 2 5" xfId="4494" xr:uid="{B8DFDBD2-B93E-40A3-8F7B-EA01C87FC3B6}"/>
    <cellStyle name="Note 54 2 6" xfId="4874" xr:uid="{C0945450-80CF-452D-BC06-7857AC223CB8}"/>
    <cellStyle name="Note 54 2 7" xfId="5036" xr:uid="{5CBAE7FE-C260-4939-8B8C-BE61378ED999}"/>
    <cellStyle name="Note 54 3" xfId="2337" xr:uid="{00000000-0005-0000-0000-000022090000}"/>
    <cellStyle name="Note 54 3 2" xfId="4299" xr:uid="{64C3C11D-BC72-43CE-BD7B-C33027DB89D0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4495" xr:uid="{0B3A9E97-BD17-4026-8FAA-4CEDAEE5DEEA}"/>
    <cellStyle name="Note 54 8" xfId="4873" xr:uid="{F9295102-E44D-4A89-BB91-6000DEA85652}"/>
    <cellStyle name="Note 54 9" xfId="5035" xr:uid="{EF15EE79-D58E-4632-8F5A-EC69AFCB58D6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3" xfId="3477" xr:uid="{E90D818D-A7FA-4CC4-A9F3-6EBCFF1E604A}"/>
    <cellStyle name="Note 55 2 4" xfId="3808" xr:uid="{1E3255EC-C1C4-4C0B-BB27-614AB08AAA2F}"/>
    <cellStyle name="Note 55 2 5" xfId="4492" xr:uid="{6B32CAF6-041E-482C-ABCB-C79CA548E217}"/>
    <cellStyle name="Note 55 2 6" xfId="4876" xr:uid="{90480E07-56A2-4820-BA90-363597142941}"/>
    <cellStyle name="Note 55 2 7" xfId="5038" xr:uid="{C998727B-1E80-4623-8DE1-8D124E5E0D1E}"/>
    <cellStyle name="Note 55 3" xfId="2342" xr:uid="{00000000-0005-0000-0000-000027090000}"/>
    <cellStyle name="Note 55 3 2" xfId="4301" xr:uid="{A31E4B4D-F777-40BB-A1D9-6C98B803EC61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4493" xr:uid="{A660F03B-3D3F-4535-B4A1-CBC71492B5A3}"/>
    <cellStyle name="Note 55 8" xfId="4875" xr:uid="{276F7833-745C-4209-9288-6F5CBB53A10E}"/>
    <cellStyle name="Note 55 9" xfId="5037" xr:uid="{85DD5733-A3FF-4E9B-8048-6A566C03DFC1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3" xfId="3475" xr:uid="{AAF47213-36DC-46F2-B03F-A50480979786}"/>
    <cellStyle name="Note 56 2 4" xfId="3810" xr:uid="{329BAC08-0649-4D00-9FDF-DF6523AA9E5B}"/>
    <cellStyle name="Note 56 2 5" xfId="4490" xr:uid="{BFDB74DE-4A28-4D23-BEDF-310ABF30B4C5}"/>
    <cellStyle name="Note 56 2 6" xfId="4878" xr:uid="{F08B3DEF-E7A2-49BF-9981-1A2F400EBECF}"/>
    <cellStyle name="Note 56 2 7" xfId="5040" xr:uid="{027C86B7-0D4E-4585-8B39-BC97E16E54AD}"/>
    <cellStyle name="Note 56 3" xfId="2347" xr:uid="{00000000-0005-0000-0000-00002C090000}"/>
    <cellStyle name="Note 56 3 2" xfId="4303" xr:uid="{EB9704C6-1EF3-4C0D-A64E-949189FEF90C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4491" xr:uid="{AB993D80-8D72-4DB5-923F-4F8F12D3D39D}"/>
    <cellStyle name="Note 56 8" xfId="4877" xr:uid="{30E80195-977D-4641-830D-EFF8AB886F01}"/>
    <cellStyle name="Note 56 9" xfId="5039" xr:uid="{440D4CE6-B35C-41B2-ACE2-15102A9880E5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3" xfId="3473" xr:uid="{89D3CF2D-DC43-4D24-9CD4-B7275832E265}"/>
    <cellStyle name="Note 57 2 4" xfId="3812" xr:uid="{EAD1D9D9-99AD-40FB-93F3-4A3B33853E08}"/>
    <cellStyle name="Note 57 2 5" xfId="4488" xr:uid="{06FF2326-7C4B-4407-B7E3-CED4E8C63BC5}"/>
    <cellStyle name="Note 57 2 6" xfId="4880" xr:uid="{AC89FE17-F331-4D7D-B675-21954DD29268}"/>
    <cellStyle name="Note 57 2 7" xfId="5042" xr:uid="{DF588B2C-6C3B-473C-ACC5-3BA7103175E8}"/>
    <cellStyle name="Note 57 3" xfId="2352" xr:uid="{00000000-0005-0000-0000-000031090000}"/>
    <cellStyle name="Note 57 3 2" xfId="4305" xr:uid="{4C6F131D-69AD-4362-B698-96565E7AC33A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4489" xr:uid="{5B011AA6-0A74-49FF-A527-A6AE34B1695F}"/>
    <cellStyle name="Note 57 8" xfId="4879" xr:uid="{711D16DD-6D82-455E-994C-2C125699CA57}"/>
    <cellStyle name="Note 57 9" xfId="5041" xr:uid="{2EABFED8-440B-4223-99DA-D931912AFFDE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3" xfId="3471" xr:uid="{3C78692E-5082-40E6-B7C3-C43F58BCCAC2}"/>
    <cellStyle name="Note 58 2 4" xfId="3814" xr:uid="{912DA850-2B74-4B59-BECC-BF680D65EF3A}"/>
    <cellStyle name="Note 58 2 5" xfId="4487" xr:uid="{F4406496-2221-43E8-A471-034031492FB9}"/>
    <cellStyle name="Note 58 2 6" xfId="4882" xr:uid="{CD67CA82-A397-4075-A440-810B45DD2268}"/>
    <cellStyle name="Note 58 2 7" xfId="5044" xr:uid="{F474FA25-D61A-409F-99E5-C58438A48FB0}"/>
    <cellStyle name="Note 58 3" xfId="2357" xr:uid="{00000000-0005-0000-0000-000036090000}"/>
    <cellStyle name="Note 58 3 2" xfId="4307" xr:uid="{821BCF80-CC47-4476-A87F-CD8C6A9AFD72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4405" xr:uid="{17285AB0-7FB3-4FD9-989B-8C6695F4B470}"/>
    <cellStyle name="Note 58 8" xfId="4881" xr:uid="{24A5415B-23D3-4ADA-A30B-A8F826EEEE5D}"/>
    <cellStyle name="Note 58 9" xfId="5043" xr:uid="{3A50DA00-F6CC-42C9-B41F-B0021848D2C7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3" xfId="3470" xr:uid="{2B8C3AA4-8A17-4CB0-8C48-8DFBE13BD1F0}"/>
    <cellStyle name="Note 59 2 4" xfId="3816" xr:uid="{D73B4D2D-2E63-4A5C-BEAC-89108EDD6216}"/>
    <cellStyle name="Note 59 2 5" xfId="4485" xr:uid="{637E9888-DB5A-431B-ACC0-C6C50FB625DB}"/>
    <cellStyle name="Note 59 2 6" xfId="4884" xr:uid="{1170F1A0-07D6-4CB6-8B84-F1C67E6F20C0}"/>
    <cellStyle name="Note 59 2 7" xfId="5046" xr:uid="{35D60A2C-D9D2-4D01-91DB-5674C199C446}"/>
    <cellStyle name="Note 59 3" xfId="2362" xr:uid="{00000000-0005-0000-0000-00003B090000}"/>
    <cellStyle name="Note 59 3 2" xfId="4309" xr:uid="{3FB6D7A1-F8BA-448A-A99D-ED10F832C376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4486" xr:uid="{C8DC304C-D399-441D-B5E7-6A6A36BA0275}"/>
    <cellStyle name="Note 59 8" xfId="4883" xr:uid="{38B902EA-7757-4261-A2B1-A9FD824B1911}"/>
    <cellStyle name="Note 59 9" xfId="5045" xr:uid="{B4A610C0-F360-4607-8837-3149902B239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3" xfId="3468" xr:uid="{97EC34DB-90D0-40F0-8583-4477EFC3B95C}"/>
    <cellStyle name="Note 6 2 4" xfId="3818" xr:uid="{92300398-3963-49A4-8915-9C5B5AB884F5}"/>
    <cellStyle name="Note 6 2 5" xfId="4483" xr:uid="{35A82F2A-CE06-455E-9C1E-4827187759FB}"/>
    <cellStyle name="Note 6 2 6" xfId="4886" xr:uid="{F6F98A90-25F1-490C-9DB4-D51667788E06}"/>
    <cellStyle name="Note 6 2 7" xfId="5048" xr:uid="{E479B30C-B067-425B-A220-C6C97F4F0006}"/>
    <cellStyle name="Note 6 3" xfId="2367" xr:uid="{00000000-0005-0000-0000-000040090000}"/>
    <cellStyle name="Note 6 3 2" xfId="4311" xr:uid="{1B3D2CA9-244E-4774-A872-B6C94509CC24}"/>
    <cellStyle name="Note 6 4" xfId="3469" xr:uid="{B4B897CE-54BF-4873-B498-E92023131A54}"/>
    <cellStyle name="Note 6 5" xfId="3817" xr:uid="{BC032CB4-A068-4FC7-8B5C-389A088A1642}"/>
    <cellStyle name="Note 6 6" xfId="4484" xr:uid="{5D6A226C-AEF2-441F-937A-312AF66293D9}"/>
    <cellStyle name="Note 6 7" xfId="4885" xr:uid="{CEDE5ABB-2C0B-4F5F-8DA0-2C51A1FA3DF0}"/>
    <cellStyle name="Note 6 8" xfId="5047" xr:uid="{1AE68ED6-0B5D-4121-8C13-98863A079B64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3" xfId="3466" xr:uid="{4AA7F023-836A-40A8-806A-A4F62DC226CA}"/>
    <cellStyle name="Note 60 2 4" xfId="3820" xr:uid="{AF4EC94C-CD3C-4971-8C78-1017E88ABA13}"/>
    <cellStyle name="Note 60 2 5" xfId="4481" xr:uid="{C0FDAEC1-EA4C-4BCE-BB72-8CA56D756411}"/>
    <cellStyle name="Note 60 2 6" xfId="4888" xr:uid="{508E5AD0-CA67-4B33-94D6-61B4EE048B66}"/>
    <cellStyle name="Note 60 2 7" xfId="5050" xr:uid="{45F93384-1440-4B7B-9352-B701424DA3A2}"/>
    <cellStyle name="Note 60 3" xfId="2372" xr:uid="{00000000-0005-0000-0000-000045090000}"/>
    <cellStyle name="Note 60 3 2" xfId="4313" xr:uid="{CBA1D702-BB9E-49FA-8B6E-DD03FF78A3BC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4482" xr:uid="{2D7CDD94-DCDB-4356-B399-4DF137F88FCF}"/>
    <cellStyle name="Note 60 8" xfId="4887" xr:uid="{75557338-F4DA-4271-869F-6790A153A173}"/>
    <cellStyle name="Note 60 9" xfId="5049" xr:uid="{8CA22591-7544-4A52-9EAC-472E403C7FDA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3" xfId="3464" xr:uid="{DDDE5100-46D0-486E-80CF-D7BD87181EE7}"/>
    <cellStyle name="Note 61 2 4" xfId="3822" xr:uid="{66EBCC7F-DAB8-45A0-B165-E680D51691D2}"/>
    <cellStyle name="Note 61 2 5" xfId="4479" xr:uid="{6D840B75-66A2-4F37-9FED-281F3F9107E9}"/>
    <cellStyle name="Note 61 2 6" xfId="4890" xr:uid="{459394A3-A781-40EC-AB20-0F2F07D8ECC4}"/>
    <cellStyle name="Note 61 2 7" xfId="5052" xr:uid="{39522CDC-BE4F-4005-B080-74C38A98D749}"/>
    <cellStyle name="Note 61 3" xfId="2377" xr:uid="{00000000-0005-0000-0000-00004A090000}"/>
    <cellStyle name="Note 61 3 2" xfId="4315" xr:uid="{1E2A9E4C-C662-4001-9452-B22D6C80C5AD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4480" xr:uid="{45BA7352-7A33-48C3-B7A4-9FF16CC46BA4}"/>
    <cellStyle name="Note 61 8" xfId="4889" xr:uid="{E8278E10-5F66-41F9-8A30-0D693987EC89}"/>
    <cellStyle name="Note 61 9" xfId="5051" xr:uid="{A28343AD-D231-4D3D-9BC7-320E1D553DA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3" xfId="3462" xr:uid="{1258BD25-7A58-4C7F-986D-5AAAE1D66947}"/>
    <cellStyle name="Note 62 2 4" xfId="3824" xr:uid="{C0394381-856B-4E2A-856C-2B85FD9E3C78}"/>
    <cellStyle name="Note 62 2 5" xfId="4477" xr:uid="{3385D6CE-76E4-445E-81A0-A090A92164BD}"/>
    <cellStyle name="Note 62 2 6" xfId="4892" xr:uid="{A93DF843-E3D2-46D0-A986-D035E1D319A0}"/>
    <cellStyle name="Note 62 2 7" xfId="5054" xr:uid="{E06B228A-C299-4B83-864B-4484B7B2F495}"/>
    <cellStyle name="Note 62 3" xfId="2382" xr:uid="{00000000-0005-0000-0000-00004F090000}"/>
    <cellStyle name="Note 62 3 2" xfId="4317" xr:uid="{9BF7B899-E718-49BD-AEA5-7A9FA040C3D6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4478" xr:uid="{7990AEDE-C946-4EF5-850E-D13365D8FCF1}"/>
    <cellStyle name="Note 62 8" xfId="4891" xr:uid="{AE9FB2AB-7EE4-4536-B59C-4D2C97C1494A}"/>
    <cellStyle name="Note 62 9" xfId="5053" xr:uid="{8FB7DFC9-3418-4DFA-92E0-638D4F6E7F9A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3" xfId="3460" xr:uid="{F029531F-8344-4B58-810E-3D5203E21624}"/>
    <cellStyle name="Note 63 2 4" xfId="3826" xr:uid="{1FB6AD51-60BF-47B0-BA1C-83CDA1B030DD}"/>
    <cellStyle name="Note 63 2 5" xfId="4476" xr:uid="{4657B740-50CD-425B-A19A-90360C3B62F4}"/>
    <cellStyle name="Note 63 2 6" xfId="4894" xr:uid="{BC722987-5B6E-4BB5-9799-E1977E21D715}"/>
    <cellStyle name="Note 63 2 7" xfId="5056" xr:uid="{FFD6C80E-BE1A-495F-A2D8-08F42E1F9FDF}"/>
    <cellStyle name="Note 63 3" xfId="2387" xr:uid="{00000000-0005-0000-0000-000054090000}"/>
    <cellStyle name="Note 63 3 2" xfId="4319" xr:uid="{9C388A64-83D9-40B3-95CE-E1F790973C2D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4404" xr:uid="{A31712D3-BFDA-4D9C-BDDC-1467C5884FA0}"/>
    <cellStyle name="Note 63 8" xfId="4893" xr:uid="{91012FBA-8FDB-419C-B13A-B922D540B6C5}"/>
    <cellStyle name="Note 63 9" xfId="5055" xr:uid="{85E76F7C-50AC-46FB-944A-F8DB554AAC8D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3" xfId="3459" xr:uid="{40E0B932-C626-4C4F-9C61-75395C08E8DF}"/>
    <cellStyle name="Note 64 2 4" xfId="3828" xr:uid="{43D7102F-D88C-46F6-89C7-B939854C8691}"/>
    <cellStyle name="Note 64 2 5" xfId="4474" xr:uid="{FC701B23-E32F-4481-B09C-66899BE5FD73}"/>
    <cellStyle name="Note 64 2 6" xfId="4896" xr:uid="{D98E169C-C5AF-4AE5-9EF6-FA5B99131BDF}"/>
    <cellStyle name="Note 64 2 7" xfId="5058" xr:uid="{496213AA-FA9C-4D53-BC31-E3496AC387C3}"/>
    <cellStyle name="Note 64 3" xfId="2392" xr:uid="{00000000-0005-0000-0000-000059090000}"/>
    <cellStyle name="Note 64 3 2" xfId="4321" xr:uid="{6067FB56-D178-467B-B7AE-2AD726F7B3AC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4475" xr:uid="{63DB243A-81DE-41F8-A9F0-06F1F08DAA7C}"/>
    <cellStyle name="Note 64 8" xfId="4895" xr:uid="{03D7D054-2A56-4D5E-B168-FCE6C49DB88E}"/>
    <cellStyle name="Note 64 9" xfId="5057" xr:uid="{8C88CFB1-B31B-400E-A079-03856DB6A5D5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3" xfId="3457" xr:uid="{CA92A2EF-0D7A-49C5-8FC6-ACFD0EAED52D}"/>
    <cellStyle name="Note 65 2 4" xfId="3830" xr:uid="{11BF8F55-4D06-414D-8391-1246CBE5827F}"/>
    <cellStyle name="Note 65 2 5" xfId="4472" xr:uid="{E4AC2817-44BE-4051-BF03-45CEE5CCF852}"/>
    <cellStyle name="Note 65 2 6" xfId="4898" xr:uid="{1D9EEE31-B12B-4757-8D65-A64EE63AA68F}"/>
    <cellStyle name="Note 65 2 7" xfId="5060" xr:uid="{6ADE31C5-FA31-448C-BB09-03407E444342}"/>
    <cellStyle name="Note 65 3" xfId="2397" xr:uid="{00000000-0005-0000-0000-00005E090000}"/>
    <cellStyle name="Note 65 3 2" xfId="4323" xr:uid="{582672B0-0B36-45C8-865E-85B5315411ED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4473" xr:uid="{F1BB3192-2589-4439-9A70-BD3151E6DCC1}"/>
    <cellStyle name="Note 65 8" xfId="4897" xr:uid="{FBA119A0-A9CD-4389-8780-A0EAD142F20A}"/>
    <cellStyle name="Note 65 9" xfId="5059" xr:uid="{095067DB-F824-4692-9949-E65A0E10753B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3" xfId="3455" xr:uid="{081B59F1-515D-435D-A288-DE6361961218}"/>
    <cellStyle name="Note 66 2 4" xfId="3832" xr:uid="{037AF8C6-EC11-48A2-AC8D-059B870460BB}"/>
    <cellStyle name="Note 66 2 5" xfId="4470" xr:uid="{F61EE57D-E977-42D3-A886-1E95AE21DB69}"/>
    <cellStyle name="Note 66 2 6" xfId="4900" xr:uid="{4B45C0CA-FED3-4684-8ACC-A3FFB84F7ED1}"/>
    <cellStyle name="Note 66 2 7" xfId="5062" xr:uid="{B62CB0F4-9A2C-4729-984D-414FAFD7DB4D}"/>
    <cellStyle name="Note 66 3" xfId="2402" xr:uid="{00000000-0005-0000-0000-000063090000}"/>
    <cellStyle name="Note 66 3 2" xfId="4325" xr:uid="{6EE4DFCF-3625-4927-86FE-B55FD9039EA7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4471" xr:uid="{0D974AE4-69E3-494C-A647-DFA828FBC672}"/>
    <cellStyle name="Note 66 8" xfId="4899" xr:uid="{64A09B45-0CF8-4B63-BD67-7C7DB6A42071}"/>
    <cellStyle name="Note 66 9" xfId="5061" xr:uid="{74AA2EF7-D8BB-43F9-83D4-D6FF7257EB6C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3" xfId="3453" xr:uid="{C48223B8-8F65-4898-AE82-DE72A4859E49}"/>
    <cellStyle name="Note 67 2 4" xfId="3834" xr:uid="{84B26C43-B468-43D1-81DA-FD855E5E15A6}"/>
    <cellStyle name="Note 67 2 5" xfId="4468" xr:uid="{89428C14-7974-43AF-A2CB-7917E5F58CED}"/>
    <cellStyle name="Note 67 2 6" xfId="4902" xr:uid="{E295D9D4-D133-4EC9-AAD7-43CC6334AFCA}"/>
    <cellStyle name="Note 67 2 7" xfId="5064" xr:uid="{6F36BB38-7DD7-4DCC-94AF-BACFE44B63FA}"/>
    <cellStyle name="Note 67 3" xfId="2407" xr:uid="{00000000-0005-0000-0000-000068090000}"/>
    <cellStyle name="Note 67 3 2" xfId="4327" xr:uid="{4800A7B6-8E43-485D-9E3C-8A78BCA87D95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4469" xr:uid="{4A21C0B0-ABF2-4983-9225-C86E332EFFBF}"/>
    <cellStyle name="Note 67 8" xfId="4901" xr:uid="{DFC0A35D-C7AB-4FB2-A7FD-5AD84FD0DBA8}"/>
    <cellStyle name="Note 67 9" xfId="5063" xr:uid="{5CD71A3A-8BBC-4D93-A6A3-5E29752A0D6C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3" xfId="3451" xr:uid="{7608682C-D614-4A73-B7D8-6B9C9E2980FB}"/>
    <cellStyle name="Note 68 2 4" xfId="3836" xr:uid="{162450D7-F95E-4FAD-B544-3E51D8F7D45A}"/>
    <cellStyle name="Note 68 2 5" xfId="4466" xr:uid="{7F85A341-2D2A-4055-A874-710B68EFD5BD}"/>
    <cellStyle name="Note 68 2 6" xfId="4904" xr:uid="{198A242D-7C71-47B4-B2DA-C4A7ADABFFC8}"/>
    <cellStyle name="Note 68 2 7" xfId="5066" xr:uid="{CC5703DA-AD87-4AAB-BE9E-1685CAF99E73}"/>
    <cellStyle name="Note 68 3" xfId="2412" xr:uid="{00000000-0005-0000-0000-00006D090000}"/>
    <cellStyle name="Note 68 3 2" xfId="4329" xr:uid="{E13F8607-15AB-4201-9FF7-B0ADB4DB5F4F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4467" xr:uid="{615DA755-4122-4A97-8EAE-CB90E3C191EA}"/>
    <cellStyle name="Note 68 8" xfId="4903" xr:uid="{1EDB1D8E-06CA-4A1B-BE82-D5BB788E7E20}"/>
    <cellStyle name="Note 68 9" xfId="5065" xr:uid="{FF71C22F-27D0-43DA-AE60-2CDEA13CD775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3" xfId="3449" xr:uid="{FFCCD98F-4E39-4BBE-9F3A-7C01D55065D7}"/>
    <cellStyle name="Note 69 2 4" xfId="3838" xr:uid="{E89EACE2-33B6-47DE-935C-4A527E5C934F}"/>
    <cellStyle name="Note 69 2 5" xfId="4465" xr:uid="{171365C3-1482-45C4-A97E-71371C36E6E6}"/>
    <cellStyle name="Note 69 2 6" xfId="4906" xr:uid="{69636414-F700-4BD9-8279-46874BD1367A}"/>
    <cellStyle name="Note 69 2 7" xfId="5068" xr:uid="{8E2AC093-0E1C-4C77-BA47-DA2CE61F9A8D}"/>
    <cellStyle name="Note 69 3" xfId="2417" xr:uid="{00000000-0005-0000-0000-000072090000}"/>
    <cellStyle name="Note 69 3 2" xfId="4331" xr:uid="{D709B28B-EA5C-41E4-BF03-82ED3FFD0FBD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4403" xr:uid="{750C5BF6-78B3-4027-B184-242187028BEB}"/>
    <cellStyle name="Note 69 8" xfId="4905" xr:uid="{BADD62F9-A0FB-4B81-BF31-89B7623D27D7}"/>
    <cellStyle name="Note 69 9" xfId="5067" xr:uid="{73A07BA8-627C-4E26-A3E8-55574156B445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3" xfId="3448" xr:uid="{923C6867-DA69-4362-9B42-E45F8A03D181}"/>
    <cellStyle name="Note 7 2 4" xfId="3840" xr:uid="{A0D7EE96-6F9A-48DC-AB8C-6831A57B87A7}"/>
    <cellStyle name="Note 7 2 5" xfId="4463" xr:uid="{1CEF9B4F-4192-44C5-B070-6A427EC118B9}"/>
    <cellStyle name="Note 7 2 6" xfId="4908" xr:uid="{1BF86C60-73B7-41BD-A017-4EA1922EF934}"/>
    <cellStyle name="Note 7 2 7" xfId="5070" xr:uid="{C77B2A6C-9B4E-4DB9-B251-477FAEFBBF3C}"/>
    <cellStyle name="Note 7 3" xfId="2422" xr:uid="{00000000-0005-0000-0000-000077090000}"/>
    <cellStyle name="Note 7 3 2" xfId="4333" xr:uid="{C440E3D5-2D49-4664-BD0D-BF2B4AD127EA}"/>
    <cellStyle name="Note 7 4" xfId="3391" xr:uid="{ADAC95AB-0335-44D0-A3AE-7575F66058E7}"/>
    <cellStyle name="Note 7 5" xfId="3839" xr:uid="{0074306A-67FF-4F11-B876-3679BDFF4C5F}"/>
    <cellStyle name="Note 7 6" xfId="4464" xr:uid="{CB0F2697-67AA-4FD1-8646-47B52055BC2E}"/>
    <cellStyle name="Note 7 7" xfId="4907" xr:uid="{205CB4D3-DF85-4CEF-AE20-EE76730062AC}"/>
    <cellStyle name="Note 7 8" xfId="5069" xr:uid="{B9190A60-908C-44CB-B13C-792D8A98F74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3" xfId="3446" xr:uid="{417A6E39-FE34-4312-9F58-6F02602995FE}"/>
    <cellStyle name="Note 70 2 4" xfId="3842" xr:uid="{FA4A274E-6C9A-47C9-9947-4587FBC73319}"/>
    <cellStyle name="Note 70 2 5" xfId="4461" xr:uid="{3626D80F-307E-48CE-83CA-0854C617C22E}"/>
    <cellStyle name="Note 70 2 6" xfId="4910" xr:uid="{E5C5EC25-13FA-4785-B5ED-CEE658A6811E}"/>
    <cellStyle name="Note 70 2 7" xfId="5072" xr:uid="{AE06DDAC-51A7-4180-970A-2AF16A234378}"/>
    <cellStyle name="Note 70 3" xfId="2427" xr:uid="{00000000-0005-0000-0000-00007C090000}"/>
    <cellStyle name="Note 70 3 2" xfId="4335" xr:uid="{7FF1A8AB-50C4-4AC5-8720-75844785699A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4462" xr:uid="{B3AC25E3-9066-47FA-B2FE-08ECB366E309}"/>
    <cellStyle name="Note 70 8" xfId="4909" xr:uid="{8A23A63F-406E-46FC-AE7B-FC9CB1CC4022}"/>
    <cellStyle name="Note 70 9" xfId="5071" xr:uid="{9640BC5A-A245-46FA-9CA5-38E61C2FD987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3" xfId="3444" xr:uid="{7DD1238F-C7D2-417B-8478-7DA968FE23FF}"/>
    <cellStyle name="Note 71 2 4" xfId="3844" xr:uid="{EAD1318D-E4A7-4ACA-9E7E-FCB1EBC627CB}"/>
    <cellStyle name="Note 71 2 5" xfId="4459" xr:uid="{565111F1-10A8-449C-A8D5-D7E463C52425}"/>
    <cellStyle name="Note 71 2 6" xfId="4912" xr:uid="{CC5B3BCB-E358-4CCB-8DE1-90683C43CA8D}"/>
    <cellStyle name="Note 71 2 7" xfId="5074" xr:uid="{01230B20-38BA-4C4D-A121-6D13B6174649}"/>
    <cellStyle name="Note 71 3" xfId="2432" xr:uid="{00000000-0005-0000-0000-000081090000}"/>
    <cellStyle name="Note 71 3 2" xfId="4337" xr:uid="{D1F9FB63-33B9-4A8C-9C67-46383462AE67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4460" xr:uid="{0519ADF5-F032-4607-AC30-14CFBF481AAF}"/>
    <cellStyle name="Note 71 8" xfId="4911" xr:uid="{F802AD71-AE51-4AE7-9FB4-C1808F9D4576}"/>
    <cellStyle name="Note 71 9" xfId="5073" xr:uid="{EF6C4B3C-3539-4DF8-B0DC-6E85A8DF9652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3" xfId="3442" xr:uid="{AA1E0486-FDEF-46DE-99BE-362FF04E9F90}"/>
    <cellStyle name="Note 72 2 4" xfId="3846" xr:uid="{AA31320A-46C1-40AD-BB49-16F9AEC066F5}"/>
    <cellStyle name="Note 72 2 5" xfId="4457" xr:uid="{78069E4E-2CA8-4E6C-8018-6582A98D4714}"/>
    <cellStyle name="Note 72 2 6" xfId="4914" xr:uid="{3C87F68C-3E1D-4A20-811B-FCA2C0095AD3}"/>
    <cellStyle name="Note 72 2 7" xfId="5076" xr:uid="{1DC02177-0360-4640-8DB4-BB3B3661497B}"/>
    <cellStyle name="Note 72 3" xfId="2437" xr:uid="{00000000-0005-0000-0000-000086090000}"/>
    <cellStyle name="Note 72 3 2" xfId="4339" xr:uid="{A6F6DAC5-284B-4343-B305-1807A6267590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4458" xr:uid="{D22E99BF-4951-4415-ABB4-C5455E3C3AA6}"/>
    <cellStyle name="Note 72 8" xfId="4913" xr:uid="{707CAFBE-79A2-4716-B9E8-85F4884ED641}"/>
    <cellStyle name="Note 72 9" xfId="5075" xr:uid="{8C65A647-5CB6-487A-93E7-6AB996AD20A2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3" xfId="3440" xr:uid="{24B1816B-CE50-40B1-B466-4A7CD878D5AF}"/>
    <cellStyle name="Note 73 2 4" xfId="3848" xr:uid="{1075EE02-CD5E-4D84-9C53-318421321385}"/>
    <cellStyle name="Note 73 2 5" xfId="4455" xr:uid="{39A7BDC1-AAAB-435A-A7E6-706BF3A454D1}"/>
    <cellStyle name="Note 73 2 6" xfId="4916" xr:uid="{DD55211E-DC69-4132-A219-33831E3276B0}"/>
    <cellStyle name="Note 73 2 7" xfId="5078" xr:uid="{7229316C-CB85-456F-A61F-2184D94529F8}"/>
    <cellStyle name="Note 73 3" xfId="2442" xr:uid="{00000000-0005-0000-0000-00008B090000}"/>
    <cellStyle name="Note 73 3 2" xfId="4341" xr:uid="{8A849F18-9A0E-4B7B-A696-2F4E0D23DCA9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4456" xr:uid="{9D0A5974-63B7-4228-B9BE-E2435085CA26}"/>
    <cellStyle name="Note 73 8" xfId="4915" xr:uid="{4A4D3C57-1F80-4850-95A1-DD3944CEBD56}"/>
    <cellStyle name="Note 73 9" xfId="5077" xr:uid="{797075C8-EFC7-4A28-BE40-79EC773778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3" xfId="3438" xr:uid="{2C949DF1-50AA-4345-9438-D65C5564374F}"/>
    <cellStyle name="Note 74 2 4" xfId="3850" xr:uid="{2D90E540-5BCE-4728-8C71-6949D0940C7A}"/>
    <cellStyle name="Note 74 2 5" xfId="4454" xr:uid="{E95E71D5-569B-4D98-B935-42DC80CA1A2B}"/>
    <cellStyle name="Note 74 2 6" xfId="4918" xr:uid="{C9D6B34C-29CA-4D49-BBBB-D01AC1E94825}"/>
    <cellStyle name="Note 74 2 7" xfId="5080" xr:uid="{90EB5E43-38E2-402A-B06B-91D43AF11EE4}"/>
    <cellStyle name="Note 74 3" xfId="2447" xr:uid="{00000000-0005-0000-0000-000090090000}"/>
    <cellStyle name="Note 74 3 2" xfId="4343" xr:uid="{FF881A97-22AD-47BE-85DE-E477D1F0C133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4402" xr:uid="{BE0E43CC-12BC-4113-B37E-9811BF894A09}"/>
    <cellStyle name="Note 74 8" xfId="4917" xr:uid="{D516EB86-E214-44C1-9BF3-A07D476778A3}"/>
    <cellStyle name="Note 74 9" xfId="5079" xr:uid="{709643FA-5E72-4E2B-8BB0-D9DE582BACDD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3" xfId="3437" xr:uid="{14B96D1B-7F2E-4588-A3C6-DD8DE823F93F}"/>
    <cellStyle name="Note 75 2 4" xfId="3852" xr:uid="{4BFF4153-CFB2-4FCB-A428-BDAA4852C4B0}"/>
    <cellStyle name="Note 75 2 5" xfId="4452" xr:uid="{E5C09B4C-BBEC-473F-9D2C-4FFC54A50E1C}"/>
    <cellStyle name="Note 75 2 6" xfId="4920" xr:uid="{CCE4E0E9-2B64-49D7-B5AA-A74D5AAD18DD}"/>
    <cellStyle name="Note 75 2 7" xfId="5082" xr:uid="{05526087-CD06-4BC7-9BD1-C5A7E2A6113A}"/>
    <cellStyle name="Note 75 3" xfId="2452" xr:uid="{00000000-0005-0000-0000-000095090000}"/>
    <cellStyle name="Note 75 3 2" xfId="4345" xr:uid="{0D5D9FC0-ADE7-4221-A385-212A05DFDCC7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4453" xr:uid="{0B621896-0037-4A50-BDD6-590865902EB4}"/>
    <cellStyle name="Note 75 8" xfId="4919" xr:uid="{4DC6E324-9C47-4640-B3A2-F214EF531E0A}"/>
    <cellStyle name="Note 75 9" xfId="5081" xr:uid="{F2965AA3-7EC4-42A4-902E-DBF2251642C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3" xfId="3435" xr:uid="{8E43AD71-6F7D-4403-9C05-05DC9E0C9B47}"/>
    <cellStyle name="Note 76 2 4" xfId="3854" xr:uid="{47BFCD3F-AC23-4157-B93C-E5BB2D0E38CF}"/>
    <cellStyle name="Note 76 2 5" xfId="4450" xr:uid="{BB0AD707-EAA5-4AFA-B8C8-98ECF40B4C15}"/>
    <cellStyle name="Note 76 2 6" xfId="4922" xr:uid="{7BFCB69C-3A18-4C19-8933-FC39C481F33C}"/>
    <cellStyle name="Note 76 2 7" xfId="5084" xr:uid="{B4C67BBC-8D5E-4F1D-ACEA-18FCA2B6A572}"/>
    <cellStyle name="Note 76 3" xfId="2457" xr:uid="{00000000-0005-0000-0000-00009A090000}"/>
    <cellStyle name="Note 76 3 2" xfId="4347" xr:uid="{7DC4257C-805D-4915-8007-89CBEC2C7677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4451" xr:uid="{9A520C02-165E-47D2-B9E4-20E9CB4ABA12}"/>
    <cellStyle name="Note 76 8" xfId="4921" xr:uid="{BBE54A73-0893-4725-9515-D9BE4266B919}"/>
    <cellStyle name="Note 76 9" xfId="5083" xr:uid="{3C0A1655-AF47-467B-AFFA-4CE7C225525D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3" xfId="3433" xr:uid="{0940FEDE-0766-4A11-A202-D085A79BDE95}"/>
    <cellStyle name="Note 77 2 4" xfId="3856" xr:uid="{C26E0A07-6029-44DF-8DFF-4195E532FFE4}"/>
    <cellStyle name="Note 77 2 5" xfId="4448" xr:uid="{B96FDBAB-04EA-4EBC-ADA8-E6A35A8D1D34}"/>
    <cellStyle name="Note 77 2 6" xfId="4924" xr:uid="{D56CC7A0-5BFB-43CA-A7C1-47091BAD897B}"/>
    <cellStyle name="Note 77 2 7" xfId="5086" xr:uid="{879F4E05-8683-41FC-B0A6-95EDAF801A67}"/>
    <cellStyle name="Note 77 3" xfId="2462" xr:uid="{00000000-0005-0000-0000-00009F090000}"/>
    <cellStyle name="Note 77 3 2" xfId="4349" xr:uid="{899CE4EC-FC74-4A43-B638-0E53695CE3B4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4449" xr:uid="{00339830-7CE7-40A1-8626-B76A2365A683}"/>
    <cellStyle name="Note 77 8" xfId="4923" xr:uid="{7EDC7755-970A-4627-AC74-37DC0ED901A7}"/>
    <cellStyle name="Note 77 9" xfId="5085" xr:uid="{04190895-2955-4C39-969D-CBF2180AFAD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3" xfId="3431" xr:uid="{83FB903F-87B4-407A-AAD7-B191B3C7BEEE}"/>
    <cellStyle name="Note 78 2 4" xfId="3858" xr:uid="{599DEC17-F1CE-44A6-A138-67D2C384B154}"/>
    <cellStyle name="Note 78 2 5" xfId="4446" xr:uid="{70579B74-5366-42F2-AF57-73739F294D0B}"/>
    <cellStyle name="Note 78 2 6" xfId="4926" xr:uid="{8337A898-E294-43B2-AB07-DC3890943E97}"/>
    <cellStyle name="Note 78 2 7" xfId="5088" xr:uid="{F81CA5AE-C00A-4D4B-895D-D56C847F9A0D}"/>
    <cellStyle name="Note 78 3" xfId="2467" xr:uid="{00000000-0005-0000-0000-0000A4090000}"/>
    <cellStyle name="Note 78 3 2" xfId="4351" xr:uid="{0BC94406-FE77-4B9C-8F4F-13C8F0975A34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4447" xr:uid="{633CAF21-9499-407C-A2D5-362D1A6798C4}"/>
    <cellStyle name="Note 78 8" xfId="4925" xr:uid="{05F7BB45-0B28-4CFD-B7F8-35255EC041CF}"/>
    <cellStyle name="Note 78 9" xfId="5087" xr:uid="{BF46A466-28D6-4897-B1B4-59361346CEF9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3" xfId="3429" xr:uid="{F0A438FA-079E-4EF0-8A2C-8E256FCE634C}"/>
    <cellStyle name="Note 8 2 4" xfId="3860" xr:uid="{2BA832EF-8763-4C69-A9D1-1F3C8ADFC82C}"/>
    <cellStyle name="Note 8 2 5" xfId="4444" xr:uid="{98C0E2F9-0DF6-40EB-B59D-6FACCCAC8D6B}"/>
    <cellStyle name="Note 8 2 6" xfId="4928" xr:uid="{7506CC83-9429-4B8A-9765-F38819BBE0F6}"/>
    <cellStyle name="Note 8 2 7" xfId="5090" xr:uid="{E421BFFE-A299-4E1E-9EA9-300470768C80}"/>
    <cellStyle name="Note 8 3" xfId="2472" xr:uid="{00000000-0005-0000-0000-0000A9090000}"/>
    <cellStyle name="Note 8 3 2" xfId="4354" xr:uid="{189A8479-6083-44FA-AA1C-6A050CF664FB}"/>
    <cellStyle name="Note 8 4" xfId="3430" xr:uid="{442B1ED4-E270-45F6-B5BE-1D37D8BF2CAF}"/>
    <cellStyle name="Note 8 5" xfId="3859" xr:uid="{9E67279A-3CCB-4525-ACD7-9AD7E6C144BA}"/>
    <cellStyle name="Note 8 6" xfId="4445" xr:uid="{F93A1C42-6796-4B3C-8024-B4C03220830E}"/>
    <cellStyle name="Note 8 7" xfId="4927" xr:uid="{F112864A-6F07-41FC-8114-37804C68F54E}"/>
    <cellStyle name="Note 8 8" xfId="5089" xr:uid="{6C452AEF-4931-419F-8968-E1D068CD71BA}"/>
    <cellStyle name="Note 8_TRAFO" xfId="2473" xr:uid="{00000000-0005-0000-0000-0000AA090000}"/>
    <cellStyle name="Note 80" xfId="3408" xr:uid="{4C3C4D5C-8407-419D-B626-BCFFB7297398}"/>
    <cellStyle name="Note 81" xfId="4765" xr:uid="{54110480-A861-47ED-80E8-2CB0DB5B2BBC}"/>
    <cellStyle name="Note 82" xfId="4786" xr:uid="{815E9C4E-8BF2-4E66-B319-CD178115B052}"/>
    <cellStyle name="Note 83" xfId="4950" xr:uid="{1FD1E3BA-9D31-4061-AD6F-B024AC53021E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3" xfId="3427" xr:uid="{9B3E35A4-5265-4515-AB2E-2DD548422D3D}"/>
    <cellStyle name="Note 9 2 4" xfId="3862" xr:uid="{EB9FB1A4-8DD5-4DC2-8456-04652E426818}"/>
    <cellStyle name="Note 9 2 5" xfId="4443" xr:uid="{A3A04E7F-49E5-4F22-87F8-0B5776D600AB}"/>
    <cellStyle name="Note 9 2 6" xfId="4930" xr:uid="{190AAC0E-7E35-42C8-BA8E-483FAF5AE41C}"/>
    <cellStyle name="Note 9 2 7" xfId="5092" xr:uid="{BDFD22B8-BF6C-47B3-9DDC-4EE0110AD42C}"/>
    <cellStyle name="Note 9 3" xfId="2477" xr:uid="{00000000-0005-0000-0000-0000AE090000}"/>
    <cellStyle name="Note 9 3 2" xfId="4356" xr:uid="{F6012477-C903-4383-86DF-63F91D33BD08}"/>
    <cellStyle name="Note 9 4" xfId="3428" xr:uid="{8373F495-11D6-4841-8C75-7D85A5C0603C}"/>
    <cellStyle name="Note 9 5" xfId="3861" xr:uid="{9B20A953-5E2F-4CBE-8833-98B1E3BAF2A9}"/>
    <cellStyle name="Note 9 6" xfId="4401" xr:uid="{CABA496D-BB76-4D35-AED2-7B5318FEBCF3}"/>
    <cellStyle name="Note 9 7" xfId="4929" xr:uid="{A28655FE-83EF-4993-BD16-A56EADABC805}"/>
    <cellStyle name="Note 9 8" xfId="5091" xr:uid="{703DCAF5-B55E-4246-B5F1-9500D30DDF4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3" xfId="3389" xr:uid="{23C879BC-38B1-427B-8072-6D980818F706}"/>
    <cellStyle name="Output 10 4" xfId="3863" xr:uid="{949CC612-1249-44B6-8FC4-805AF5A5F829}"/>
    <cellStyle name="Output 10 5" xfId="4442" xr:uid="{3BDE9822-4C44-426E-86C0-51BE8EECC132}"/>
    <cellStyle name="Output 10 6" xfId="4931" xr:uid="{23E9D4E0-3A9A-486B-9B6B-9C37E5615F94}"/>
    <cellStyle name="Output 10 7" xfId="5093" xr:uid="{3D2FABCC-3E8F-4F29-A22E-4A5DA24DB849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3" xfId="3426" xr:uid="{A020EEDD-4438-433A-8CB1-9F0735CDBA2A}"/>
    <cellStyle name="Output 11 4" xfId="3864" xr:uid="{5452D4DE-0056-4A80-9628-747F8C290C30}"/>
    <cellStyle name="Output 11 5" xfId="4441" xr:uid="{02DB17A8-101F-4682-B6D9-4C975B184A7E}"/>
    <cellStyle name="Output 11 6" xfId="4932" xr:uid="{DC8D31B3-1407-4C5C-B92A-99F6B9BA5718}"/>
    <cellStyle name="Output 11 7" xfId="5094" xr:uid="{87C57539-F931-45C7-900D-5CECD051BDB3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3" xfId="3425" xr:uid="{FA4F44FE-79C9-4B05-9A78-EB3E9019C4E3}"/>
    <cellStyle name="Output 12 4" xfId="3865" xr:uid="{C7F14499-D015-464F-B86B-CE81A39BEE9E}"/>
    <cellStyle name="Output 12 5" xfId="4440" xr:uid="{7EBB050A-D267-4DFD-9429-1A08C94C3A38}"/>
    <cellStyle name="Output 12 6" xfId="4933" xr:uid="{774DF8D2-D108-463F-BC7D-BC3E9CECE815}"/>
    <cellStyle name="Output 12 7" xfId="5095" xr:uid="{E59CC4BC-C2FE-40DC-8E88-B1B35248E19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3" xfId="3424" xr:uid="{B868EE45-DE53-40D3-81B5-A7DADA0F053C}"/>
    <cellStyle name="Output 13 4" xfId="3866" xr:uid="{C351880F-000F-4E09-8986-90201E6E41A2}"/>
    <cellStyle name="Output 13 5" xfId="4439" xr:uid="{01DDF189-15C0-4D36-99EE-16153E50AF71}"/>
    <cellStyle name="Output 13 6" xfId="4934" xr:uid="{68D36A6E-9860-449D-BD14-4E048FCB4218}"/>
    <cellStyle name="Output 13 7" xfId="5096" xr:uid="{60FAC7E6-3C89-49ED-9935-334C31E46C3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3" xfId="3423" xr:uid="{AE375810-D614-4DBD-9518-D9FC1010BE67}"/>
    <cellStyle name="Output 14 4" xfId="3867" xr:uid="{74263D2C-30DA-4A7A-99DB-E10AC6C3DEFD}"/>
    <cellStyle name="Output 14 5" xfId="4438" xr:uid="{3B987408-9993-49EC-8FA9-A1C6639E62FA}"/>
    <cellStyle name="Output 14 6" xfId="4935" xr:uid="{F6DD6B93-B01C-4C6A-B29A-F429BC8A7E8F}"/>
    <cellStyle name="Output 14 7" xfId="5097" xr:uid="{AE99CDDC-F555-4535-9DE3-20A389705D08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3" xfId="3422" xr:uid="{84F4FEC9-15A0-4724-8695-723B8FB7C74C}"/>
    <cellStyle name="Output 15 4" xfId="3868" xr:uid="{74BFF7CF-DB80-4826-8558-9A0BD75E32CE}"/>
    <cellStyle name="Output 15 5" xfId="4437" xr:uid="{9B74FBFA-3C44-4F88-A6EC-FD13168543A4}"/>
    <cellStyle name="Output 15 6" xfId="4936" xr:uid="{75A95F6A-6098-4F74-A051-D10E99F3D2FF}"/>
    <cellStyle name="Output 15 7" xfId="5098" xr:uid="{A0D5ED1B-7991-4BE9-832E-BF9E6671D5CF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3" xfId="3421" xr:uid="{A7D3010F-7882-40AE-A427-EB800A28CF7F}"/>
    <cellStyle name="Output 16 4" xfId="3869" xr:uid="{BAF3036D-E1DD-4A51-8BC9-3C0C19898099}"/>
    <cellStyle name="Output 16 5" xfId="4436" xr:uid="{4156CD8B-79F8-47F3-8A0D-311E293325B9}"/>
    <cellStyle name="Output 16 6" xfId="4937" xr:uid="{933B8875-0D8A-47A6-BE7B-24778E703D0C}"/>
    <cellStyle name="Output 16 7" xfId="5099" xr:uid="{BE87413D-A771-46FB-86A4-B55B6F251F29}"/>
    <cellStyle name="Output 17" xfId="3714" xr:uid="{404C3867-F973-4051-BDB4-B19AED654F7A}"/>
    <cellStyle name="Output 18" xfId="3409" xr:uid="{8CBAB434-9761-4EC3-93AB-7411350CCBB5}"/>
    <cellStyle name="Output 19" xfId="4764" xr:uid="{6D0319CF-7012-41B0-928A-F6295FDF595A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3" xfId="3419" xr:uid="{33193668-AFFE-4918-AA05-18B28EF238A9}"/>
    <cellStyle name="Output 2 2 4" xfId="3871" xr:uid="{D38A73A0-B24C-4CF1-B146-363C66C012C5}"/>
    <cellStyle name="Output 2 2 5" xfId="4434" xr:uid="{E605382F-0E57-4FE3-A741-83FDDE31FD88}"/>
    <cellStyle name="Output 2 2 6" xfId="4939" xr:uid="{0219AE18-7160-4BF4-9DB5-2CF074517569}"/>
    <cellStyle name="Output 2 2 7" xfId="5101" xr:uid="{0FA21B6A-79B6-4901-B4B8-7434D454CA42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3" xfId="3418" xr:uid="{8858D5E1-9166-4003-B730-34FAEF09A2E2}"/>
    <cellStyle name="Output 2 3 4" xfId="3872" xr:uid="{8B54AC59-3240-4F56-B920-BF68BC9F1E19}"/>
    <cellStyle name="Output 2 3 5" xfId="4433" xr:uid="{C669C01E-E3BE-444B-9254-564EBFA94A51}"/>
    <cellStyle name="Output 2 3 6" xfId="4940" xr:uid="{6D531CF8-1FD9-422E-9A32-E41437B0AA11}"/>
    <cellStyle name="Output 2 3 7" xfId="5102" xr:uid="{F921FCFB-16AF-42E0-839C-878B07D677F4}"/>
    <cellStyle name="Output 2 4" xfId="2499" xr:uid="{00000000-0005-0000-0000-0000C4090000}"/>
    <cellStyle name="Output 2 4 2" xfId="4366" xr:uid="{30494121-3747-44E5-B18D-F7C3753A8EB6}"/>
    <cellStyle name="Output 2 5" xfId="3420" xr:uid="{2F42F3E0-371E-4E70-886A-882B28D3BE76}"/>
    <cellStyle name="Output 2 6" xfId="3870" xr:uid="{9378770E-67D6-44FC-BC4A-47CD2D9DDDBF}"/>
    <cellStyle name="Output 2 7" xfId="4435" xr:uid="{ED698882-D282-47FF-8D6B-29719D394B90}"/>
    <cellStyle name="Output 2 8" xfId="4938" xr:uid="{EE410291-9DF1-42C4-BD84-FD53571F7DCF}"/>
    <cellStyle name="Output 2 9" xfId="5100" xr:uid="{7BF65F00-B653-4522-8338-603A0FFFCAE1}"/>
    <cellStyle name="Output 20" xfId="4785" xr:uid="{98FD550E-846F-461D-AC54-BE678F163B54}"/>
    <cellStyle name="Output 21" xfId="4949" xr:uid="{20D765D5-8DC0-404E-B566-944B38309B69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3" xfId="3417" xr:uid="{1A6B0C71-374D-4F4D-B326-2162AC375306}"/>
    <cellStyle name="Output 3 4" xfId="3873" xr:uid="{F4617A6D-2393-497B-8C6B-DD8A005DF71D}"/>
    <cellStyle name="Output 3 5" xfId="4432" xr:uid="{725A1BEA-5FEA-435E-A0E6-1411A03DF455}"/>
    <cellStyle name="Output 3 6" xfId="4941" xr:uid="{AA9CD835-D716-4FE4-A84A-2715929DDBF3}"/>
    <cellStyle name="Output 3 7" xfId="5103" xr:uid="{491F6005-C993-43FD-BCA9-447B6357FD20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3" xfId="3416" xr:uid="{CE34D8EC-40C0-432D-8B08-AB0B13CE84A2}"/>
    <cellStyle name="Output 4 4" xfId="3874" xr:uid="{7472B21D-2279-42C8-893D-EE22032A765D}"/>
    <cellStyle name="Output 4 5" xfId="4431" xr:uid="{50A1BA4E-C746-49EF-9ADD-4E692315B587}"/>
    <cellStyle name="Output 4 6" xfId="4942" xr:uid="{A4C157BC-4536-4604-9CE9-FA7D55FA51D7}"/>
    <cellStyle name="Output 4 7" xfId="5104" xr:uid="{D2B73AC5-42A5-4366-A7B7-1884D60D3377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3" xfId="3415" xr:uid="{367A79ED-81E1-4820-AFE9-BD9D2F9779FA}"/>
    <cellStyle name="Output 5 4" xfId="3875" xr:uid="{FA247623-8A70-4589-A77C-EF0B4FB7D0F6}"/>
    <cellStyle name="Output 5 5" xfId="4430" xr:uid="{CA1E03F6-9424-42E7-9C39-B4615ED9D6E9}"/>
    <cellStyle name="Output 5 6" xfId="4943" xr:uid="{4B6A88B9-FFC8-4CDF-BB92-9680D50FF076}"/>
    <cellStyle name="Output 5 7" xfId="5105" xr:uid="{9465E8C9-C5BD-432A-8BD0-A9570E7CB761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3" xfId="3414" xr:uid="{5592B122-96F2-41B4-9F83-873BEAD05476}"/>
    <cellStyle name="Output 6 4" xfId="3876" xr:uid="{613CAC58-BEB1-4191-9793-7610CEE44845}"/>
    <cellStyle name="Output 6 5" xfId="4429" xr:uid="{C2D93F14-CC9D-4836-9890-EE6FB203AAF2}"/>
    <cellStyle name="Output 6 6" xfId="4944" xr:uid="{40AD1F62-C147-4CAA-8AEB-B5A95DB3F287}"/>
    <cellStyle name="Output 6 7" xfId="5106" xr:uid="{8A925E7A-555A-41E2-B953-C402D35C8105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3" xfId="3413" xr:uid="{AE3389DF-2464-4099-8BB8-158966213727}"/>
    <cellStyle name="Output 7 4" xfId="3877" xr:uid="{10391603-483F-4F78-8174-C0DE624A62FF}"/>
    <cellStyle name="Output 7 5" xfId="4428" xr:uid="{734D0CAE-EB02-49B9-84C8-2471C6694C5C}"/>
    <cellStyle name="Output 7 6" xfId="4945" xr:uid="{597383E5-399D-4D94-82A0-33F3B3064252}"/>
    <cellStyle name="Output 7 7" xfId="5107" xr:uid="{75269231-E11C-40E9-8A54-176A33F2D1CA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3" xfId="3412" xr:uid="{F99A4484-96DF-4229-9991-F87C65C67450}"/>
    <cellStyle name="Output 8 4" xfId="3878" xr:uid="{526C98A9-F1E0-4442-BC65-7DD604074A72}"/>
    <cellStyle name="Output 8 5" xfId="4400" xr:uid="{7425AF2B-0571-4A89-991A-98B38625A407}"/>
    <cellStyle name="Output 8 6" xfId="4946" xr:uid="{D093A350-D779-491C-8350-E0432DBF4455}"/>
    <cellStyle name="Output 8 7" xfId="5108" xr:uid="{EA158FD7-277F-4D7E-928D-D5C9F1DD73EF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3" xfId="3411" xr:uid="{23C653BE-F4A1-4F1B-9333-25D34FA1192E}"/>
    <cellStyle name="Output 9 4" xfId="3879" xr:uid="{C4F4F3AA-ACF9-40CF-86BA-D553AFCC6248}"/>
    <cellStyle name="Output 9 5" xfId="4427" xr:uid="{2162F85F-B52A-4927-AED4-7AC202389C27}"/>
    <cellStyle name="Output 9 6" xfId="4947" xr:uid="{F2C6FB3F-6621-4B53-B790-E68F18EA3D69}"/>
    <cellStyle name="Output 9 7" xfId="5109" xr:uid="{D02D6FE3-AC89-4A3B-B0B1-16AB874EE6E9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5110" xr:uid="{6F58A75F-A8AD-41A4-A5F6-F1DA7B8C9F65}"/>
    <cellStyle name="sbt2 2" xfId="2588" xr:uid="{00000000-0005-0000-0000-00001E0A0000}"/>
    <cellStyle name="sbt2 2 2" xfId="4377" xr:uid="{A8CDBA88-9486-4BA7-9EA9-9283205D6774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62" xr:uid="{AABBC7CE-B546-46EE-9997-3189CE8CB0EF}"/>
    <cellStyle name="sbt2 8" xfId="4787" xr:uid="{C746AEFC-779A-4E43-984B-393BD6A02367}"/>
    <cellStyle name="sbt2 9" xfId="4951" xr:uid="{D842ADC5-80AF-4B21-8932-4D67ABCD0185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63" xr:uid="{38F338B5-4FFE-4EE8-949F-66DB2CBED407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3" xfId="3724" xr:uid="{86E145AE-4552-483F-9E81-C255B03648C9}"/>
    <cellStyle name="Total 10 4" xfId="3882" xr:uid="{47D89516-8FC2-466D-BA5A-5C86D29C9526}"/>
    <cellStyle name="Total 10 5" xfId="4790" xr:uid="{DE991C11-1724-4B88-917D-77D16D6FDCB8}"/>
    <cellStyle name="Total 10 6" xfId="4954" xr:uid="{1018CF61-4F00-41AC-836D-835706FD3C49}"/>
    <cellStyle name="Total 10 7" xfId="5111" xr:uid="{C27CE0C5-57D6-4E08-8711-2B96EFD78A78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3" xfId="3725" xr:uid="{13848CE4-A845-48E4-9104-64104333B927}"/>
    <cellStyle name="Total 11 4" xfId="3883" xr:uid="{1C26165E-8C75-4309-ADB3-A0440765934C}"/>
    <cellStyle name="Total 11 5" xfId="4791" xr:uid="{7F3C3494-92DF-468C-AB50-014F417B416F}"/>
    <cellStyle name="Total 11 6" xfId="4955" xr:uid="{C6E209AD-2CB9-4711-853B-8F352A50A82A}"/>
    <cellStyle name="Total 11 7" xfId="5112" xr:uid="{D2980002-4DE2-4C2A-8880-48B76DBC609E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3" xfId="3726" xr:uid="{CBD45986-39E9-44A1-B75F-FB781600BF4D}"/>
    <cellStyle name="Total 12 4" xfId="3884" xr:uid="{E6D2A310-C98B-4C22-9965-F07450C3CACD}"/>
    <cellStyle name="Total 12 5" xfId="4792" xr:uid="{85F15A61-47FF-45E2-BEE4-DE6CC15864A8}"/>
    <cellStyle name="Total 12 6" xfId="4956" xr:uid="{DCC82CF7-C790-4C7F-B803-8213B824F215}"/>
    <cellStyle name="Total 12 7" xfId="5113" xr:uid="{0F0FB956-AFCA-4943-901B-A882BA691139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3" xfId="3727" xr:uid="{D4A0B537-429B-4AA2-AAB4-9096E2FBFE18}"/>
    <cellStyle name="Total 13 4" xfId="3885" xr:uid="{54465F3A-9643-49F2-B909-C356D31B87CC}"/>
    <cellStyle name="Total 13 5" xfId="4793" xr:uid="{7358C83A-A752-4414-85C5-969F472CB709}"/>
    <cellStyle name="Total 13 6" xfId="4957" xr:uid="{5AB28AF1-C116-49A2-8850-B105FCD88CC8}"/>
    <cellStyle name="Total 13 7" xfId="5114" xr:uid="{8A1E0F1D-114F-48AA-A54D-FA9D6B5E02A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3" xfId="3728" xr:uid="{F172138A-309D-45C5-8619-65549C71FD94}"/>
    <cellStyle name="Total 14 4" xfId="3886" xr:uid="{F6C4AE91-A886-4693-ACDB-D7D2EABD659E}"/>
    <cellStyle name="Total 14 5" xfId="4794" xr:uid="{C3F13717-D580-4B86-89E8-65C477AADF1D}"/>
    <cellStyle name="Total 14 6" xfId="4958" xr:uid="{9B304D3C-0EE3-46A9-9ABB-2176697335FE}"/>
    <cellStyle name="Total 14 7" xfId="5115" xr:uid="{1BC1900F-79AF-4B31-9876-B223788FDB90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3" xfId="3729" xr:uid="{8F513A61-49F1-42B1-9005-E596941EBDCD}"/>
    <cellStyle name="Total 15 4" xfId="3887" xr:uid="{841FA0FC-A8FB-4A81-A9A2-6D1E9547489B}"/>
    <cellStyle name="Total 15 5" xfId="4795" xr:uid="{EDB35455-C49F-4C95-8795-38CE74B63DD4}"/>
    <cellStyle name="Total 15 6" xfId="4959" xr:uid="{C8C51162-2EF1-4764-AC23-C07A01AC1803}"/>
    <cellStyle name="Total 15 7" xfId="5116" xr:uid="{439A9F07-0A06-4760-8186-0776E39E0EB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3" xfId="3730" xr:uid="{BAD29367-B061-41D9-B868-4B176FD2C766}"/>
    <cellStyle name="Total 16 4" xfId="3888" xr:uid="{0BBE37B0-847D-43BE-ACB2-D576B2B11AC1}"/>
    <cellStyle name="Total 16 5" xfId="4796" xr:uid="{D1F8D950-5805-405A-BAB9-7407C326FBD5}"/>
    <cellStyle name="Total 16 6" xfId="4960" xr:uid="{428B1997-4107-4C7E-ACF8-C3A2C8FAD528}"/>
    <cellStyle name="Total 16 7" xfId="5117" xr:uid="{045D14C1-AD50-480F-9614-E080F44944DD}"/>
    <cellStyle name="Total 17" xfId="3404" xr:uid="{DFF4C364-18BE-4071-BB53-D1CDA624EC41}"/>
    <cellStyle name="Total 18" xfId="3410" xr:uid="{B9AC091C-9B6F-4475-B592-F1A1B28B63DB}"/>
    <cellStyle name="Total 19" xfId="4420" xr:uid="{3F709CDB-7D6B-4F7F-9FC9-E347CED38B8E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3" xfId="3732" xr:uid="{87B8E481-9F0D-49CC-9011-3BA0104C3285}"/>
    <cellStyle name="Total 2 2 4" xfId="3890" xr:uid="{4D9D757D-0ECD-465B-AAC0-70CE798DCD55}"/>
    <cellStyle name="Total 2 2 5" xfId="4798" xr:uid="{5BA02A83-EA62-4B62-B12D-02923E70CBAD}"/>
    <cellStyle name="Total 2 2 6" xfId="4962" xr:uid="{07EC16D5-EDCB-4C43-9C2B-268982DCD54C}"/>
    <cellStyle name="Total 2 2 7" xfId="5119" xr:uid="{D67EB373-F52E-4926-BC6A-EBDCB7955053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3" xfId="3733" xr:uid="{8D5F63D0-937F-4AF0-921D-855A2464779B}"/>
    <cellStyle name="Total 2 3 4" xfId="3891" xr:uid="{D2870CC4-1BFE-42E5-85D9-456A83543970}"/>
    <cellStyle name="Total 2 3 5" xfId="4799" xr:uid="{C69B7CE2-852F-4668-A8D1-2AC0C1632685}"/>
    <cellStyle name="Total 2 3 6" xfId="4963" xr:uid="{7283AFAC-562A-4792-8720-42317B2E5035}"/>
    <cellStyle name="Total 2 3 7" xfId="5120" xr:uid="{326380D5-36EB-4E2D-9490-1AE3956EED5C}"/>
    <cellStyle name="Total 2 4" xfId="2636" xr:uid="{00000000-0005-0000-0000-00004E0A0000}"/>
    <cellStyle name="Total 2 4 2" xfId="4389" xr:uid="{846496AC-DB50-4AC7-B661-A83A011FF9E8}"/>
    <cellStyle name="Total 2 5" xfId="3731" xr:uid="{1C2B8D53-325D-4991-9936-4BCEF4AD4213}"/>
    <cellStyle name="Total 2 6" xfId="3889" xr:uid="{07E61543-3F01-446D-A797-705F4854D11C}"/>
    <cellStyle name="Total 2 7" xfId="4797" xr:uid="{A53D71D9-6897-484B-9BF1-FEA8C12C23DD}"/>
    <cellStyle name="Total 2 8" xfId="4961" xr:uid="{1FB2DB8B-F527-4D8D-8F49-5A7D093BEEE9}"/>
    <cellStyle name="Total 2 9" xfId="5118" xr:uid="{A9C7B6FB-2057-4C54-A799-F1CCC8238E63}"/>
    <cellStyle name="Total 20" xfId="4784" xr:uid="{7D1E646C-483B-4245-90D1-BEDAD18372E9}"/>
    <cellStyle name="Total 21" xfId="4948" xr:uid="{91C7A899-679C-47C8-8265-485C8DFCD114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3" xfId="3734" xr:uid="{8CA0F4EE-DB20-45AA-84B7-DBBB1EA56B3C}"/>
    <cellStyle name="Total 3 4" xfId="3892" xr:uid="{14BAE761-CB6F-47AC-AAC8-D819EC5893E7}"/>
    <cellStyle name="Total 3 5" xfId="4800" xr:uid="{F9B7769E-699C-4404-B178-932DED9BF6EA}"/>
    <cellStyle name="Total 3 6" xfId="4964" xr:uid="{E709B130-329B-4D9D-A3EB-633741A4F495}"/>
    <cellStyle name="Total 3 7" xfId="5121" xr:uid="{82291E71-8267-4800-968E-2026EA48A5E1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3" xfId="3735" xr:uid="{50748572-3DE8-41E8-8F72-7DA26F91126C}"/>
    <cellStyle name="Total 4 4" xfId="3893" xr:uid="{0003443C-CABE-404B-8D62-01AC10135B4F}"/>
    <cellStyle name="Total 4 5" xfId="4801" xr:uid="{1B204291-D6D7-4AC8-88C7-BC9F3929219B}"/>
    <cellStyle name="Total 4 6" xfId="4965" xr:uid="{8721E7F4-2E76-4CB8-A235-E7E3ED1F9D72}"/>
    <cellStyle name="Total 4 7" xfId="5122" xr:uid="{D3CFCA8D-9EBB-4FB6-8CD8-5BFC5CCEF865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3" xfId="3736" xr:uid="{E925D102-EA0B-4B4E-A617-4B1090109F0F}"/>
    <cellStyle name="Total 5 4" xfId="3894" xr:uid="{05C4FE2C-8570-4A4D-B084-A5F2B6C86664}"/>
    <cellStyle name="Total 5 5" xfId="4802" xr:uid="{143CFEB7-C43F-4BBD-80BA-6BA5069D0596}"/>
    <cellStyle name="Total 5 6" xfId="4966" xr:uid="{DD9BB4E8-5B30-46B7-92BA-F89A07382D5A}"/>
    <cellStyle name="Total 5 7" xfId="5123" xr:uid="{53798DAF-82B3-41B9-BE06-42427C221B76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3" xfId="3737" xr:uid="{796C814F-B916-4EB5-8115-19365CAB7E9C}"/>
    <cellStyle name="Total 6 4" xfId="3895" xr:uid="{2B213A10-8D50-4457-AA2C-CE5D122BEB4D}"/>
    <cellStyle name="Total 6 5" xfId="4803" xr:uid="{18592AC1-A314-4421-881A-1FE3BD28B9E3}"/>
    <cellStyle name="Total 6 6" xfId="4967" xr:uid="{7308AF57-67B6-421E-888E-3C3C013C8F9C}"/>
    <cellStyle name="Total 6 7" xfId="5124" xr:uid="{34FB98D9-1987-48E1-8B2C-E6B548F0C178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3" xfId="3738" xr:uid="{B62579A2-E5C3-4BB9-A18E-94E3ABBB0EA8}"/>
    <cellStyle name="Total 7 4" xfId="3896" xr:uid="{628A1F94-96DC-4085-B6E7-22E7E8E7A51F}"/>
    <cellStyle name="Total 7 5" xfId="4804" xr:uid="{5DEDCB0D-BE8C-4EEF-B1DE-8F4C2176BF23}"/>
    <cellStyle name="Total 7 6" xfId="4968" xr:uid="{2FB5402E-8DA1-40B0-BF04-034E3AA8AAB2}"/>
    <cellStyle name="Total 7 7" xfId="5125" xr:uid="{6AF0C8DD-DCBA-4E9F-AE41-561761082BDB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3" xfId="3739" xr:uid="{ED68500C-8A82-4E70-AE8E-686FB3784AFE}"/>
    <cellStyle name="Total 8 4" xfId="3897" xr:uid="{99FFA9EE-BE8C-4CF1-BF11-6A6E5D172AD7}"/>
    <cellStyle name="Total 8 5" xfId="4805" xr:uid="{C7C77F48-B2C6-451D-BFB8-D06119BEC3F3}"/>
    <cellStyle name="Total 8 6" xfId="4969" xr:uid="{8EE7D81B-0D55-4F3E-9FEF-1EA38D8A07AD}"/>
    <cellStyle name="Total 8 7" xfId="5126" xr:uid="{DC4E7739-F55A-40C5-9C04-D0C46C4AB6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3" xfId="3740" xr:uid="{01213A58-782F-4F90-8277-00B067E72030}"/>
    <cellStyle name="Total 9 4" xfId="3898" xr:uid="{7D06D3A8-4D09-48E9-AB05-EDD12017DCA7}"/>
    <cellStyle name="Total 9 5" xfId="4806" xr:uid="{979D345E-D127-4E96-9AE5-0C958269F05D}"/>
    <cellStyle name="Total 9 6" xfId="4970" xr:uid="{0B477CC3-AC8B-4AE4-A7C0-BCF3C4340D8E}"/>
    <cellStyle name="Total 9 7" xfId="5127" xr:uid="{FD9CBEB0-4C37-42B9-8777-CD008FF406FA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8.249999999999999E-2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0.65817930687617321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8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8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72</xdr:row>
      <xdr:rowOff>81642</xdr:rowOff>
    </xdr:from>
    <xdr:to>
      <xdr:col>12</xdr:col>
      <xdr:colOff>41108</xdr:colOff>
      <xdr:row>75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29307</xdr:colOff>
      <xdr:row>25</xdr:row>
      <xdr:rowOff>80596</xdr:rowOff>
    </xdr:from>
    <xdr:to>
      <xdr:col>9</xdr:col>
      <xdr:colOff>36634</xdr:colOff>
      <xdr:row>39</xdr:row>
      <xdr:rowOff>7326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9DFEE2D-A71B-3C17-1AFA-D32CD901CC32}"/>
            </a:ext>
          </a:extLst>
        </xdr:cNvPr>
        <xdr:cNvCxnSpPr/>
      </xdr:nvCxnSpPr>
      <xdr:spPr>
        <a:xfrm flipH="1" flipV="1">
          <a:off x="3004038" y="3949211"/>
          <a:ext cx="7327" cy="208817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234208</xdr:colOff>
      <xdr:row>28</xdr:row>
      <xdr:rowOff>104406</xdr:rowOff>
    </xdr:from>
    <xdr:to>
      <xdr:col>13</xdr:col>
      <xdr:colOff>196108</xdr:colOff>
      <xdr:row>28</xdr:row>
      <xdr:rowOff>113931</xdr:rowOff>
    </xdr:to>
    <xdr:cxnSp macro="">
      <xdr:nvCxnSpPr>
        <xdr:cNvPr id="149" name="Straight Connector 148">
          <a:extLst>
            <a:ext uri="{FF2B5EF4-FFF2-40B4-BE49-F238E27FC236}">
              <a16:creationId xmlns:a16="http://schemas.microsoft.com/office/drawing/2014/main" id="{FD7CF556-DB04-4781-9AA5-936A3E04B755}"/>
            </a:ext>
          </a:extLst>
        </xdr:cNvPr>
        <xdr:cNvCxnSpPr/>
      </xdr:nvCxnSpPr>
      <xdr:spPr>
        <a:xfrm flipH="1">
          <a:off x="3587008" y="4400181"/>
          <a:ext cx="1104900" cy="95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366346</xdr:colOff>
      <xdr:row>23</xdr:row>
      <xdr:rowOff>117231</xdr:rowOff>
    </xdr:from>
    <xdr:to>
      <xdr:col>19</xdr:col>
      <xdr:colOff>51289</xdr:colOff>
      <xdr:row>25</xdr:row>
      <xdr:rowOff>131885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83E87199-FDB0-4C47-9252-A8A010A3D44E}"/>
            </a:ext>
          </a:extLst>
        </xdr:cNvPr>
        <xdr:cNvCxnSpPr/>
      </xdr:nvCxnSpPr>
      <xdr:spPr>
        <a:xfrm flipH="1">
          <a:off x="2198077" y="3678116"/>
          <a:ext cx="4637943" cy="32238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185854</xdr:colOff>
      <xdr:row>25</xdr:row>
      <xdr:rowOff>114300</xdr:rowOff>
    </xdr:from>
    <xdr:to>
      <xdr:col>16</xdr:col>
      <xdr:colOff>22860</xdr:colOff>
      <xdr:row>27</xdr:row>
      <xdr:rowOff>139391</xdr:rowOff>
    </xdr:to>
    <xdr:cxnSp macro="">
      <xdr:nvCxnSpPr>
        <xdr:cNvPr id="161" name="Straight Connector 160">
          <a:extLst>
            <a:ext uri="{FF2B5EF4-FFF2-40B4-BE49-F238E27FC236}">
              <a16:creationId xmlns:a16="http://schemas.microsoft.com/office/drawing/2014/main" id="{3463FE1F-4D09-483A-A98A-D3D838C52D26}"/>
            </a:ext>
          </a:extLst>
        </xdr:cNvPr>
        <xdr:cNvCxnSpPr>
          <a:cxnSpLocks/>
        </xdr:cNvCxnSpPr>
      </xdr:nvCxnSpPr>
      <xdr:spPr>
        <a:xfrm flipH="1">
          <a:off x="2014654" y="3958590"/>
          <a:ext cx="3647006" cy="32989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281347</xdr:colOff>
      <xdr:row>1</xdr:row>
      <xdr:rowOff>123825</xdr:rowOff>
    </xdr:from>
    <xdr:to>
      <xdr:col>21</xdr:col>
      <xdr:colOff>374182</xdr:colOff>
      <xdr:row>5</xdr:row>
      <xdr:rowOff>127660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3E972C20-8FDD-4263-8096-525F1FF4D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063147" y="285750"/>
          <a:ext cx="854835" cy="622960"/>
        </a:xfrm>
        <a:prstGeom prst="rect">
          <a:avLst/>
        </a:prstGeom>
      </xdr:spPr>
    </xdr:pic>
    <xdr:clientData/>
  </xdr:twoCellAnchor>
  <xdr:twoCellAnchor>
    <xdr:from>
      <xdr:col>26</xdr:col>
      <xdr:colOff>174656</xdr:colOff>
      <xdr:row>5</xdr:row>
      <xdr:rowOff>9213</xdr:rowOff>
    </xdr:from>
    <xdr:to>
      <xdr:col>29</xdr:col>
      <xdr:colOff>355820</xdr:colOff>
      <xdr:row>16</xdr:row>
      <xdr:rowOff>138441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5E731289-1988-4DFB-B8D2-C47B10A53DF9}"/>
            </a:ext>
          </a:extLst>
        </xdr:cNvPr>
        <xdr:cNvGrpSpPr/>
      </xdr:nvGrpSpPr>
      <xdr:grpSpPr>
        <a:xfrm>
          <a:off x="9661556" y="790263"/>
          <a:ext cx="1381314" cy="1815153"/>
          <a:chOff x="9713886" y="808452"/>
          <a:chExt cx="1342558" cy="1766630"/>
        </a:xfrm>
      </xdr:grpSpPr>
      <xdr:grpSp>
        <xdr:nvGrpSpPr>
          <xdr:cNvPr id="166" name="Group 13">
            <a:extLst>
              <a:ext uri="{FF2B5EF4-FFF2-40B4-BE49-F238E27FC236}">
                <a16:creationId xmlns:a16="http://schemas.microsoft.com/office/drawing/2014/main" id="{4F3377FC-FA9D-426E-8CBB-D7FE8C735AD4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55" name="Oval 1">
              <a:extLst>
                <a:ext uri="{FF2B5EF4-FFF2-40B4-BE49-F238E27FC236}">
                  <a16:creationId xmlns:a16="http://schemas.microsoft.com/office/drawing/2014/main" id="{7BEB20EB-E55A-4E2A-886F-A968699C313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56" name="Straight Connector 3">
              <a:extLst>
                <a:ext uri="{FF2B5EF4-FFF2-40B4-BE49-F238E27FC236}">
                  <a16:creationId xmlns:a16="http://schemas.microsoft.com/office/drawing/2014/main" id="{7D66BB01-C530-4249-9D4B-898514BB6A88}"/>
                </a:ext>
              </a:extLst>
            </xdr:cNvPr>
            <xdr:cNvCxnSpPr>
              <a:stCxn id="190" idx="1"/>
              <a:endCxn id="1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Connector 7">
              <a:extLst>
                <a:ext uri="{FF2B5EF4-FFF2-40B4-BE49-F238E27FC236}">
                  <a16:creationId xmlns:a16="http://schemas.microsoft.com/office/drawing/2014/main" id="{32E30CB5-1E7B-4B95-959B-B98D9012881B}"/>
                </a:ext>
              </a:extLst>
            </xdr:cNvPr>
            <xdr:cNvCxnSpPr>
              <a:stCxn id="190" idx="3"/>
              <a:endCxn id="1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67" name="Oval 166">
            <a:extLst>
              <a:ext uri="{FF2B5EF4-FFF2-40B4-BE49-F238E27FC236}">
                <a16:creationId xmlns:a16="http://schemas.microsoft.com/office/drawing/2014/main" id="{A8F03797-89DA-4A36-A02C-8C3DA95723FE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68" name="Group 14">
            <a:extLst>
              <a:ext uri="{FF2B5EF4-FFF2-40B4-BE49-F238E27FC236}">
                <a16:creationId xmlns:a16="http://schemas.microsoft.com/office/drawing/2014/main" id="{4E92D9EC-5282-4D97-95EB-C2339079180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52" name="Oval 251">
              <a:extLst>
                <a:ext uri="{FF2B5EF4-FFF2-40B4-BE49-F238E27FC236}">
                  <a16:creationId xmlns:a16="http://schemas.microsoft.com/office/drawing/2014/main" id="{0D25F0ED-F2B2-4DE9-B042-7103B965CB0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CE9C6D43-CEF0-4C5F-A319-436D4497BEE3}"/>
                </a:ext>
              </a:extLst>
            </xdr:cNvPr>
            <xdr:cNvCxnSpPr>
              <a:stCxn id="252" idx="1"/>
              <a:endCxn id="25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Straight Connector 253">
              <a:extLst>
                <a:ext uri="{FF2B5EF4-FFF2-40B4-BE49-F238E27FC236}">
                  <a16:creationId xmlns:a16="http://schemas.microsoft.com/office/drawing/2014/main" id="{2D744C44-969F-410F-A69E-72D75CFA9698}"/>
                </a:ext>
              </a:extLst>
            </xdr:cNvPr>
            <xdr:cNvCxnSpPr>
              <a:stCxn id="252" idx="3"/>
              <a:endCxn id="25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70" name="Oval 169">
            <a:extLst>
              <a:ext uri="{FF2B5EF4-FFF2-40B4-BE49-F238E27FC236}">
                <a16:creationId xmlns:a16="http://schemas.microsoft.com/office/drawing/2014/main" id="{9069FE5D-C619-4CB8-9CC3-85A71329B84C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F81A6F90-DA76-43C7-8602-E2C63F66B153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2722011D-5CAD-4A77-82E9-2ABC22C62DF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3052B645-D714-4509-B5B3-718BA817C33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89CA1776-764C-4A36-BCBA-1BD97798AD1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7FF68DF7-4DFD-4E00-8632-F9E456B502E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75746B15-AAC4-4E7D-B808-DF99A7F7ACE2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7B095ABA-8F4D-41F0-B0AB-8C7D501FFBCD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094A8851-0985-4578-91F6-2D88EFAA7A7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67905501-57B7-4B5B-A578-87F274435F8B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4986D063-B0DD-4C70-9084-B015E39C4B32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CB327821-24F6-43AF-9550-CFE74CDF72EE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56D8AFEC-AF03-4A9D-A130-1EBB847CF23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50">
            <a:extLst>
              <a:ext uri="{FF2B5EF4-FFF2-40B4-BE49-F238E27FC236}">
                <a16:creationId xmlns:a16="http://schemas.microsoft.com/office/drawing/2014/main" id="{ECBCB31C-8F44-4B6F-AB8A-37116DA9E84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2E41E633-4930-4E8D-9CE4-4EAF394AE4F1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52">
            <a:extLst>
              <a:ext uri="{FF2B5EF4-FFF2-40B4-BE49-F238E27FC236}">
                <a16:creationId xmlns:a16="http://schemas.microsoft.com/office/drawing/2014/main" id="{3F4A18A2-33A5-4983-B9EA-176181E1BA9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3AD1B7A8-B15D-4419-8FD6-BE00D46C9DA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317BAB73-C5CE-4619-A9AD-C0B966BEE94A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C482453E-C084-4D39-85B1-16DB9FB023B3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996D8F11-8BA2-463B-A527-C409663112DF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DD219CF3-47EA-466A-A9C1-9B00647B901C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E85BCD02-A5E6-43B2-A5F8-9923B0737F9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67404F49-3CF2-42CA-AB41-2DBD6ECB3D67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Isosceles Triangle 221">
            <a:extLst>
              <a:ext uri="{FF2B5EF4-FFF2-40B4-BE49-F238E27FC236}">
                <a16:creationId xmlns:a16="http://schemas.microsoft.com/office/drawing/2014/main" id="{BEEEF883-03B2-4372-B787-4DEBB45BC28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3" name="Isosceles Triangle 222">
            <a:extLst>
              <a:ext uri="{FF2B5EF4-FFF2-40B4-BE49-F238E27FC236}">
                <a16:creationId xmlns:a16="http://schemas.microsoft.com/office/drawing/2014/main" id="{ECB65BFE-5399-4765-8EE5-8C6450AEB247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24" name="Group 73">
            <a:extLst>
              <a:ext uri="{FF2B5EF4-FFF2-40B4-BE49-F238E27FC236}">
                <a16:creationId xmlns:a16="http://schemas.microsoft.com/office/drawing/2014/main" id="{5CA5581A-F5BE-4F5A-9D67-E318D11FF960}"/>
              </a:ext>
            </a:extLst>
          </xdr:cNvPr>
          <xdr:cNvGrpSpPr/>
        </xdr:nvGrpSpPr>
        <xdr:grpSpPr>
          <a:xfrm>
            <a:off x="9893935" y="2006659"/>
            <a:ext cx="197304" cy="125136"/>
            <a:chOff x="9849712" y="2062724"/>
            <a:chExt cx="197304" cy="128441"/>
          </a:xfrm>
        </xdr:grpSpPr>
        <xdr:sp macro="" textlink="">
          <xdr:nvSpPr>
            <xdr:cNvPr id="250" name="TextBox 249">
              <a:extLst>
                <a:ext uri="{FF2B5EF4-FFF2-40B4-BE49-F238E27FC236}">
                  <a16:creationId xmlns:a16="http://schemas.microsoft.com/office/drawing/2014/main" id="{4D56A19F-ADAF-421C-8BF6-7FAC6D9A37EC}"/>
                </a:ext>
              </a:extLst>
            </xdr:cNvPr>
            <xdr:cNvSpPr txBox="1"/>
          </xdr:nvSpPr>
          <xdr:spPr>
            <a:xfrm>
              <a:off x="9849712" y="2078906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51" name="Straight Connector 250">
              <a:extLst>
                <a:ext uri="{FF2B5EF4-FFF2-40B4-BE49-F238E27FC236}">
                  <a16:creationId xmlns:a16="http://schemas.microsoft.com/office/drawing/2014/main" id="{E0E31722-31A9-4FDD-B751-C6760F5CC8B0}"/>
                </a:ext>
              </a:extLst>
            </xdr:cNvPr>
            <xdr:cNvCxnSpPr/>
          </xdr:nvCxnSpPr>
          <xdr:spPr>
            <a:xfrm rot="5400000" flipH="1" flipV="1">
              <a:off x="9890169" y="2101844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25" name="Group 74">
            <a:extLst>
              <a:ext uri="{FF2B5EF4-FFF2-40B4-BE49-F238E27FC236}">
                <a16:creationId xmlns:a16="http://schemas.microsoft.com/office/drawing/2014/main" id="{A8FFD95C-9CDD-4797-B6D8-26909F4F96E2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48" name="TextBox 247">
              <a:extLst>
                <a:ext uri="{FF2B5EF4-FFF2-40B4-BE49-F238E27FC236}">
                  <a16:creationId xmlns:a16="http://schemas.microsoft.com/office/drawing/2014/main" id="{AA9BC250-5498-4C54-939D-AC5282E6B81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6649A66A-10E8-4686-B4AC-6532CAA069E4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26" name="Group 89">
            <a:extLst>
              <a:ext uri="{FF2B5EF4-FFF2-40B4-BE49-F238E27FC236}">
                <a16:creationId xmlns:a16="http://schemas.microsoft.com/office/drawing/2014/main" id="{F06B2A0F-D028-4E0E-ACA2-28BA04B5071C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4" name="Straight Connector 243">
              <a:extLst>
                <a:ext uri="{FF2B5EF4-FFF2-40B4-BE49-F238E27FC236}">
                  <a16:creationId xmlns:a16="http://schemas.microsoft.com/office/drawing/2014/main" id="{63115335-846B-493E-A64F-2EE0C72999F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5" name="Straight Connector 79">
              <a:extLst>
                <a:ext uri="{FF2B5EF4-FFF2-40B4-BE49-F238E27FC236}">
                  <a16:creationId xmlns:a16="http://schemas.microsoft.com/office/drawing/2014/main" id="{8C1CC1D4-6E87-4FDD-AB99-31394CB9BD4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6" name="Straight Connector 80">
              <a:extLst>
                <a:ext uri="{FF2B5EF4-FFF2-40B4-BE49-F238E27FC236}">
                  <a16:creationId xmlns:a16="http://schemas.microsoft.com/office/drawing/2014/main" id="{9EA60A9C-2DBE-4FE7-A009-DF8B845AAC3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7" name="Straight Connector 88">
              <a:extLst>
                <a:ext uri="{FF2B5EF4-FFF2-40B4-BE49-F238E27FC236}">
                  <a16:creationId xmlns:a16="http://schemas.microsoft.com/office/drawing/2014/main" id="{B2F5F942-24A3-43D0-AAD2-88A50252DB8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27" name="Group 90">
            <a:extLst>
              <a:ext uri="{FF2B5EF4-FFF2-40B4-BE49-F238E27FC236}">
                <a16:creationId xmlns:a16="http://schemas.microsoft.com/office/drawing/2014/main" id="{9A940029-6F27-4292-AC74-5493827CFC15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0" name="Straight Connector 239">
              <a:extLst>
                <a:ext uri="{FF2B5EF4-FFF2-40B4-BE49-F238E27FC236}">
                  <a16:creationId xmlns:a16="http://schemas.microsoft.com/office/drawing/2014/main" id="{4C1D099C-8778-44E6-8C78-AD1F1ACFBA2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" name="Straight Connector 240">
              <a:extLst>
                <a:ext uri="{FF2B5EF4-FFF2-40B4-BE49-F238E27FC236}">
                  <a16:creationId xmlns:a16="http://schemas.microsoft.com/office/drawing/2014/main" id="{AAC63722-7A30-478A-B45B-1456BC3186DC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2" name="Straight Connector 241">
              <a:extLst>
                <a:ext uri="{FF2B5EF4-FFF2-40B4-BE49-F238E27FC236}">
                  <a16:creationId xmlns:a16="http://schemas.microsoft.com/office/drawing/2014/main" id="{BA871B35-647A-4B04-84EF-62437BAEAAC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3" name="Straight Connector 242">
              <a:extLst>
                <a:ext uri="{FF2B5EF4-FFF2-40B4-BE49-F238E27FC236}">
                  <a16:creationId xmlns:a16="http://schemas.microsoft.com/office/drawing/2014/main" id="{3B69B550-9AC2-4A06-906D-E7FC5B3B3A8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BE05D94F-E64A-4796-8C18-B4EFEE59EC1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D52D68DA-EFE2-4F68-8B6B-B0B529B34783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Arrow Connector 229">
            <a:extLst>
              <a:ext uri="{FF2B5EF4-FFF2-40B4-BE49-F238E27FC236}">
                <a16:creationId xmlns:a16="http://schemas.microsoft.com/office/drawing/2014/main" id="{C9561D79-2A25-4C9F-BAEA-1D366E03733A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Arrow Connector 230">
            <a:extLst>
              <a:ext uri="{FF2B5EF4-FFF2-40B4-BE49-F238E27FC236}">
                <a16:creationId xmlns:a16="http://schemas.microsoft.com/office/drawing/2014/main" id="{35AA41E8-4430-489F-9F06-FB6D35D7131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32" name="Group 155">
            <a:extLst>
              <a:ext uri="{FF2B5EF4-FFF2-40B4-BE49-F238E27FC236}">
                <a16:creationId xmlns:a16="http://schemas.microsoft.com/office/drawing/2014/main" id="{9439C3AB-5D49-487E-9796-2644555C31CB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237" name="Isosceles Triangle 236">
              <a:extLst>
                <a:ext uri="{FF2B5EF4-FFF2-40B4-BE49-F238E27FC236}">
                  <a16:creationId xmlns:a16="http://schemas.microsoft.com/office/drawing/2014/main" id="{9B3E1F75-4082-4486-A1F6-2046542209F7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8" name="Isosceles Triangle 237">
              <a:extLst>
                <a:ext uri="{FF2B5EF4-FFF2-40B4-BE49-F238E27FC236}">
                  <a16:creationId xmlns:a16="http://schemas.microsoft.com/office/drawing/2014/main" id="{FBA7ED6F-8FD4-430B-86C6-A53FE094FC5A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9" name="Isosceles Triangle 238">
              <a:extLst>
                <a:ext uri="{FF2B5EF4-FFF2-40B4-BE49-F238E27FC236}">
                  <a16:creationId xmlns:a16="http://schemas.microsoft.com/office/drawing/2014/main" id="{3E22FE06-8CC4-4700-904A-12589EB89B97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33" name="Group 134">
            <a:extLst>
              <a:ext uri="{FF2B5EF4-FFF2-40B4-BE49-F238E27FC236}">
                <a16:creationId xmlns:a16="http://schemas.microsoft.com/office/drawing/2014/main" id="{59F5C9D3-5859-48BC-B0F5-DDBC90AF3D6D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34" name="Isosceles Triangle 233">
              <a:extLst>
                <a:ext uri="{FF2B5EF4-FFF2-40B4-BE49-F238E27FC236}">
                  <a16:creationId xmlns:a16="http://schemas.microsoft.com/office/drawing/2014/main" id="{055142A3-77EB-4381-94EA-9528092CC8F4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5" name="Isosceles Triangle 234">
              <a:extLst>
                <a:ext uri="{FF2B5EF4-FFF2-40B4-BE49-F238E27FC236}">
                  <a16:creationId xmlns:a16="http://schemas.microsoft.com/office/drawing/2014/main" id="{DED9E11E-E33A-43A8-B3DE-6197448799D6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6" name="Isosceles Triangle 235">
              <a:extLst>
                <a:ext uri="{FF2B5EF4-FFF2-40B4-BE49-F238E27FC236}">
                  <a16:creationId xmlns:a16="http://schemas.microsoft.com/office/drawing/2014/main" id="{965E7F4E-B675-4F45-AB05-4D7669E1A37C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14</xdr:col>
      <xdr:colOff>101837</xdr:colOff>
      <xdr:row>27</xdr:row>
      <xdr:rowOff>139797</xdr:rowOff>
    </xdr:from>
    <xdr:to>
      <xdr:col>16</xdr:col>
      <xdr:colOff>165881</xdr:colOff>
      <xdr:row>31</xdr:row>
      <xdr:rowOff>67994</xdr:rowOff>
    </xdr:to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28523898-5BC0-47F5-B7AC-4F8A1E298D93}"/>
            </a:ext>
          </a:extLst>
        </xdr:cNvPr>
        <xdr:cNvSpPr txBox="1"/>
      </xdr:nvSpPr>
      <xdr:spPr>
        <a:xfrm>
          <a:off x="4978637" y="4288887"/>
          <a:ext cx="826044" cy="530177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T.NOTOKARJO</a:t>
          </a:r>
          <a:endParaRPr lang="id-ID" sz="6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12930</xdr:colOff>
      <xdr:row>26</xdr:row>
      <xdr:rowOff>98377</xdr:rowOff>
    </xdr:from>
    <xdr:to>
      <xdr:col>14</xdr:col>
      <xdr:colOff>172992</xdr:colOff>
      <xdr:row>27</xdr:row>
      <xdr:rowOff>152063</xdr:rowOff>
    </xdr:to>
    <xdr:cxnSp macro="">
      <xdr:nvCxnSpPr>
        <xdr:cNvPr id="285" name="Straight Connector 284">
          <a:extLst>
            <a:ext uri="{FF2B5EF4-FFF2-40B4-BE49-F238E27FC236}">
              <a16:creationId xmlns:a16="http://schemas.microsoft.com/office/drawing/2014/main" id="{D33D4C96-4B6A-41AD-B910-56FD791C57B6}"/>
            </a:ext>
          </a:extLst>
        </xdr:cNvPr>
        <xdr:cNvCxnSpPr>
          <a:stCxn id="292" idx="3"/>
          <a:endCxn id="310" idx="5"/>
        </xdr:cNvCxnSpPr>
      </xdr:nvCxnSpPr>
      <xdr:spPr>
        <a:xfrm flipH="1">
          <a:off x="2603730" y="4095067"/>
          <a:ext cx="2446062" cy="206086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75396</xdr:colOff>
      <xdr:row>26</xdr:row>
      <xdr:rowOff>96896</xdr:rowOff>
    </xdr:from>
    <xdr:to>
      <xdr:col>11</xdr:col>
      <xdr:colOff>205224</xdr:colOff>
      <xdr:row>27</xdr:row>
      <xdr:rowOff>72022</xdr:rowOff>
    </xdr:to>
    <xdr:grpSp>
      <xdr:nvGrpSpPr>
        <xdr:cNvPr id="287" name="Group 286">
          <a:extLst>
            <a:ext uri="{FF2B5EF4-FFF2-40B4-BE49-F238E27FC236}">
              <a16:creationId xmlns:a16="http://schemas.microsoft.com/office/drawing/2014/main" id="{CF2938BE-77AE-46D1-A42D-F4A33F7D689A}"/>
            </a:ext>
          </a:extLst>
        </xdr:cNvPr>
        <xdr:cNvGrpSpPr/>
      </xdr:nvGrpSpPr>
      <xdr:grpSpPr>
        <a:xfrm>
          <a:off x="3809196" y="4087871"/>
          <a:ext cx="129828" cy="1275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8" name="Oval 287">
            <a:extLst>
              <a:ext uri="{FF2B5EF4-FFF2-40B4-BE49-F238E27FC236}">
                <a16:creationId xmlns:a16="http://schemas.microsoft.com/office/drawing/2014/main" id="{C51DCC7E-B402-4A22-8D1D-F4B2F495070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82F80E12-9C2D-4536-92B5-85B898F81C86}"/>
              </a:ext>
            </a:extLst>
          </xdr:cNvPr>
          <xdr:cNvCxnSpPr>
            <a:stCxn id="288" idx="1"/>
            <a:endCxn id="2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1746BF69-E962-4328-B24A-C917B5573826}"/>
              </a:ext>
            </a:extLst>
          </xdr:cNvPr>
          <xdr:cNvCxnSpPr>
            <a:stCxn id="288" idx="3"/>
            <a:endCxn id="2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153979</xdr:colOff>
      <xdr:row>25</xdr:row>
      <xdr:rowOff>140676</xdr:rowOff>
    </xdr:from>
    <xdr:to>
      <xdr:col>14</xdr:col>
      <xdr:colOff>283807</xdr:colOff>
      <xdr:row>26</xdr:row>
      <xdr:rowOff>117267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id="{F672FE5F-BE13-4C4C-9B1E-03679D513C41}"/>
            </a:ext>
          </a:extLst>
        </xdr:cNvPr>
        <xdr:cNvGrpSpPr/>
      </xdr:nvGrpSpPr>
      <xdr:grpSpPr>
        <a:xfrm>
          <a:off x="5030779" y="3979251"/>
          <a:ext cx="129828" cy="12899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2" name="Oval 291">
            <a:extLst>
              <a:ext uri="{FF2B5EF4-FFF2-40B4-BE49-F238E27FC236}">
                <a16:creationId xmlns:a16="http://schemas.microsoft.com/office/drawing/2014/main" id="{0A18B114-AA5A-4801-86B7-884D87388DE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3" name="Straight Connector 292">
            <a:extLst>
              <a:ext uri="{FF2B5EF4-FFF2-40B4-BE49-F238E27FC236}">
                <a16:creationId xmlns:a16="http://schemas.microsoft.com/office/drawing/2014/main" id="{C169E6DA-12DF-4922-BA7A-29AEE4484776}"/>
              </a:ext>
            </a:extLst>
          </xdr:cNvPr>
          <xdr:cNvCxnSpPr>
            <a:stCxn id="292" idx="1"/>
            <a:endCxn id="2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Straight Connector 293">
            <a:extLst>
              <a:ext uri="{FF2B5EF4-FFF2-40B4-BE49-F238E27FC236}">
                <a16:creationId xmlns:a16="http://schemas.microsoft.com/office/drawing/2014/main" id="{7779DE6C-5BED-4BAF-AFA7-580DBE7A6708}"/>
              </a:ext>
            </a:extLst>
          </xdr:cNvPr>
          <xdr:cNvCxnSpPr>
            <a:stCxn id="292" idx="3"/>
            <a:endCxn id="2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283115</xdr:colOff>
      <xdr:row>27</xdr:row>
      <xdr:rowOff>39929</xdr:rowOff>
    </xdr:from>
    <xdr:to>
      <xdr:col>8</xdr:col>
      <xdr:colOff>31943</xdr:colOff>
      <xdr:row>28</xdr:row>
      <xdr:rowOff>18902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5F54434A-2C03-4B29-9E57-BB07F6EC9301}"/>
            </a:ext>
          </a:extLst>
        </xdr:cNvPr>
        <xdr:cNvGrpSpPr/>
      </xdr:nvGrpSpPr>
      <xdr:grpSpPr>
        <a:xfrm>
          <a:off x="2492915" y="4183304"/>
          <a:ext cx="129828" cy="13137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0" name="Oval 309">
            <a:extLst>
              <a:ext uri="{FF2B5EF4-FFF2-40B4-BE49-F238E27FC236}">
                <a16:creationId xmlns:a16="http://schemas.microsoft.com/office/drawing/2014/main" id="{301F38AC-5D39-48F6-AA84-377AA7FE0EA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8F681E0C-20CB-4535-B45A-60E0ACF7E60E}"/>
              </a:ext>
            </a:extLst>
          </xdr:cNvPr>
          <xdr:cNvCxnSpPr>
            <a:stCxn id="310" idx="1"/>
            <a:endCxn id="3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8A7E0CCE-E65B-43A5-976C-ECA64BE8BA34}"/>
              </a:ext>
            </a:extLst>
          </xdr:cNvPr>
          <xdr:cNvCxnSpPr>
            <a:stCxn id="310" idx="3"/>
            <a:endCxn id="3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172805</xdr:colOff>
      <xdr:row>27</xdr:row>
      <xdr:rowOff>5125</xdr:rowOff>
    </xdr:from>
    <xdr:to>
      <xdr:col>14</xdr:col>
      <xdr:colOff>255072</xdr:colOff>
      <xdr:row>27</xdr:row>
      <xdr:rowOff>123372</xdr:rowOff>
    </xdr:to>
    <xdr:grpSp>
      <xdr:nvGrpSpPr>
        <xdr:cNvPr id="364" name="Group 363">
          <a:extLst>
            <a:ext uri="{FF2B5EF4-FFF2-40B4-BE49-F238E27FC236}">
              <a16:creationId xmlns:a16="http://schemas.microsoft.com/office/drawing/2014/main" id="{EE9AAE41-5B5E-4EA1-A275-7250FB9F2AB2}"/>
            </a:ext>
          </a:extLst>
        </xdr:cNvPr>
        <xdr:cNvGrpSpPr/>
      </xdr:nvGrpSpPr>
      <xdr:grpSpPr>
        <a:xfrm rot="20852938">
          <a:off x="5049605" y="4148500"/>
          <a:ext cx="82267" cy="118247"/>
          <a:chOff x="4078687" y="2907502"/>
          <a:chExt cx="80544" cy="128391"/>
        </a:xfrm>
      </xdr:grpSpPr>
      <xdr:cxnSp macro="">
        <xdr:nvCxnSpPr>
          <xdr:cNvPr id="365" name="Straight Connector 364">
            <a:extLst>
              <a:ext uri="{FF2B5EF4-FFF2-40B4-BE49-F238E27FC236}">
                <a16:creationId xmlns:a16="http://schemas.microsoft.com/office/drawing/2014/main" id="{94FCC8D6-5B91-4F10-8577-29F2FEA459D8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6" name="Straight Connector 365">
            <a:extLst>
              <a:ext uri="{FF2B5EF4-FFF2-40B4-BE49-F238E27FC236}">
                <a16:creationId xmlns:a16="http://schemas.microsoft.com/office/drawing/2014/main" id="{22E7D67C-CE16-47A7-A125-842FBF0E20ED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7" name="Straight Connector 50">
            <a:extLst>
              <a:ext uri="{FF2B5EF4-FFF2-40B4-BE49-F238E27FC236}">
                <a16:creationId xmlns:a16="http://schemas.microsoft.com/office/drawing/2014/main" id="{0A118247-F161-4A57-A713-BF65628855E9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8" name="Straight Connector 367">
            <a:extLst>
              <a:ext uri="{FF2B5EF4-FFF2-40B4-BE49-F238E27FC236}">
                <a16:creationId xmlns:a16="http://schemas.microsoft.com/office/drawing/2014/main" id="{ADB4FB53-7E4B-470A-AAFD-12D04E780338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61279</xdr:colOff>
      <xdr:row>20</xdr:row>
      <xdr:rowOff>114752</xdr:rowOff>
    </xdr:from>
    <xdr:to>
      <xdr:col>8</xdr:col>
      <xdr:colOff>308064</xdr:colOff>
      <xdr:row>24</xdr:row>
      <xdr:rowOff>56285</xdr:rowOff>
    </xdr:to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EE12D25D-ACD2-420C-9BA0-F5672558D19F}"/>
            </a:ext>
          </a:extLst>
        </xdr:cNvPr>
        <xdr:cNvSpPr txBox="1"/>
      </xdr:nvSpPr>
      <xdr:spPr>
        <a:xfrm>
          <a:off x="2269347" y="3171411"/>
          <a:ext cx="627785" cy="54766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K3-298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7</xdr:col>
      <xdr:colOff>208220</xdr:colOff>
      <xdr:row>28</xdr:row>
      <xdr:rowOff>54113</xdr:rowOff>
    </xdr:from>
    <xdr:to>
      <xdr:col>8</xdr:col>
      <xdr:colOff>82320</xdr:colOff>
      <xdr:row>29</xdr:row>
      <xdr:rowOff>91834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7FA44A7-B48F-4C78-65C8-50E6C7643CA5}"/>
            </a:ext>
          </a:extLst>
        </xdr:cNvPr>
        <xdr:cNvGrpSpPr/>
      </xdr:nvGrpSpPr>
      <xdr:grpSpPr>
        <a:xfrm>
          <a:off x="2418020" y="4349888"/>
          <a:ext cx="255100" cy="190121"/>
          <a:chOff x="3337662" y="2850247"/>
          <a:chExt cx="255100" cy="188683"/>
        </a:xfrm>
      </xdr:grpSpPr>
      <xdr:sp macro="" textlink="">
        <xdr:nvSpPr>
          <xdr:cNvPr id="265" name="Isosceles Triangle 264">
            <a:extLst>
              <a:ext uri="{FF2B5EF4-FFF2-40B4-BE49-F238E27FC236}">
                <a16:creationId xmlns:a16="http://schemas.microsoft.com/office/drawing/2014/main" id="{57CA85B2-D3F0-4A96-8E9D-C71F46D34E4D}"/>
              </a:ext>
            </a:extLst>
          </xdr:cNvPr>
          <xdr:cNvSpPr/>
        </xdr:nvSpPr>
        <xdr:spPr>
          <a:xfrm>
            <a:off x="3337662" y="2850247"/>
            <a:ext cx="154195" cy="159753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" name="Isosceles Triangle 6">
            <a:extLst>
              <a:ext uri="{FF2B5EF4-FFF2-40B4-BE49-F238E27FC236}">
                <a16:creationId xmlns:a16="http://schemas.microsoft.com/office/drawing/2014/main" id="{0332A080-9878-1B03-8CCE-E42CFA47F162}"/>
              </a:ext>
            </a:extLst>
          </xdr:cNvPr>
          <xdr:cNvSpPr/>
        </xdr:nvSpPr>
        <xdr:spPr>
          <a:xfrm>
            <a:off x="3438567" y="2857437"/>
            <a:ext cx="154195" cy="159753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" name="Isosceles Triangle 5">
            <a:extLst>
              <a:ext uri="{FF2B5EF4-FFF2-40B4-BE49-F238E27FC236}">
                <a16:creationId xmlns:a16="http://schemas.microsoft.com/office/drawing/2014/main" id="{2AB50D75-F942-9FCE-CCB0-D700D206CF6D}"/>
              </a:ext>
            </a:extLst>
          </xdr:cNvPr>
          <xdr:cNvSpPr/>
        </xdr:nvSpPr>
        <xdr:spPr>
          <a:xfrm>
            <a:off x="3390438" y="2879177"/>
            <a:ext cx="154195" cy="159753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46464</xdr:colOff>
      <xdr:row>29</xdr:row>
      <xdr:rowOff>46463</xdr:rowOff>
    </xdr:from>
    <xdr:to>
      <xdr:col>8</xdr:col>
      <xdr:colOff>367061</xdr:colOff>
      <xdr:row>31</xdr:row>
      <xdr:rowOff>32524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7817634-EA9D-499A-C709-0A76300AE889}"/>
            </a:ext>
          </a:extLst>
        </xdr:cNvPr>
        <xdr:cNvSpPr txBox="1"/>
      </xdr:nvSpPr>
      <xdr:spPr>
        <a:xfrm>
          <a:off x="2262769" y="4520890"/>
          <a:ext cx="701597" cy="2834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200 kVA</a:t>
          </a:r>
        </a:p>
      </xdr:txBody>
    </xdr:sp>
    <xdr:clientData/>
  </xdr:twoCellAnchor>
  <xdr:twoCellAnchor>
    <xdr:from>
      <xdr:col>14</xdr:col>
      <xdr:colOff>218893</xdr:colOff>
      <xdr:row>26</xdr:row>
      <xdr:rowOff>117267</xdr:rowOff>
    </xdr:from>
    <xdr:to>
      <xdr:col>14</xdr:col>
      <xdr:colOff>224975</xdr:colOff>
      <xdr:row>28</xdr:row>
      <xdr:rowOff>19794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1B97F69F-402E-2DF5-877B-4BF3869DD791}"/>
            </a:ext>
          </a:extLst>
        </xdr:cNvPr>
        <xdr:cNvCxnSpPr>
          <a:stCxn id="292" idx="4"/>
          <a:endCxn id="30" idx="0"/>
        </xdr:cNvCxnSpPr>
      </xdr:nvCxnSpPr>
      <xdr:spPr>
        <a:xfrm>
          <a:off x="5095693" y="4113957"/>
          <a:ext cx="6082" cy="207327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129725</xdr:colOff>
      <xdr:row>28</xdr:row>
      <xdr:rowOff>19794</xdr:rowOff>
    </xdr:from>
    <xdr:to>
      <xdr:col>14</xdr:col>
      <xdr:colOff>320225</xdr:colOff>
      <xdr:row>28</xdr:row>
      <xdr:rowOff>125730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83B2C710-62F4-B4E8-2C7D-43B3A8B25741}"/>
            </a:ext>
          </a:extLst>
        </xdr:cNvPr>
        <xdr:cNvSpPr/>
      </xdr:nvSpPr>
      <xdr:spPr>
        <a:xfrm>
          <a:off x="5006525" y="4321284"/>
          <a:ext cx="190500" cy="105936"/>
        </a:xfrm>
        <a:prstGeom prst="rect">
          <a:avLst/>
        </a:prstGeom>
        <a:solidFill>
          <a:schemeClr val="tx1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324699</xdr:colOff>
      <xdr:row>26</xdr:row>
      <xdr:rowOff>98975</xdr:rowOff>
    </xdr:from>
    <xdr:to>
      <xdr:col>13</xdr:col>
      <xdr:colOff>62627</xdr:colOff>
      <xdr:row>27</xdr:row>
      <xdr:rowOff>28161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15CE34D1-2D99-C53A-7489-852E5D72A163}"/>
            </a:ext>
          </a:extLst>
        </xdr:cNvPr>
        <xdr:cNvGrpSpPr/>
      </xdr:nvGrpSpPr>
      <xdr:grpSpPr>
        <a:xfrm rot="3994948">
          <a:off x="4458170" y="4071279"/>
          <a:ext cx="81586" cy="118928"/>
          <a:chOff x="4078687" y="2907502"/>
          <a:chExt cx="80544" cy="128391"/>
        </a:xfrm>
      </xdr:grpSpPr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74BAD51F-8EE4-41B5-48D1-CB7FC284875A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091CED45-9DB0-AB48-CE7F-492C081CC5F8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50">
            <a:extLst>
              <a:ext uri="{FF2B5EF4-FFF2-40B4-BE49-F238E27FC236}">
                <a16:creationId xmlns:a16="http://schemas.microsoft.com/office/drawing/2014/main" id="{2B52D5C2-9126-767B-6858-51F0F8D63421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47E9153E-42CF-F3B3-77D2-FA00301185A0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236254</xdr:colOff>
      <xdr:row>27</xdr:row>
      <xdr:rowOff>54751</xdr:rowOff>
    </xdr:from>
    <xdr:to>
      <xdr:col>9</xdr:col>
      <xdr:colOff>355182</xdr:colOff>
      <xdr:row>27</xdr:row>
      <xdr:rowOff>137018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120F8F1A-10CB-B5CC-DB55-9FB69C59EB36}"/>
            </a:ext>
          </a:extLst>
        </xdr:cNvPr>
        <xdr:cNvGrpSpPr/>
      </xdr:nvGrpSpPr>
      <xdr:grpSpPr>
        <a:xfrm rot="3994948">
          <a:off x="3226384" y="4179796"/>
          <a:ext cx="82267" cy="118928"/>
          <a:chOff x="4078687" y="2907502"/>
          <a:chExt cx="80544" cy="128391"/>
        </a:xfrm>
      </xdr:grpSpPr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A263972F-C1B8-DA78-B928-656CF47D9724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FF5EA6F-55E4-EFF8-35E3-D6079043AE5F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50">
            <a:extLst>
              <a:ext uri="{FF2B5EF4-FFF2-40B4-BE49-F238E27FC236}">
                <a16:creationId xmlns:a16="http://schemas.microsoft.com/office/drawing/2014/main" id="{2E9FB557-242F-0CC1-58F7-009507C4832A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91B7B60B-31A9-814A-9F7A-1BE9F95E376F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111407</xdr:colOff>
      <xdr:row>27</xdr:row>
      <xdr:rowOff>111406</xdr:rowOff>
    </xdr:from>
    <xdr:to>
      <xdr:col>11</xdr:col>
      <xdr:colOff>51004</xdr:colOff>
      <xdr:row>29</xdr:row>
      <xdr:rowOff>88808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C7DB7FDF-F4ED-08EC-6607-B9A19E1D033E}"/>
            </a:ext>
          </a:extLst>
        </xdr:cNvPr>
        <xdr:cNvSpPr txBox="1"/>
      </xdr:nvSpPr>
      <xdr:spPr>
        <a:xfrm rot="21216480">
          <a:off x="3081475" y="4228804"/>
          <a:ext cx="701597" cy="2804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aseline="0">
              <a:solidFill>
                <a:srgbClr val="FF0000"/>
              </a:solidFill>
            </a:rPr>
            <a:t>65 Mtr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172020</xdr:colOff>
      <xdr:row>27</xdr:row>
      <xdr:rowOff>11827</xdr:rowOff>
    </xdr:from>
    <xdr:to>
      <xdr:col>14</xdr:col>
      <xdr:colOff>111617</xdr:colOff>
      <xdr:row>28</xdr:row>
      <xdr:rowOff>140763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DD9460D1-77D2-A3AE-D426-9069E973D89F}"/>
            </a:ext>
          </a:extLst>
        </xdr:cNvPr>
        <xdr:cNvSpPr txBox="1"/>
      </xdr:nvSpPr>
      <xdr:spPr>
        <a:xfrm rot="21216480">
          <a:off x="4285088" y="4129225"/>
          <a:ext cx="701597" cy="2804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aseline="0">
              <a:solidFill>
                <a:srgbClr val="FF0000"/>
              </a:solidFill>
            </a:rPr>
            <a:t>65 Mtr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108904</xdr:colOff>
      <xdr:row>20</xdr:row>
      <xdr:rowOff>58468</xdr:rowOff>
    </xdr:from>
    <xdr:to>
      <xdr:col>11</xdr:col>
      <xdr:colOff>355689</xdr:colOff>
      <xdr:row>24</xdr:row>
      <xdr:rowOff>1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3D96C891-8BC4-8CD3-EAF8-04DF9F28EF52}"/>
            </a:ext>
          </a:extLst>
        </xdr:cNvPr>
        <xdr:cNvSpPr txBox="1"/>
      </xdr:nvSpPr>
      <xdr:spPr>
        <a:xfrm>
          <a:off x="3459972" y="3115127"/>
          <a:ext cx="627785" cy="54766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K3-297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13</xdr:col>
      <xdr:colOff>143541</xdr:colOff>
      <xdr:row>19</xdr:row>
      <xdr:rowOff>127741</xdr:rowOff>
    </xdr:from>
    <xdr:to>
      <xdr:col>15</xdr:col>
      <xdr:colOff>9326</xdr:colOff>
      <xdr:row>23</xdr:row>
      <xdr:rowOff>69274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A84EB92D-2CFD-725E-140D-E7933A6EE37A}"/>
            </a:ext>
          </a:extLst>
        </xdr:cNvPr>
        <xdr:cNvSpPr txBox="1"/>
      </xdr:nvSpPr>
      <xdr:spPr>
        <a:xfrm>
          <a:off x="4637609" y="3032866"/>
          <a:ext cx="627785" cy="54766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K3-296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86590</xdr:colOff>
      <xdr:row>9</xdr:row>
      <xdr:rowOff>86591</xdr:rowOff>
    </xdr:from>
    <xdr:to>
      <xdr:col>20</xdr:col>
      <xdr:colOff>675409</xdr:colOff>
      <xdr:row>50</xdr:row>
      <xdr:rowOff>34637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8F9185-2118-00FA-1D79-A405F2489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863" y="1645227"/>
          <a:ext cx="11066319" cy="6338455"/>
        </a:xfrm>
        <a:prstGeom prst="rect">
          <a:avLst/>
        </a:prstGeom>
      </xdr:spPr>
    </xdr:pic>
    <xdr:clientData/>
  </xdr:twoCellAnchor>
  <xdr:twoCellAnchor>
    <xdr:from>
      <xdr:col>14</xdr:col>
      <xdr:colOff>-1</xdr:colOff>
      <xdr:row>20</xdr:row>
      <xdr:rowOff>34637</xdr:rowOff>
    </xdr:from>
    <xdr:to>
      <xdr:col>16</xdr:col>
      <xdr:colOff>121227</xdr:colOff>
      <xdr:row>31</xdr:row>
      <xdr:rowOff>51955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39EC681-50E5-355F-F2BB-51C173B1EE3A}"/>
            </a:ext>
          </a:extLst>
        </xdr:cNvPr>
        <xdr:cNvCxnSpPr/>
      </xdr:nvCxnSpPr>
      <xdr:spPr>
        <a:xfrm flipH="1">
          <a:off x="7671954" y="3307773"/>
          <a:ext cx="1333500" cy="1731818"/>
        </a:xfrm>
        <a:prstGeom prst="straightConnector1">
          <a:avLst/>
        </a:prstGeom>
        <a:ln w="349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8" t="s">
        <v>1134</v>
      </c>
      <c r="C4" s="508"/>
      <c r="D4" s="508"/>
      <c r="E4" s="508"/>
      <c r="F4" s="508"/>
      <c r="G4" s="508"/>
      <c r="H4" s="50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9" t="s">
        <v>0</v>
      </c>
      <c r="C7" s="509" t="s">
        <v>1</v>
      </c>
      <c r="D7" s="510" t="s">
        <v>42</v>
      </c>
      <c r="E7" s="510" t="s">
        <v>43</v>
      </c>
      <c r="F7" s="510" t="s">
        <v>1135</v>
      </c>
      <c r="G7" s="511" t="s">
        <v>41</v>
      </c>
      <c r="H7" s="507" t="s">
        <v>1042</v>
      </c>
      <c r="I7" s="507" t="s">
        <v>1137</v>
      </c>
      <c r="J7" s="507" t="s">
        <v>1026</v>
      </c>
      <c r="K7" s="501" t="s">
        <v>1024</v>
      </c>
      <c r="L7" s="502"/>
    </row>
    <row r="8" spans="1:12" ht="15" customHeight="1">
      <c r="B8" s="509"/>
      <c r="C8" s="509"/>
      <c r="D8" s="510"/>
      <c r="E8" s="510"/>
      <c r="F8" s="510"/>
      <c r="G8" s="511"/>
      <c r="H8" s="507"/>
      <c r="I8" s="507"/>
      <c r="J8" s="507"/>
      <c r="K8" s="503"/>
      <c r="L8" s="504"/>
    </row>
    <row r="9" spans="1:12" ht="15" customHeight="1">
      <c r="B9" s="509"/>
      <c r="C9" s="509"/>
      <c r="D9" s="510"/>
      <c r="E9" s="510"/>
      <c r="F9" s="510"/>
      <c r="G9" s="511"/>
      <c r="H9" s="507"/>
      <c r="I9" s="507"/>
      <c r="J9" s="507"/>
      <c r="K9" s="505"/>
      <c r="L9" s="50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16.5 kVA MCCB 25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4 x 16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20</v>
      </c>
      <c r="G14" s="41">
        <f ca="1">IF(ISERROR(OFFSET('HARGA SATUAN'!$I$6,MATCH(C14,'HARGA SATUAN'!$C$7:$C$1492,0),0)),"",OFFSET('HARGA SATUAN'!$I$6,MATCH(C14,'HARGA SATUAN'!$C$7:$C$1492,0),0))</f>
        <v>13500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SUMIFS(RAB!$F$14:$F$56,RAB!$C$14:$C$56,C714)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SUMIFS(RAB!$F$14:$F$56,RAB!$C$14:$C$56,C715)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SUMIFS(RAB!$F$14:$F$56,RAB!$C$14:$C$56,C716)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SUMIFS(RAB!$F$14:$F$56,RAB!$C$14:$C$56,C717)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SUMIFS(RAB!$F$14:$F$56,RAB!$C$14:$C$56,C718)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SUMIFS(RAB!$F$14:$F$56,RAB!$C$14:$C$56,C719)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SUMIFS(RAB!$F$14:$F$56,RAB!$C$14:$C$56,C720)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SUMIFS(RAB!$F$14:$F$56,RAB!$C$14:$C$56,C721)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SUMIFS(RAB!$F$14:$F$56,RAB!$C$14:$C$56,C722)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SUMIFS(RAB!$F$14:$F$56,RAB!$C$14:$C$56,C723)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SUMIFS(RAB!$F$14:$F$56,RAB!$C$14:$C$56,C724)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SUMIFS(RAB!$F$14:$F$56,RAB!$C$14:$C$56,C725)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SUMIFS(RAB!$F$14:$F$56,RAB!$C$14:$C$56,C726)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SUMIFS(RAB!$F$14:$F$56,RAB!$C$14:$C$56,C727)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SUMIFS(RAB!$F$14:$F$56,RAB!$C$14:$C$56,C728)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SUMIFS(RAB!$F$14:$F$56,RAB!$C$14:$C$56,C729)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SUMIFS(RAB!$F$14:$F$56,RAB!$C$14:$C$56,C730)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SUMIFS(RAB!$F$14:$F$56,RAB!$C$14:$C$56,C731)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SUMIFS(RAB!$F$14:$F$56,RAB!$C$14:$C$56,C732)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SUMIFS(RAB!$F$14:$F$56,RAB!$C$14:$C$56,C733)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SUMIFS(RAB!$F$14:$F$56,RAB!$C$14:$C$56,C734)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SUMIFS(RAB!$F$14:$F$56,RAB!$C$14:$C$56,C735)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SUMIFS(RAB!$F$14:$F$56,RAB!$C$14:$C$56,C736)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SUMIFS(RAB!$F$14:$F$56,RAB!$C$14:$C$56,C737)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SUMIFS(RAB!$F$14:$F$56,RAB!$C$14:$C$56,C738)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SUMIFS(RAB!$F$14:$F$56,RAB!$C$14:$C$56,C739)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SUMIFS(RAB!$F$14:$F$56,RAB!$C$14:$C$56,C740)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SUMIFS(RAB!$F$14:$F$56,RAB!$C$14:$C$56,C741)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SUMIFS(RAB!$F$14:$F$56,RAB!$C$14:$C$56,C742)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SUMIFS(RAB!$F$14:$F$56,RAB!$C$14:$C$56,C743)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SUMIFS(RAB!$F$14:$F$56,RAB!$C$14:$C$56,C744)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SUMIFS(RAB!$F$14:$F$56,RAB!$C$14:$C$56,C745)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SUMIFS(RAB!$F$14:$F$56,RAB!$C$14:$C$56,C746)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SUMIFS(RAB!$F$14:$F$56,RAB!$C$14:$C$56,C747)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SUMIFS(RAB!$F$14:$F$56,RAB!$C$14:$C$56,C748)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SUMIFS(RAB!$F$14:$F$56,RAB!$C$14:$C$56,C749)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SUMIFS(RAB!$F$14:$F$56,RAB!$C$14:$C$56,C750)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SUMIFS(RAB!$F$14:$F$56,RAB!$C$14:$C$56,C751)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SUMIFS(RAB!$F$14:$F$56,RAB!$C$14:$C$56,C752)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SUMIFS(RAB!$F$14:$F$56,RAB!$C$14:$C$56,C753)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SUMIFS(RAB!$F$14:$F$56,RAB!$C$14:$C$56,C754)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SUMIFS(RAB!$F$14:$F$56,RAB!$C$14:$C$56,C755)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SUMIFS(RAB!$F$14:$F$56,RAB!$C$14:$C$56,C756)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SUMIFS(RAB!$F$14:$F$56,RAB!$C$14:$C$56,C757)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SUMIFS(RAB!$F$14:$F$56,RAB!$C$14:$C$56,C758)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SUMIFS(RAB!$F$14:$F$56,RAB!$C$14:$C$56,C759)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SUMIFS(RAB!$F$14:$F$56,RAB!$C$14:$C$56,C760)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SUMIFS(RAB!$F$14:$F$56,RAB!$C$14:$C$56,C761)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SUMIFS(RAB!$F$14:$F$56,RAB!$C$14:$C$56,C762)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SUMIFS(RAB!$F$14:$F$56,RAB!$C$14:$C$56,C763)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SUMIFS(RAB!$F$14:$F$56,RAB!$C$14:$C$56,C764)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SUMIFS(RAB!$F$14:$F$56,RAB!$C$14:$C$56,C765)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SUMIFS(RAB!$F$14:$F$56,RAB!$C$14:$C$56,C766)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SUMIFS(RAB!$F$14:$F$56,RAB!$C$14:$C$56,C767)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SUMIFS(RAB!$F$14:$F$56,RAB!$C$14:$C$56,C768)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SUMIFS(RAB!$F$14:$F$56,RAB!$C$14:$C$56,C769)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SUMIFS(RAB!$F$14:$F$56,RAB!$C$14:$C$56,C770)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SUMIFS(RAB!$F$14:$F$56,RAB!$C$14:$C$56,C771)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SUMIFS(RAB!$F$14:$F$56,RAB!$C$14:$C$56,C772)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SUMIFS(RAB!$F$14:$F$56,RAB!$C$14:$C$56,C773)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SUMIFS(RAB!$F$14:$F$56,RAB!$C$14:$C$56,C774)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SUMIFS(RAB!$F$14:$F$56,RAB!$C$14:$C$56,C775)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SUMIFS(RAB!$F$14:$F$56,RAB!$C$14:$C$56,C776)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SUMIFS(RAB!$F$14:$F$56,RAB!$C$14:$C$56,C777)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SUMIFS(RAB!$F$14:$F$56,RAB!$C$14:$C$56,C778)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SUMIFS(RAB!$F$14:$F$56,RAB!$C$14:$C$56,C779)</f>
        <v>1</v>
      </c>
      <c r="E779" s="26">
        <f t="shared" ref="E779:E842" ca="1" si="34">IF(D779=0,0,1)</f>
        <v>1</v>
      </c>
      <c r="F779" s="26">
        <f ca="1">IF(D779=0,0,SUM($E$713:E779))</f>
        <v>2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SUMIFS(RAB!$F$14:$F$56,RAB!$C$14:$C$56,C780)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SUMIFS(RAB!$F$14:$F$56,RAB!$C$14:$C$56,C781)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SUMIFS(RAB!$F$14:$F$56,RAB!$C$14:$C$56,C782)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SUMIFS(RAB!$F$14:$F$56,RAB!$C$14:$C$56,C783)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SUMIFS(RAB!$F$14:$F$56,RAB!$C$14:$C$56,C784)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SUMIFS(RAB!$F$14:$F$56,RAB!$C$14:$C$56,C785)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SUMIFS(RAB!$F$14:$F$56,RAB!$C$14:$C$56,C786)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SUMIFS(RAB!$F$14:$F$56,RAB!$C$14:$C$56,C787)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SUMIFS(RAB!$F$14:$F$56,RAB!$C$14:$C$56,C788)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SUMIFS(RAB!$F$14:$F$56,RAB!$C$14:$C$56,C789)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SUMIFS(RAB!$F$14:$F$56,RAB!$C$14:$C$56,C790)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SUMIFS(RAB!$F$14:$F$56,RAB!$C$14:$C$56,C791)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SUMIFS(RAB!$F$14:$F$56,RAB!$C$14:$C$56,C792)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SUMIFS(RAB!$F$14:$F$56,RAB!$C$14:$C$56,C793)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SUMIFS(RAB!$F$14:$F$56,RAB!$C$14:$C$56,C794)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SUMIFS(RAB!$F$14:$F$56,RAB!$C$14:$C$56,C795)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SUMIFS(RAB!$F$14:$F$56,RAB!$C$14:$C$56,C796)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SUMIFS(RAB!$F$14:$F$56,RAB!$C$14:$C$56,C797)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SUMIFS(RAB!$F$14:$F$56,RAB!$C$14:$C$56,C798)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SUMIFS(RAB!$F$14:$F$56,RAB!$C$14:$C$56,C799)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SUMIFS(RAB!$F$14:$F$56,RAB!$C$14:$C$56,C800)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SUMIFS(RAB!$F$14:$F$56,RAB!$C$14:$C$56,C801)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SUMIFS(RAB!$F$14:$F$56,RAB!$C$14:$C$56,C802)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SUMIFS(RAB!$F$14:$F$56,RAB!$C$14:$C$56,C803)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SUMIFS(RAB!$F$14:$F$56,RAB!$C$14:$C$56,C804)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SUMIFS(RAB!$F$14:$F$56,RAB!$C$14:$C$56,C805)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SUMIFS(RAB!$F$14:$F$56,RAB!$C$14:$C$56,C806)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SUMIFS(RAB!$F$14:$F$56,RAB!$C$14:$C$56,C807)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SUMIFS(RAB!$F$14:$F$56,RAB!$C$14:$C$56,C808)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SUMIFS(RAB!$F$14:$F$56,RAB!$C$14:$C$56,C809)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SUMIFS(RAB!$F$14:$F$56,RAB!$C$14:$C$56,C810)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SUMIFS(RAB!$F$14:$F$56,RAB!$C$14:$C$56,C811)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SUMIFS(RAB!$F$14:$F$56,RAB!$C$14:$C$56,C812)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SUMIFS(RAB!$F$14:$F$56,RAB!$C$14:$C$56,C813)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SUMIFS(RAB!$F$14:$F$56,RAB!$C$14:$C$56,C814)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SUMIFS(RAB!$F$14:$F$56,RAB!$C$14:$C$56,C815)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SUMIFS(RAB!$F$14:$F$56,RAB!$C$14:$C$56,C816)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SUMIFS(RAB!$F$14:$F$56,RAB!$C$14:$C$56,C817)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SUMIFS(RAB!$F$14:$F$56,RAB!$C$14:$C$56,C818)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SUMIFS(RAB!$F$14:$F$56,RAB!$C$14:$C$56,C819)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SUMIFS(RAB!$F$14:$F$56,RAB!$C$14:$C$56,C820)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SUMIFS(RAB!$F$14:$F$56,RAB!$C$14:$C$56,C821)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SUMIFS(RAB!$F$14:$F$56,RAB!$C$14:$C$56,C822)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SUMIFS(RAB!$F$14:$F$56,RAB!$C$14:$C$56,C823)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SUMIFS(RAB!$F$14:$F$56,RAB!$C$14:$C$56,C824)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SUMIFS(RAB!$F$14:$F$56,RAB!$C$14:$C$56,C825)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SUMIFS(RAB!$F$14:$F$56,RAB!$C$14:$C$56,C826)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SUMIFS(RAB!$F$14:$F$56,RAB!$C$14:$C$56,C827)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SUMIFS(RAB!$F$14:$F$56,RAB!$C$14:$C$56,C828)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SUMIFS(RAB!$F$14:$F$56,RAB!$C$14:$C$56,C829)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SUMIFS(RAB!$F$14:$F$56,RAB!$C$14:$C$56,C830)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SUMIFS(RAB!$F$14:$F$56,RAB!$C$14:$C$56,C831)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SUMIFS(RAB!$F$14:$F$56,RAB!$C$14:$C$56,C832)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SUMIFS(RAB!$F$14:$F$56,RAB!$C$14:$C$56,C833)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SUMIFS(RAB!$F$14:$F$56,RAB!$C$14:$C$56,C834)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SUMIFS(RAB!$F$14:$F$56,RAB!$C$14:$C$56,C835)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SUMIFS(RAB!$F$14:$F$56,RAB!$C$14:$C$56,C836)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SUMIFS(RAB!$F$14:$F$56,RAB!$C$14:$C$56,C837)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SUMIFS(RAB!$F$14:$F$56,RAB!$C$14:$C$56,C838)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SUMIFS(RAB!$F$14:$F$56,RAB!$C$14:$C$56,C839)</f>
        <v>20</v>
      </c>
      <c r="E839" s="26">
        <f t="shared" ca="1" si="34"/>
        <v>1</v>
      </c>
      <c r="F839" s="26">
        <f ca="1">IF(D839=0,0,SUM($E$713:E839))</f>
        <v>3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SUMIFS(RAB!$F$14:$F$56,RAB!$C$14:$C$56,C840)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SUMIFS(RAB!$F$14:$F$56,RAB!$C$14:$C$56,C841)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SUMIFS(RAB!$F$14:$F$56,RAB!$C$14:$C$56,C842)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SUMIFS(RAB!$F$14:$F$56,RAB!$C$14:$C$56,C843)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SUMIFS(RAB!$F$14:$F$56,RAB!$C$14:$C$56,C844)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SUMIFS(RAB!$F$14:$F$56,RAB!$C$14:$C$56,C845)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SUMIFS(RAB!$F$14:$F$56,RAB!$C$14:$C$56,C846)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SUMIFS(RAB!$F$14:$F$56,RAB!$C$14:$C$56,C847)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SUMIFS(RAB!$F$14:$F$56,RAB!$C$14:$C$56,C848)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SUMIFS(RAB!$F$14:$F$56,RAB!$C$14:$C$56,C849)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SUMIFS(RAB!$F$14:$F$56,RAB!$C$14:$C$56,C850)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SUMIFS(RAB!$F$14:$F$56,RAB!$C$14:$C$56,C851)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SUMIFS(RAB!$F$14:$F$56,RAB!$C$14:$C$56,C852)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SUMIFS(RAB!$F$14:$F$56,RAB!$C$14:$C$56,C853)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SUMIFS(RAB!$F$14:$F$56,RAB!$C$14:$C$56,C854)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SUMIFS(RAB!$F$14:$F$56,RAB!$C$14:$C$56,C855)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SUMIFS(RAB!$F$14:$F$56,RAB!$C$14:$C$56,C856)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SUMIFS(RAB!$F$14:$F$56,RAB!$C$14:$C$56,C857)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SUMIFS(RAB!$F$14:$F$56,RAB!$C$14:$C$56,C858)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SUMIFS(RAB!$F$14:$F$56,RAB!$C$14:$C$56,C859)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SUMIFS(RAB!$F$14:$F$56,RAB!$C$14:$C$56,C860)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SUMIFS(RAB!$F$14:$F$56,RAB!$C$14:$C$56,C861)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SUMIFS(RAB!$F$14:$F$56,RAB!$C$14:$C$56,C862)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SUMIFS(RAB!$F$14:$F$56,RAB!$C$14:$C$56,C863)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SUMIFS(RAB!$F$14:$F$56,RAB!$C$14:$C$56,C864)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SUMIFS(RAB!$F$14:$F$56,RAB!$C$14:$C$56,C865)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SUMIFS(RAB!$F$14:$F$56,RAB!$C$14:$C$56,C866)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SUMIFS(RAB!$F$14:$F$56,RAB!$C$14:$C$56,C867)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SUMIFS(RAB!$F$14:$F$56,RAB!$C$14:$C$56,C868)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SUMIFS(RAB!$F$14:$F$56,RAB!$C$14:$C$56,C869)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SUMIFS(RAB!$F$14:$F$56,RAB!$C$14:$C$56,C870)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SUMIFS(RAB!$F$14:$F$56,RAB!$C$14:$C$56,C871)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SUMIFS(RAB!$F$14:$F$56,RAB!$C$14:$C$56,C872)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SUMIFS(RAB!$F$14:$F$56,RAB!$C$14:$C$56,C873)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SUMIFS(RAB!$F$14:$F$56,RAB!$C$14:$C$56,C874)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SUMIFS(RAB!$F$14:$F$56,RAB!$C$14:$C$56,C875)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SUMIFS(RAB!$F$14:$F$56,RAB!$C$14:$C$56,C876)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SUMIFS(RAB!$F$14:$F$56,RAB!$C$14:$C$56,C877)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SUMIFS(RAB!$F$14:$F$56,RAB!$C$14:$C$56,C878)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SUMIFS(RAB!$F$14:$F$56,RAB!$C$14:$C$56,C879)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SUMIFS(RAB!$F$14:$F$56,RAB!$C$14:$C$56,C880)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SUMIFS(RAB!$F$14:$F$56,RAB!$C$14:$C$56,C881)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SUMIFS(RAB!$F$14:$F$56,RAB!$C$14:$C$56,C882)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SUMIFS(RAB!$F$14:$F$56,RAB!$C$14:$C$56,C883)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SUMIFS(RAB!$F$14:$F$56,RAB!$C$14:$C$56,C884)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SUMIFS(RAB!$F$14:$F$56,RAB!$C$14:$C$56,C885)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SUMIFS(RAB!$F$14:$F$56,RAB!$C$14:$C$56,C886)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SUMIFS(RAB!$F$14:$F$56,RAB!$C$14:$C$56,C887)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SUMIFS(RAB!$F$14:$F$56,RAB!$C$14:$C$56,C888)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SUMIFS(RAB!$F$14:$F$56,RAB!$C$14:$C$56,C889)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SUMIFS(RAB!$F$14:$F$56,RAB!$C$14:$C$56,C890)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SUMIFS(RAB!$F$14:$F$56,RAB!$C$14:$C$56,C891)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SUMIFS(RAB!$F$14:$F$56,RAB!$C$14:$C$56,C892)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SUMIFS(RAB!$F$14:$F$56,RAB!$C$14:$C$56,C893)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SUMIFS(RAB!$F$14:$F$56,RAB!$C$14:$C$56,C894)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SUMIFS(RAB!$F$14:$F$56,RAB!$C$14:$C$56,C895)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SUMIFS(RAB!$F$14:$F$56,RAB!$C$14:$C$56,C896)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SUMIFS(RAB!$F$14:$F$56,RAB!$C$14:$C$56,C897)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SUMIFS(RAB!$F$14:$F$56,RAB!$C$14:$C$56,C898)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SUMIFS(RAB!$F$14:$F$56,RAB!$C$14:$C$56,C899)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SUMIFS(RAB!$F$14:$F$56,RAB!$C$14:$C$56,C900)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SUMIFS(RAB!$F$14:$F$56,RAB!$C$14:$C$56,C901)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SUMIFS(RAB!$F$14:$F$56,RAB!$C$14:$C$56,C902)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SUMIFS(RAB!$F$14:$F$56,RAB!$C$14:$C$56,C903)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SUMIFS(RAB!$F$14:$F$56,RAB!$C$14:$C$56,C904)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SUMIFS(RAB!$F$14:$F$56,RAB!$C$14:$C$56,C905)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SUMIFS(RAB!$F$14:$F$56,RAB!$C$14:$C$56,C906)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SUMIFS(RAB!$F$14:$F$56,RAB!$C$14:$C$56,C907)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SUMIFS(RAB!$F$14:$F$56,RAB!$C$14:$C$56,C908)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SUMIFS(RAB!$F$14:$F$56,RAB!$C$14:$C$56,C909)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SUMIFS(RAB!$F$14:$F$56,RAB!$C$14:$C$56,C910)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SUMIFS(RAB!$F$14:$F$56,RAB!$C$14:$C$56,C911)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SUMIFS(RAB!$F$14:$F$56,RAB!$C$14:$C$56,C912)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SUMIFS(RAB!$F$14:$F$56,RAB!$C$14:$C$56,C913)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SUMIFS(RAB!$F$14:$F$56,RAB!$C$14:$C$56,C914)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SUMIFS(RAB!$F$14:$F$56,RAB!$C$14:$C$56,C915)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SUMIFS(RAB!$F$14:$F$56,RAB!$C$14:$C$56,C916)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SUMIFS(RAB!$F$14:$F$56,RAB!$C$14:$C$56,C917)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SUMIFS(RAB!$F$14:$F$56,RAB!$C$14:$C$56,C918)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SUMIFS(RAB!$F$14:$F$56,RAB!$C$14:$C$56,C919)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SUMIFS(RAB!$F$14:$F$56,RAB!$C$14:$C$56,C920)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SUMIFS(RAB!$F$14:$F$56,RAB!$C$14:$C$56,C921)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SUMIFS(RAB!$F$14:$F$56,RAB!$C$14:$C$56,C922)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SUMIFS(RAB!$F$14:$F$56,RAB!$C$14:$C$56,C923)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SUMIFS(RAB!$F$14:$F$56,RAB!$C$14:$C$56,C924)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SUMIFS(RAB!$F$14:$F$56,RAB!$C$14:$C$56,C925)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SUMIFS(RAB!$F$14:$F$56,RAB!$C$14:$C$56,C926)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SUMIFS(RAB!$F$14:$F$56,RAB!$C$14:$C$56,C927)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SUMIFS(RAB!$F$14:$F$56,RAB!$C$14:$C$56,C928)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SUMIFS(RAB!$F$14:$F$56,RAB!$C$14:$C$56,C929)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SUMIFS(RAB!$F$14:$F$56,RAB!$C$14:$C$56,C930)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SUMIFS(RAB!$F$14:$F$56,RAB!$C$14:$C$56,C931)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SUMIFS(RAB!$F$14:$F$56,RAB!$C$14:$C$56,C932)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SUMIFS(RAB!$F$14:$F$56,RAB!$C$14:$C$56,C933)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SUMIFS(RAB!$F$14:$F$56,RAB!$C$14:$C$56,C934)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SUMIFS(RAB!$F$14:$F$56,RAB!$C$14:$C$56,C935)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SUMIFS(RAB!$F$14:$F$56,RAB!$C$14:$C$56,C936)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SUMIFS(RAB!$F$14:$F$56,RAB!$C$14:$C$56,C937)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SUMIFS(RAB!$F$14:$F$56,RAB!$C$14:$C$56,C938)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SUMIFS(RAB!$F$14:$F$56,RAB!$C$14:$C$56,C939)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SUMIFS(RAB!$F$14:$F$56,RAB!$C$14:$C$56,C940)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SUMIFS(RAB!$F$14:$F$56,RAB!$C$14:$C$56,C941)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SUMIFS(RAB!$F$14:$F$56,RAB!$C$14:$C$56,C942)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SUMIFS(RAB!$F$14:$F$56,RAB!$C$14:$C$56,C943)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SUMIFS(RAB!$F$14:$F$56,RAB!$C$14:$C$56,C944)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SUMIFS(RAB!$F$14:$F$56,RAB!$C$14:$C$56,C945)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SUMIFS(RAB!$F$14:$F$56,RAB!$C$14:$C$56,C946)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SUMIFS(RAB!$F$14:$F$56,RAB!$C$14:$C$56,C947)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SUMIFS(RAB!$F$14:$F$56,RAB!$C$14:$C$56,C948)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SUMIFS(RAB!$F$14:$F$56,RAB!$C$14:$C$56,C949)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SUMIFS(RAB!$F$14:$F$56,RAB!$C$14:$C$56,C950)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SUMIFS(RAB!$F$14:$F$56,RAB!$C$14:$C$56,C951)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SUMIFS(RAB!$F$14:$F$56,RAB!$C$14:$C$56,C952)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SUMIFS(RAB!$F$14:$F$56,RAB!$C$14:$C$56,C953)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SUMIFS(RAB!$F$14:$F$56,RAB!$C$14:$C$56,C954)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SUMIFS(RAB!$F$14:$F$56,RAB!$C$14:$C$56,C955)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SUMIFS(RAB!$F$14:$F$56,RAB!$C$14:$C$56,C956)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SUMIFS(RAB!$F$14:$F$56,RAB!$C$14:$C$56,C957)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SUMIFS(RAB!$F$14:$F$56,RAB!$C$14:$C$56,C958)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SUMIFS(RAB!$F$14:$F$56,RAB!$C$14:$C$56,C959)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SUMIFS(RAB!$F$14:$F$56,RAB!$C$14:$C$56,C960)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SUMIFS(RAB!$F$14:$F$56,RAB!$C$14:$C$56,C961)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SUMIFS(RAB!$F$14:$F$56,RAB!$C$14:$C$56,C962)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SUMIFS(RAB!$F$14:$F$56,RAB!$C$14:$C$56,C963)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SUMIFS(RAB!$F$14:$F$56,RAB!$C$14:$C$56,C964)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SUMIFS(RAB!$F$14:$F$56,RAB!$C$14:$C$56,C965)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SUMIFS(RAB!$F$14:$F$56,RAB!$C$14:$C$56,C966)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SUMIFS(RAB!$F$14:$F$56,RAB!$C$14:$C$56,C967)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SUMIFS(RAB!$F$14:$F$56,RAB!$C$14:$C$56,C968)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SUMIFS(RAB!$F$14:$F$56,RAB!$C$14:$C$56,C969)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SUMIFS(RAB!$F$14:$F$56,RAB!$C$14:$C$56,C970)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SUMIFS(RAB!$F$14:$F$56,RAB!$C$14:$C$56,C971)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SUMIFS(RAB!$F$14:$F$56,RAB!$C$14:$C$56,C972)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SUMIFS(RAB!$F$14:$F$56,RAB!$C$14:$C$56,C973)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SUMIFS(RAB!$F$14:$F$56,RAB!$C$14:$C$56,C974)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SUMIFS(RAB!$F$14:$F$56,RAB!$C$14:$C$56,C975)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SUMIFS(RAB!$F$14:$F$56,RAB!$C$14:$C$56,C976)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SUMIFS(RAB!$F$14:$F$56,RAB!$C$14:$C$56,C977)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SUMIFS(RAB!$F$14:$F$56,RAB!$C$14:$C$56,C978)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SUMIFS(RAB!$F$14:$F$56,RAB!$C$14:$C$56,C979)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SUMIFS(RAB!$F$14:$F$56,RAB!$C$14:$C$56,C980)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SUMIFS(RAB!$F$14:$F$56,RAB!$C$14:$C$56,C981)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SUMIFS(RAB!$F$14:$F$56,RAB!$C$14:$C$56,C982)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SUMIFS(RAB!$F$14:$F$56,RAB!$C$14:$C$56,C983)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SUMIFS(RAB!$F$14:$F$56,RAB!$C$14:$C$56,C984)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SUMIFS(RAB!$F$14:$F$56,RAB!$C$14:$C$56,C985)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SUMIFS(RAB!$F$14:$F$56,RAB!$C$14:$C$56,C986)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SUMIFS(RAB!$F$14:$F$56,RAB!$C$14:$C$56,C987)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SUMIFS(RAB!$F$14:$F$56,RAB!$C$14:$C$56,C988)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SUMIFS(RAB!$F$14:$F$56,RAB!$C$14:$C$56,C989)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SUMIFS(RAB!$F$14:$F$56,RAB!$C$14:$C$56,C990)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SUMIFS(RAB!$F$14:$F$56,RAB!$C$14:$C$56,C991)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SUMIFS(RAB!$F$14:$F$56,RAB!$C$14:$C$56,C992)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SUMIFS(RAB!$F$14:$F$56,RAB!$C$14:$C$56,C993)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SUMIFS(RAB!$F$14:$F$56,RAB!$C$14:$C$56,C994)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SUMIFS(RAB!$F$14:$F$56,RAB!$C$14:$C$56,C995)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SUMIFS(RAB!$F$14:$F$56,RAB!$C$14:$C$56,C996)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SUMIFS(RAB!$F$14:$F$56,RAB!$C$14:$C$56,C997)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SUMIFS(RAB!$F$14:$F$56,RAB!$C$14:$C$56,C998)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SUMIFS(RAB!$F$14:$F$56,RAB!$C$14:$C$56,C999)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SUMIFS(RAB!$F$14:$F$56,RAB!$C$14:$C$56,C1000)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SUMIFS(RAB!$F$14:$F$56,RAB!$C$14:$C$56,C1001)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SUMIFS(RAB!$F$14:$F$56,RAB!$C$14:$C$56,C1002)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SUMIFS(RAB!$F$14:$F$56,RAB!$C$14:$C$56,C1003)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SUMIFS(RAB!$F$14:$F$56,RAB!$C$14:$C$56,C1004)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SUMIFS(RAB!$F$14:$F$56,RAB!$C$14:$C$56,C1005)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SUMIFS(RAB!$F$14:$F$56,RAB!$C$14:$C$56,C1006)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SUMIFS(RAB!$F$14:$F$56,RAB!$C$14:$C$56,C1007)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SUMIFS(RAB!$F$14:$F$56,RAB!$C$14:$C$56,C1008)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SUMIFS(RAB!$F$14:$F$56,RAB!$C$14:$C$56,C1009)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SUMIFS(RAB!$F$14:$F$56,RAB!$C$14:$C$56,C1010)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SUMIFS(RAB!$F$14:$F$56,RAB!$C$14:$C$56,C1011)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SUMIFS(RAB!$F$14:$F$56,RAB!$C$14:$C$56,C1012)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SUMIFS(RAB!$F$14:$F$56,RAB!$C$14:$C$56,C1013)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SUMIFS(RAB!$F$14:$F$56,RAB!$C$14:$C$56,C1014)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SUMIFS(RAB!$F$14:$F$56,RAB!$C$14:$C$56,C1015)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SUMIFS(RAB!$F$14:$F$56,RAB!$C$14:$C$56,C1016)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SUMIFS(RAB!$F$14:$F$56,RAB!$C$14:$C$56,C1017)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SUMIFS(RAB!$F$14:$F$56,RAB!$C$14:$C$56,C1018)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SUMIFS(RAB!$F$14:$F$56,RAB!$C$14:$C$56,C1019)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SUMIFS(RAB!$F$14:$F$56,RAB!$C$14:$C$56,C1020)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SUMIFS(RAB!$F$14:$F$56,RAB!$C$14:$C$56,C1021)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SUMIFS(RAB!$F$14:$F$56,RAB!$C$14:$C$56,C1022)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SUMIFS(RAB!$F$14:$F$56,RAB!$C$14:$C$56,C1023)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SUMIFS(RAB!$F$14:$F$56,RAB!$C$14:$C$56,C1024)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SUMIFS(RAB!$F$14:$F$56,RAB!$C$14:$C$56,C1025)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SUMIFS(RAB!$F$14:$F$56,RAB!$C$14:$C$56,C1026)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SUMIFS(RAB!$F$14:$F$56,RAB!$C$14:$C$56,C1027)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SUMIFS(RAB!$F$14:$F$56,RAB!$C$14:$C$56,C1028)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SUMIFS(RAB!$F$14:$F$56,RAB!$C$14:$C$56,C1029)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SUMIFS(RAB!$F$14:$F$56,RAB!$C$14:$C$56,C1030)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SUMIFS(RAB!$F$14:$F$56,RAB!$C$14:$C$56,C1031)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SUMIFS(RAB!$F$14:$F$56,RAB!$C$14:$C$56,C1032)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SUMIFS(RAB!$F$14:$F$56,RAB!$C$14:$C$56,C1033)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SUMIFS(RAB!$F$14:$F$56,RAB!$C$14:$C$56,C1034)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SUMIFS(RAB!$F$14:$F$56,RAB!$C$14:$C$56,C1035)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SUMIFS(RAB!$F$14:$F$56,RAB!$C$14:$C$56,C1036)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SUMIFS(RAB!$F$14:$F$56,RAB!$C$14:$C$56,C1037)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SUMIFS(RAB!$F$14:$F$56,RAB!$C$14:$C$56,C1038)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SUMIFS(RAB!$F$14:$F$56,RAB!$C$14:$C$56,C1039)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SUMIFS(RAB!$F$14:$F$56,RAB!$C$14:$C$56,C1040)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SUMIFS(RAB!$F$14:$F$56,RAB!$C$14:$C$56,C1041)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SUMIFS(RAB!$F$14:$F$56,RAB!$C$14:$C$56,C1042)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SUMIFS(RAB!$F$14:$F$56,RAB!$C$14:$C$56,C1043)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SUMIFS(RAB!$F$14:$F$56,RAB!$C$14:$C$56,C1044)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SUMIFS(RAB!$F$14:$F$56,RAB!$C$14:$C$56,C1045)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SUMIFS(RAB!$F$14:$F$56,RAB!$C$14:$C$56,C1046)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SUMIFS(RAB!$F$14:$F$56,RAB!$C$14:$C$56,C1047)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SUMIFS(RAB!$F$14:$F$56,RAB!$C$14:$C$56,C1048)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SUMIFS(RAB!$F$14:$F$56,RAB!$C$14:$C$56,C1049)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SUMIFS(RAB!$F$14:$F$56,RAB!$C$14:$C$56,C1050)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SUMIFS(RAB!$F$14:$F$56,RAB!$C$14:$C$56,C1051)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SUMIFS(RAB!$F$14:$F$56,RAB!$C$14:$C$56,C1052)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SUMIFS(RAB!$F$14:$F$56,RAB!$C$14:$C$56,C1053)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SUMIFS(RAB!$F$14:$F$56,RAB!$C$14:$C$56,C1054)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SUMIFS(RAB!$F$14:$F$56,RAB!$C$14:$C$56,C1055)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SUMIFS(RAB!$F$14:$F$56,RAB!$C$14:$C$56,C1056)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SUMIFS(RAB!$F$14:$F$56,RAB!$C$14:$C$56,C1057)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SUMIFS(RAB!$F$14:$F$56,RAB!$C$14:$C$56,C1058)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SUMIFS(RAB!$F$14:$F$56,RAB!$C$14:$C$56,C1059)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SUMIFS(RAB!$F$14:$F$56,RAB!$C$14:$C$56,C1060)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SUMIFS(RAB!$F$14:$F$56,RAB!$C$14:$C$56,C1061)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SUMIFS(RAB!$F$14:$F$56,RAB!$C$14:$C$56,C1062)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SUMIFS(RAB!$F$14:$F$56,RAB!$C$14:$C$56,C1063)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SUMIFS(RAB!$F$14:$F$56,RAB!$C$14:$C$56,C1064)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SUMIFS(RAB!$F$14:$F$56,RAB!$C$14:$C$56,C1065)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SUMIFS(RAB!$F$14:$F$56,RAB!$C$14:$C$56,C1066)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SUMIFS(RAB!$F$14:$F$56,RAB!$C$14:$C$56,C1067)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SUMIFS(RAB!$F$14:$F$56,RAB!$C$14:$C$56,C1068)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SUMIFS(RAB!$F$14:$F$56,RAB!$C$14:$C$56,C1069)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SUMIFS(RAB!$F$14:$F$56,RAB!$C$14:$C$56,C1070)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SUMIFS(RAB!$F$14:$F$56,RAB!$C$14:$C$56,C1071)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SUMIFS(RAB!$F$14:$F$56,RAB!$C$14:$C$56,C1072)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SUMIFS(RAB!$F$14:$F$56,RAB!$C$14:$C$56,C1073)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SUMIFS(RAB!$F$14:$F$56,RAB!$C$14:$C$56,C1074)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SUMIFS(RAB!$F$14:$F$56,RAB!$C$14:$C$56,C1075)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SUMIFS(RAB!$F$14:$F$56,RAB!$C$14:$C$56,C1076)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SUMIFS(RAB!$F$14:$F$56,RAB!$C$14:$C$56,C1077)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SUMIFS(RAB!$F$14:$F$56,RAB!$C$14:$C$56,C1078)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SUMIFS(RAB!$F$14:$F$56,RAB!$C$14:$C$56,C1079)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SUMIFS(RAB!$F$14:$F$56,RAB!$C$14:$C$56,C1080)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SUMIFS(RAB!$F$14:$F$56,RAB!$C$14:$C$56,C1081)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SUMIFS(RAB!$F$14:$F$56,RAB!$C$14:$C$56,C1082)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SUMIFS(RAB!$F$14:$F$56,RAB!$C$14:$C$56,C1083)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SUMIFS(RAB!$F$14:$F$56,RAB!$C$14:$C$56,C1084)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SUMIFS(RAB!$F$14:$F$56,RAB!$C$14:$C$56,C1085)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SUMIFS(RAB!$F$14:$F$56,RAB!$C$14:$C$56,C1086)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SUMIFS(RAB!$F$14:$F$56,RAB!$C$14:$C$56,C1087)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SUMIFS(RAB!$F$14:$F$56,RAB!$C$14:$C$56,C1088)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SUMIFS(RAB!$F$14:$F$56,RAB!$C$14:$C$56,C1089)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SUMIFS(RAB!$F$14:$F$56,RAB!$C$14:$C$56,C1090)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SUMIFS(RAB!$F$14:$F$56,RAB!$C$14:$C$56,C1091)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SUMIFS(RAB!$F$14:$F$56,RAB!$C$14:$C$56,C1092)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SUMIFS(RAB!$F$14:$F$56,RAB!$C$14:$C$56,C1093)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SUMIFS(RAB!$F$14:$F$56,RAB!$C$14:$C$56,C1094)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SUMIFS(RAB!$F$14:$F$56,RAB!$C$14:$C$56,C1095)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SUMIFS(RAB!$F$14:$F$56,RAB!$C$14:$C$56,C1096)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SUMIFS(RAB!$F$14:$F$56,RAB!$C$14:$C$56,C1097)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SUMIFS(RAB!$F$14:$F$56,RAB!$C$14:$C$56,C1098)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SUMIFS(RAB!$F$14:$F$56,RAB!$C$14:$C$56,C1099)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SUMIFS(RAB!$F$14:$F$56,RAB!$C$14:$C$56,C1100)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SUMIFS(RAB!$F$14:$F$56,RAB!$C$14:$C$56,C1101)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SUMIFS(RAB!$F$14:$F$56,RAB!$C$14:$C$56,C1102)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SUMIFS(RAB!$F$14:$F$56,RAB!$C$14:$C$56,C1103)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SUMIFS(RAB!$F$14:$F$56,RAB!$C$14:$C$56,C1104)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SUMIFS(RAB!$F$14:$F$56,RAB!$C$14:$C$56,C1105)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SUMIFS(RAB!$F$14:$F$56,RAB!$C$14:$C$56,C1106)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SUMIFS(RAB!$F$14:$F$56,RAB!$C$14:$C$56,C1107)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SUMIFS(RAB!$F$14:$F$56,RAB!$C$14:$C$56,C1108)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SUMIFS(RAB!$F$14:$F$56,RAB!$C$14:$C$56,C1109)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SUMIFS(RAB!$F$14:$F$56,RAB!$C$14:$C$56,C1110)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SUMIFS(RAB!$F$14:$F$56,RAB!$C$14:$C$56,C1111)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SUMIFS(RAB!$F$14:$F$56,RAB!$C$14:$C$56,C1112)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SUMIFS(RAB!$F$14:$F$56,RAB!$C$14:$C$56,C1113)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SUMIFS(RAB!$F$14:$F$56,RAB!$C$14:$C$56,C1114)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SUMIFS(RAB!$F$14:$F$56,RAB!$C$14:$C$56,C1115)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SUMIFS(RAB!$F$14:$F$56,RAB!$C$14:$C$56,C1116)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SUMIFS(RAB!$F$14:$F$56,RAB!$C$14:$C$56,C1117)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SUMIFS(RAB!$F$14:$F$56,RAB!$C$14:$C$56,C1118)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SUMIFS(RAB!$F$14:$F$56,RAB!$C$14:$C$56,C1119)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SUMIFS(RAB!$F$14:$F$56,RAB!$C$14:$C$56,C1120)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SUMIFS(RAB!$F$14:$F$56,RAB!$C$14:$C$56,C1121)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SUMIFS(RAB!$F$14:$F$56,RAB!$C$14:$C$56,C1122)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SUMIFS(RAB!$F$14:$F$56,RAB!$C$14:$C$56,C1123)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SUMIFS(RAB!$F$14:$F$56,RAB!$C$14:$C$56,C1124)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SUMIFS(RAB!$F$14:$F$56,RAB!$C$14:$C$56,C1125)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SUMIFS(RAB!$F$14:$F$56,RAB!$C$14:$C$56,C1126)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SUMIFS(RAB!$F$14:$F$56,RAB!$C$14:$C$56,C1127)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SUMIFS(RAB!$F$14:$F$56,RAB!$C$14:$C$56,C1128)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SUMIFS(RAB!$F$14:$F$56,RAB!$C$14:$C$56,C1129)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SUMIFS(RAB!$F$14:$F$56,RAB!$C$14:$C$56,C1130)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SUMIFS(RAB!$F$14:$F$56,RAB!$C$14:$C$56,C1131)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SUMIFS(RAB!$F$14:$F$56,RAB!$C$14:$C$56,C1132)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SUMIFS(RAB!$F$14:$F$56,RAB!$C$14:$C$56,C1133)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SUMIFS(RAB!$F$14:$F$56,RAB!$C$14:$C$56,C1134)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SUMIFS(RAB!$F$14:$F$56,RAB!$C$14:$C$56,C1135)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SUMIFS(RAB!$F$14:$F$56,RAB!$C$14:$C$56,C1136)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SUMIFS(RAB!$F$14:$F$56,RAB!$C$14:$C$56,C1137)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SUMIFS(RAB!$F$14:$F$56,RAB!$C$14:$C$56,C1138)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SUMIFS(RAB!$F$14:$F$56,RAB!$C$14:$C$56,C1139)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SUMIFS(RAB!$F$14:$F$56,RAB!$C$14:$C$56,C1140)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SUMIFS(RAB!$F$14:$F$56,RAB!$C$14:$C$56,C1141)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SUMIFS(RAB!$F$14:$F$56,RAB!$C$14:$C$56,C1142)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SUMIFS(RAB!$F$14:$F$56,RAB!$C$14:$C$56,C1143)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SUMIFS(RAB!$F$14:$F$56,RAB!$C$14:$C$56,C1144)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SUMIFS(RAB!$F$14:$F$56,RAB!$C$14:$C$56,C1145)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SUMIFS(RAB!$F$14:$F$56,RAB!$C$14:$C$56,C1146)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SUMIFS(RAB!$F$14:$F$56,RAB!$C$14:$C$56,C1147)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SUMIFS(RAB!$F$14:$F$56,RAB!$C$14:$C$56,C1148)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SUMIFS(RAB!$F$14:$F$56,RAB!$C$14:$C$56,C1149)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SUMIFS(RAB!$F$14:$F$56,RAB!$C$14:$C$56,C1150)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SUMIFS(RAB!$F$14:$F$56,RAB!$C$14:$C$56,C1151)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SUMIFS(RAB!$F$14:$F$56,RAB!$C$14:$C$56,C1152)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SUMIFS(RAB!$F$14:$F$56,RAB!$C$14:$C$56,C1153)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SUMIFS(RAB!$F$14:$F$56,RAB!$C$14:$C$56,C1154)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SUMIFS(RAB!$F$14:$F$56,RAB!$C$14:$C$56,C1155)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SUMIFS(RAB!$F$14:$F$56,RAB!$C$14:$C$56,C1156)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SUMIFS(RAB!$F$14:$F$56,RAB!$C$14:$C$56,C1157)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SUMIFS(RAB!$F$14:$F$56,RAB!$C$14:$C$56,C1158)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SUMIFS(RAB!$F$14:$F$56,RAB!$C$14:$C$56,C1159)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SUMIFS(RAB!$F$14:$F$56,RAB!$C$14:$C$56,C1160)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SUMIFS(RAB!$F$14:$F$56,RAB!$C$14:$C$56,C1161)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SUMIFS(RAB!$F$14:$F$56,RAB!$C$14:$C$56,C1162)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SUMIFS(RAB!$F$14:$F$56,RAB!$C$14:$C$56,C1163)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SUMIFS(RAB!$F$14:$F$56,RAB!$C$14:$C$56,C1164)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SUMIFS(RAB!$F$14:$F$56,RAB!$C$14:$C$56,C1165)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SUMIFS(RAB!$F$14:$F$56,RAB!$C$14:$C$56,C1166)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SUMIFS(RAB!$F$14:$F$56,RAB!$C$14:$C$56,C1167)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SUMIFS(RAB!$F$14:$F$56,RAB!$C$14:$C$56,C1168)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SUMIFS(RAB!$F$14:$F$56,RAB!$C$14:$C$56,C1169)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SUMIFS(RAB!$F$14:$F$56,RAB!$C$14:$C$56,C1170)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SUMIFS(RAB!$F$14:$F$56,RAB!$C$14:$C$56,C1171)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SUMIFS(RAB!$F$14:$F$56,RAB!$C$14:$C$56,C1172)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SUMIFS(RAB!$F$14:$F$56,RAB!$C$14:$C$56,C1173)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SUMIFS(RAB!$F$14:$F$56,RAB!$C$14:$C$56,C1174)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SUMIFS(RAB!$F$14:$F$56,RAB!$C$14:$C$56,C1175)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SUMIFS(RAB!$F$14:$F$56,RAB!$C$14:$C$56,C1176)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SUMIFS(RAB!$F$14:$F$56,RAB!$C$14:$C$56,C1177)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SUMIFS(RAB!$F$14:$F$56,RAB!$C$14:$C$56,C1178)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SUMIFS(RAB!$F$14:$F$56,RAB!$C$14:$C$56,C1179)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SUMIFS(RAB!$F$14:$F$56,RAB!$C$14:$C$56,C1180)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SUMIFS(RAB!$F$14:$F$56,RAB!$C$14:$C$56,C1181)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SUMIFS(RAB!$F$14:$F$56,RAB!$C$14:$C$56,C1182)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SUMIFS(RAB!$F$14:$F$56,RAB!$C$14:$C$56,C1183)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SUMIFS(RAB!$F$14:$F$56,RAB!$C$14:$C$56,C1184)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SUMIFS(RAB!$F$14:$F$56,RAB!$C$14:$C$56,C1185)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SUMIFS(RAB!$F$14:$F$56,RAB!$C$14:$C$56,C1186)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SUMIFS(RAB!$F$14:$F$56,RAB!$C$14:$C$56,C1187)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SUMIFS(RAB!$F$14:$F$56,RAB!$C$14:$C$56,C1188)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SUMIFS(RAB!$F$14:$F$56,RAB!$C$14:$C$56,C1189)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SUMIFS(RAB!$F$14:$F$56,RAB!$C$14:$C$56,C1190)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SUMIFS(RAB!$F$14:$F$56,RAB!$C$14:$C$56,C1191)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SUMIFS(RAB!$F$14:$F$56,RAB!$C$14:$C$56,C1192)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SUMIFS(RAB!$F$14:$F$56,RAB!$C$14:$C$56,C1193)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SUMIFS(RAB!$F$14:$F$56,RAB!$C$14:$C$56,C1194)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SUMIFS(RAB!$F$14:$F$56,RAB!$C$14:$C$56,C1195)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SUMIFS(RAB!$F$14:$F$56,RAB!$C$14:$C$56,C1196)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SUMIFS(RAB!$F$14:$F$56,RAB!$C$14:$C$56,C1197)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SUMIFS(RAB!$F$14:$F$56,RAB!$C$14:$C$56,C1198)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SUMIFS(RAB!$F$14:$F$56,RAB!$C$14:$C$56,C1199)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SUMIFS(RAB!$F$14:$F$56,RAB!$C$14:$C$56,C1200)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SUMIFS(RAB!$F$14:$F$56,RAB!$C$14:$C$56,C1201)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SUMIFS(RAB!$F$14:$F$56,RAB!$C$14:$C$56,C1202)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SUMIFS(RAB!$F$14:$F$56,RAB!$C$14:$C$56,C1203)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SUMIFS(RAB!$F$14:$F$56,RAB!$C$14:$C$56,C1204)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SUMIFS(RAB!$F$14:$F$56,RAB!$C$14:$C$56,C1205)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SUMIFS(RAB!$F$14:$F$56,RAB!$C$14:$C$56,C1206)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SUMIFS(RAB!$F$14:$F$56,RAB!$C$14:$C$56,C1207)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SUMIFS(RAB!$F$14:$F$56,RAB!$C$14:$C$56,C1208)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SUMIFS(RAB!$F$14:$F$56,RAB!$C$14:$C$56,C1209)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SUMIFS(RAB!$F$14:$F$56,RAB!$C$14:$C$56,C1210)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SUMIFS(RAB!$F$14:$F$56,RAB!$C$14:$C$56,C1211)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SUMIFS(RAB!$F$14:$F$56,RAB!$C$14:$C$56,C1212)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SUMIFS(RAB!$F$14:$F$56,RAB!$C$14:$C$56,C1213)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SUMIFS(RAB!$F$14:$F$56,RAB!$C$14:$C$56,C1214)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SUMIFS(RAB!$F$14:$F$56,RAB!$C$14:$C$56,C1215)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SUMIFS(RAB!$F$14:$F$56,RAB!$C$14:$C$56,C1216)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SUMIFS(RAB!$F$14:$F$56,RAB!$C$14:$C$56,C1217)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SUMIFS(RAB!$F$14:$F$56,RAB!$C$14:$C$56,C1218)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SUMIFS(RAB!$F$14:$F$56,RAB!$C$14:$C$56,C1219)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SUMIFS(RAB!$F$14:$F$56,RAB!$C$14:$C$56,C1220)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SUMIFS(RAB!$F$14:$F$56,RAB!$C$14:$C$56,C1221)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SUMIFS(RAB!$F$14:$F$56,RAB!$C$14:$C$56,C1222)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SUMIFS(RAB!$F$14:$F$56,RAB!$C$14:$C$56,C1223)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SUMIFS(RAB!$F$14:$F$56,RAB!$C$14:$C$56,C1224)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SUMIFS(RAB!$F$14:$F$56,RAB!$C$14:$C$56,C1225)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SUMIFS(RAB!$F$14:$F$56,RAB!$C$14:$C$56,C1226)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SUMIFS(RAB!$F$14:$F$56,RAB!$C$14:$C$56,C1227)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SUMIFS(RAB!$F$14:$F$56,RAB!$C$14:$C$56,C1228)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SUMIFS(RAB!$F$14:$F$56,RAB!$C$14:$C$56,C1229)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SUMIFS(RAB!$F$14:$F$56,RAB!$C$14:$C$56,C1230)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SUMIFS(RAB!$F$14:$F$56,RAB!$C$14:$C$56,C1231)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SUMIFS(RAB!$F$14:$F$56,RAB!$C$14:$C$56,C1232)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SUMIFS(RAB!$F$14:$F$56,RAB!$C$14:$C$56,C1233)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SUMIFS(RAB!$F$14:$F$56,RAB!$C$14:$C$56,C1234)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SUMIFS(RAB!$F$14:$F$56,RAB!$C$14:$C$56,C1235)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SUMIFS(RAB!$F$14:$F$56,RAB!$C$14:$C$56,C1236)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SUMIFS(RAB!$F$14:$F$56,RAB!$C$14:$C$56,C1237)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SUMIFS(RAB!$F$14:$F$56,RAB!$C$14:$C$56,C1238)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SUMIFS(RAB!$F$14:$F$56,RAB!$C$14:$C$56,C1239)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SUMIFS(RAB!$F$14:$F$56,RAB!$C$14:$C$56,C1240)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SUMIFS(RAB!$F$14:$F$56,RAB!$C$14:$C$56,C1241)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SUMIFS(RAB!$F$14:$F$56,RAB!$C$14:$C$56,C1242)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SUMIFS(RAB!$F$14:$F$56,RAB!$C$14:$C$56,C1243)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SUMIFS(RAB!$F$14:$F$56,RAB!$C$14:$C$56,C1244)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SUMIFS(RAB!$F$14:$F$56,RAB!$C$14:$C$56,C1245)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SUMIFS(RAB!$F$14:$F$56,RAB!$C$14:$C$56,C1246)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SUMIFS(RAB!$F$14:$F$56,RAB!$C$14:$C$56,C1247)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SUMIFS(RAB!$F$14:$F$56,RAB!$C$14:$C$56,C1248)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SUMIFS(RAB!$F$14:$F$56,RAB!$C$14:$C$56,C1249)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SUMIFS(RAB!$F$14:$F$56,RAB!$C$14:$C$56,C1250)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SUMIFS(RAB!$F$14:$F$56,RAB!$C$14:$C$56,C1251)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SUMIFS(RAB!$F$14:$F$56,RAB!$C$14:$C$56,C1252)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SUMIFS(RAB!$F$14:$F$56,RAB!$C$14:$C$56,C1253)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SUMIFS(RAB!$F$14:$F$56,RAB!$C$14:$C$56,C1254)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SUMIFS(RAB!$F$14:$F$56,RAB!$C$14:$C$56,C1255)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SUMIFS(RAB!$F$14:$F$56,RAB!$C$14:$C$56,C1256)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SUMIFS(RAB!$F$14:$F$56,RAB!$C$14:$C$56,C1257)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SUMIFS(RAB!$F$14:$F$56,RAB!$C$14:$C$56,C1258)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SUMIFS(RAB!$F$14:$F$56,RAB!$C$14:$C$56,C1259)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SUMIFS(RAB!$F$14:$F$56,RAB!$C$14:$C$56,C1260)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SUMIFS(RAB!$F$14:$F$56,RAB!$C$14:$C$56,C1261)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SUMIFS(RAB!$F$14:$F$56,RAB!$C$14:$C$56,C1262)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SUMIFS(RAB!$F$14:$F$56,RAB!$C$14:$C$56,C1263)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SUMIFS(RAB!$F$14:$F$56,RAB!$C$14:$C$56,C1264)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SUMIFS(RAB!$F$14:$F$56,RAB!$C$14:$C$56,C1265)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SUMIFS(RAB!$F$14:$F$56,RAB!$C$14:$C$56,C1266)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SUMIFS(RAB!$F$14:$F$56,RAB!$C$14:$C$56,C1267)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SUMIFS(RAB!$F$14:$F$56,RAB!$C$14:$C$56,C1268)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SUMIFS(RAB!$F$14:$F$56,RAB!$C$14:$C$56,C1269)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SUMIFS(RAB!$F$14:$F$56,RAB!$C$14:$C$56,C1270)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SUMIFS(RAB!$F$14:$F$56,RAB!$C$14:$C$56,C1271)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SUMIFS(RAB!$F$14:$F$56,RAB!$C$14:$C$56,C1272)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SUMIFS(RAB!$F$14:$F$56,RAB!$C$14:$C$56,C1273)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SUMIFS(RAB!$F$14:$F$56,RAB!$C$14:$C$56,C1274)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SUMIFS(RAB!$F$14:$F$56,RAB!$C$14:$C$56,C1275)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SUMIFS(RAB!$F$14:$F$56,RAB!$C$14:$C$56,C1276)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SUMIFS(RAB!$F$14:$F$56,RAB!$C$14:$C$56,C1277)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SUMIFS(RAB!$F$14:$F$56,RAB!$C$14:$C$56,C1278)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SUMIFS(RAB!$F$14:$F$56,RAB!$C$14:$C$56,C1279)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SUMIFS(RAB!$F$14:$F$56,RAB!$C$14:$C$56,C1280)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SUMIFS(RAB!$F$14:$F$56,RAB!$C$14:$C$56,C1281)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SUMIFS(RAB!$F$14:$F$56,RAB!$C$14:$C$56,C1282)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SUMIFS(RAB!$F$14:$F$56,RAB!$C$14:$C$56,C1283)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SUMIFS(RAB!$F$14:$F$56,RAB!$C$14:$C$56,C1284)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SUMIFS(RAB!$F$14:$F$56,RAB!$C$14:$C$56,C1285)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SUMIFS(RAB!$F$14:$F$56,RAB!$C$14:$C$56,C1286)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SUMIFS(RAB!$F$14:$F$56,RAB!$C$14:$C$56,C1287)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SUMIFS(RAB!$F$14:$F$56,RAB!$C$14:$C$56,C1288)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SUMIFS(RAB!$F$14:$F$56,RAB!$C$14:$C$56,C1289)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SUMIFS(RAB!$F$14:$F$56,RAB!$C$14:$C$56,C1290)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SUMIFS(RAB!$F$14:$F$56,RAB!$C$14:$C$56,C1291)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SUMIFS(RAB!$F$14:$F$56,RAB!$C$14:$C$56,C1292)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SUMIFS(RAB!$F$14:$F$56,RAB!$C$14:$C$56,C1293)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SUMIFS(RAB!$F$14:$F$56,RAB!$C$14:$C$56,C1294)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SUMIFS(RAB!$F$14:$F$56,RAB!$C$14:$C$56,C1295)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SUMIFS(RAB!$F$14:$F$56,RAB!$C$14:$C$56,C1296)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SUMIFS(RAB!$F$14:$F$56,RAB!$C$14:$C$56,C1297)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SUMIFS(RAB!$F$14:$F$56,RAB!$C$14:$C$56,C1298)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SUMIFS(RAB!$F$14:$F$56,RAB!$C$14:$C$56,C1299)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SUMIFS(RAB!$F$14:$F$56,RAB!$C$14:$C$56,C1300)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SUMIFS(RAB!$F$14:$F$56,RAB!$C$14:$C$56,C1301)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SUMIFS(RAB!$F$14:$F$56,RAB!$C$14:$C$56,C1302)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SUMIFS(RAB!$F$14:$F$56,RAB!$C$14:$C$56,C1303)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SUMIFS(RAB!$F$14:$F$56,RAB!$C$14:$C$56,C1304)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SUMIFS(RAB!$F$14:$F$56,RAB!$C$14:$C$56,C1305)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SUMIFS(RAB!$F$14:$F$56,RAB!$C$14:$C$56,C1306)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SUMIFS(RAB!$F$14:$F$56,RAB!$C$14:$C$56,C1307)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SUMIFS(RAB!$F$14:$F$56,RAB!$C$14:$C$56,C1308)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SUMIFS(RAB!$F$14:$F$56,RAB!$C$14:$C$56,C1309)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SUMIFS(RAB!$F$14:$F$56,RAB!$C$14:$C$56,C1310)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SUMIFS(RAB!$F$14:$F$56,RAB!$C$14:$C$56,C1311)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SUMIFS(RAB!$F$14:$F$56,RAB!$C$14:$C$56,C1312)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SUMIFS(RAB!$F$14:$F$56,RAB!$C$14:$C$56,C1313)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SUMIFS(RAB!$F$14:$F$56,RAB!$C$14:$C$56,C1314)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SUMIFS(RAB!$F$14:$F$56,RAB!$C$14:$C$56,C1315)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SUMIFS(RAB!$F$14:$F$56,RAB!$C$14:$C$56,C1316)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SUMIFS(RAB!$F$14:$F$56,RAB!$C$14:$C$56,C1317)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SUMIFS(RAB!$F$14:$F$56,RAB!$C$14:$C$56,C1318)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SUMIFS(RAB!$F$14:$F$56,RAB!$C$14:$C$56,C1319)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SUMIFS(RAB!$F$14:$F$56,RAB!$C$14:$C$56,C1320)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8" priority="5" operator="equal">
      <formula>0</formula>
    </cfRule>
  </conditionalFormatting>
  <conditionalFormatting sqref="A10:L65536">
    <cfRule type="cellIs" dxfId="47" priority="1" operator="equal">
      <formula>0</formula>
    </cfRule>
  </conditionalFormatting>
  <conditionalFormatting sqref="C12:C711">
    <cfRule type="cellIs" dxfId="46" priority="66" stopIfTrue="1" operator="equal">
      <formula>0</formula>
    </cfRule>
  </conditionalFormatting>
  <conditionalFormatting sqref="E712:E65536">
    <cfRule type="cellIs" dxfId="45" priority="16" stopIfTrue="1" operator="equal">
      <formula>0</formula>
    </cfRule>
  </conditionalFormatting>
  <conditionalFormatting sqref="G1:G11 E6:E11 E1:E3 H7 H10:H11 F10:F711 G712:G65536">
    <cfRule type="cellIs" dxfId="44" priority="69" stopIfTrue="1" operator="equal">
      <formula>0</formula>
    </cfRule>
  </conditionalFormatting>
  <conditionalFormatting sqref="G12:H711">
    <cfRule type="cellIs" dxfId="43" priority="12" stopIfTrue="1" operator="equal">
      <formula>0</formula>
    </cfRule>
  </conditionalFormatting>
  <conditionalFormatting sqref="I7:K7">
    <cfRule type="cellIs" dxfId="42" priority="4" stopIfTrue="1" operator="equal">
      <formula>0</formula>
    </cfRule>
  </conditionalFormatting>
  <conditionalFormatting sqref="I10:L711">
    <cfRule type="cellIs" dxfId="41" priority="2" stopIfTrue="1" operator="equal">
      <formula>0</formula>
    </cfRule>
  </conditionalFormatting>
  <conditionalFormatting sqref="L1:L6">
    <cfRule type="cellIs" dxfId="40" priority="10" operator="equal">
      <formula>0</formula>
    </cfRule>
  </conditionalFormatting>
  <conditionalFormatting sqref="M1:IV1048576 A8:G9">
    <cfRule type="cellIs" dxfId="3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2" t="s">
        <v>1127</v>
      </c>
      <c r="C4" s="512"/>
      <c r="D4" s="512"/>
      <c r="E4" s="512"/>
      <c r="F4" s="512"/>
      <c r="G4" s="512"/>
      <c r="H4" s="512"/>
      <c r="I4" s="512"/>
      <c r="J4" s="512"/>
      <c r="K4" s="51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T.NOTOSUKARJO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BINTORO,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3" t="s">
        <v>0</v>
      </c>
      <c r="C11" s="515" t="s">
        <v>1</v>
      </c>
      <c r="D11" s="518" t="s">
        <v>42</v>
      </c>
      <c r="E11" s="518" t="s">
        <v>43</v>
      </c>
      <c r="F11" s="518" t="s">
        <v>2</v>
      </c>
      <c r="G11" s="520" t="s">
        <v>41</v>
      </c>
      <c r="H11" s="518" t="s">
        <v>3</v>
      </c>
      <c r="I11" s="518"/>
      <c r="J11" s="518"/>
      <c r="K11" s="523"/>
      <c r="M11" s="33"/>
      <c r="N11" s="33"/>
      <c r="O11" s="33"/>
      <c r="P11" s="33"/>
      <c r="R11" s="34"/>
      <c r="S11" s="74"/>
      <c r="T11" s="74"/>
    </row>
    <row r="12" spans="1:21" ht="15" customHeight="1">
      <c r="B12" s="514"/>
      <c r="C12" s="516"/>
      <c r="D12" s="519"/>
      <c r="E12" s="519"/>
      <c r="F12" s="519"/>
      <c r="G12" s="521"/>
      <c r="H12" s="527" t="s">
        <v>46</v>
      </c>
      <c r="I12" s="527" t="s">
        <v>5</v>
      </c>
      <c r="J12" s="519" t="s">
        <v>47</v>
      </c>
      <c r="K12" s="52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4"/>
      <c r="C13" s="517"/>
      <c r="D13" s="519"/>
      <c r="E13" s="519"/>
      <c r="F13" s="519"/>
      <c r="G13" s="522"/>
      <c r="H13" s="528"/>
      <c r="I13" s="528"/>
      <c r="J13" s="519"/>
      <c r="K13" s="52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7" t="s">
        <v>1008</v>
      </c>
      <c r="D38" s="537"/>
      <c r="E38" s="537"/>
      <c r="F38" s="537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8" t="s">
        <v>462</v>
      </c>
      <c r="D39" s="538"/>
      <c r="E39" s="538"/>
      <c r="F39" s="538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0" t="e">
        <f ca="1">"Terbilang : ( "&amp;L42&amp;" Rupiah )"</f>
        <v>#NAME?</v>
      </c>
      <c r="C41" s="531"/>
      <c r="D41" s="531"/>
      <c r="E41" s="531"/>
      <c r="F41" s="531"/>
      <c r="G41" s="531"/>
      <c r="H41" s="531"/>
      <c r="I41" s="531"/>
      <c r="J41" s="531"/>
      <c r="K41" s="532"/>
      <c r="L41" s="44"/>
      <c r="R41" s="58"/>
      <c r="S41" s="58"/>
      <c r="T41" s="58"/>
    </row>
    <row r="42" spans="1:20" s="36" customFormat="1">
      <c r="A42" s="30"/>
      <c r="B42" s="533"/>
      <c r="C42" s="534"/>
      <c r="D42" s="534"/>
      <c r="E42" s="534"/>
      <c r="F42" s="534"/>
      <c r="G42" s="534"/>
      <c r="H42" s="534"/>
      <c r="I42" s="534"/>
      <c r="J42" s="534"/>
      <c r="K42" s="53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4"/>
      <c r="I45" s="524"/>
      <c r="J45" s="525"/>
      <c r="K45" s="52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4"/>
      <c r="I46" s="524"/>
      <c r="J46" s="525"/>
      <c r="K46" s="52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4"/>
      <c r="I47" s="524"/>
      <c r="J47" s="525"/>
      <c r="K47" s="52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4"/>
      <c r="I52" s="524"/>
      <c r="J52" s="525"/>
      <c r="K52" s="52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SUMIFS(RAB!$F$14:$F$56,RAB!$C$14:$C$56,'REKAP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SUMIFS(RAB!$F$14:$F$56,RAB!$C$14:$C$56,'REKAP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SUMIFS(RAB!$F$14:$F$56,RAB!$C$14:$C$56,'REKAP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SUMIFS(RAB!$F$14:$F$56,RAB!$C$14:$C$56,'REKAP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SUMIFS(RAB!$F$14:$F$56,RAB!$C$14:$C$56,'REKAP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SUMIFS(RAB!$F$14:$F$56,RAB!$C$14:$C$56,'REKAP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SUMIFS(RAB!$F$14:$F$56,RAB!$C$14:$C$56,'REKAP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SUMIFS(RAB!$F$14:$F$56,RAB!$C$14:$C$56,'REKAP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SUMIFS(RAB!$F$14:$F$56,RAB!$C$14:$C$56,'REKAP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SUMIFS(RAB!$F$14:$F$56,RAB!$C$14:$C$56,'REKAP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SUMIFS(RAB!$F$14:$F$56,RAB!$C$14:$C$56,'REKAP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SUMIFS(RAB!$F$14:$F$56,RAB!$C$14:$C$56,'REKAP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SUMIFS(RAB!$F$14:$F$56,RAB!$C$14:$C$56,'REKAP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SUMIFS(RAB!$F$14:$F$56,RAB!$C$14:$C$56,'REKAP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SUMIFS(RAB!$F$14:$F$56,RAB!$C$14:$C$56,'REKAP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SUMIFS(RAB!$F$14:$F$56,RAB!$C$14:$C$56,'REKAP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SUMIFS(RAB!$F$14:$F$56,RAB!$C$14:$C$56,'REKAP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SUMIFS(RAB!$F$14:$F$56,RAB!$C$14:$C$56,'REKAP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SUMIFS(RAB!$F$14:$F$56,RAB!$C$14:$C$56,'REKAP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SUMIFS(RAB!$F$14:$F$56,RAB!$C$14:$C$56,'REKAP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2" t="s">
        <v>1034</v>
      </c>
      <c r="C4" s="512"/>
      <c r="D4" s="512"/>
      <c r="E4" s="512"/>
      <c r="F4" s="512"/>
      <c r="G4" s="512"/>
      <c r="H4" s="512"/>
      <c r="I4" s="512"/>
      <c r="J4" s="512"/>
      <c r="K4" s="51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T.NOTOSUKARJO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BINTORO,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3" t="s">
        <v>0</v>
      </c>
      <c r="C11" s="515" t="s">
        <v>1</v>
      </c>
      <c r="D11" s="518" t="s">
        <v>42</v>
      </c>
      <c r="E11" s="518" t="s">
        <v>43</v>
      </c>
      <c r="F11" s="518" t="s">
        <v>2</v>
      </c>
      <c r="G11" s="520" t="s">
        <v>41</v>
      </c>
      <c r="H11" s="518" t="s">
        <v>3</v>
      </c>
      <c r="I11" s="518"/>
      <c r="J11" s="518"/>
      <c r="K11" s="523"/>
      <c r="M11" s="33"/>
      <c r="N11" s="33"/>
      <c r="O11" s="33"/>
      <c r="P11" s="33"/>
      <c r="R11" s="34"/>
      <c r="S11" s="74"/>
      <c r="T11" s="74"/>
    </row>
    <row r="12" spans="1:21" ht="15" customHeight="1">
      <c r="B12" s="514"/>
      <c r="C12" s="516"/>
      <c r="D12" s="519"/>
      <c r="E12" s="519"/>
      <c r="F12" s="519"/>
      <c r="G12" s="521"/>
      <c r="H12" s="527" t="s">
        <v>46</v>
      </c>
      <c r="I12" s="527" t="s">
        <v>5</v>
      </c>
      <c r="J12" s="519" t="s">
        <v>47</v>
      </c>
      <c r="K12" s="52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4"/>
      <c r="C13" s="517"/>
      <c r="D13" s="519"/>
      <c r="E13" s="519"/>
      <c r="F13" s="519"/>
      <c r="G13" s="522"/>
      <c r="H13" s="528"/>
      <c r="I13" s="528"/>
      <c r="J13" s="519"/>
      <c r="K13" s="52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16.5 kVA MCCB 25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4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20</v>
      </c>
      <c r="G18" s="41">
        <f ca="1">IF(ISERROR(OFFSET('HARGA SATUAN'!$I$6,MATCH(C18,'HARGA SATUAN'!$C$7:$C$1492,0),0)),"",OFFSET('HARGA SATUAN'!$I$6,MATCH(C18,'HARGA SATUAN'!$C$7:$C$1492,0),0))</f>
        <v>13500</v>
      </c>
      <c r="H18" s="42">
        <f t="shared" ca="1" si="1"/>
        <v>270000</v>
      </c>
      <c r="I18" s="42">
        <f t="shared" ca="1" si="2"/>
        <v>0</v>
      </c>
      <c r="J18" s="42">
        <f t="shared" ca="1" si="3"/>
        <v>0</v>
      </c>
      <c r="K18" s="43">
        <f t="shared" ca="1" si="0"/>
        <v>270000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7" t="s">
        <v>1008</v>
      </c>
      <c r="D168" s="537"/>
      <c r="E168" s="537"/>
      <c r="F168" s="537"/>
      <c r="G168" s="77" t="s">
        <v>9</v>
      </c>
      <c r="H168" s="55">
        <f ca="1">SUM(H14:H167)</f>
        <v>5262300</v>
      </c>
      <c r="I168" s="55">
        <f ca="1">SUM(I14:I167)</f>
        <v>0</v>
      </c>
      <c r="J168" s="55">
        <f ca="1">SUM(J14:J167)</f>
        <v>0</v>
      </c>
      <c r="K168" s="55">
        <f ca="1">SUM(K14:K167)</f>
        <v>5262300</v>
      </c>
      <c r="L168" s="44"/>
      <c r="R168" s="99"/>
      <c r="S168" s="99"/>
      <c r="T168" s="99"/>
    </row>
    <row r="169" spans="1:20" s="36" customFormat="1">
      <c r="A169" s="30"/>
      <c r="B169" s="56"/>
      <c r="C169" s="538" t="s">
        <v>462</v>
      </c>
      <c r="D169" s="538"/>
      <c r="E169" s="538"/>
      <c r="F169" s="538"/>
      <c r="G169" s="59" t="s">
        <v>9</v>
      </c>
      <c r="H169" s="60">
        <f ca="1">H168*0.1</f>
        <v>526230</v>
      </c>
      <c r="I169" s="60">
        <f ca="1">I168*0.1</f>
        <v>0</v>
      </c>
      <c r="J169" s="60">
        <f ca="1">J168*0.1</f>
        <v>0</v>
      </c>
      <c r="K169" s="60">
        <f ca="1">K168*0.1</f>
        <v>526230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5788530</v>
      </c>
      <c r="I170" s="78">
        <f ca="1">SUM(I168:I169)</f>
        <v>0</v>
      </c>
      <c r="J170" s="61">
        <f ca="1">SUM(J168:J169)</f>
        <v>0</v>
      </c>
      <c r="K170" s="61">
        <f ca="1">SUM(K168:K169)</f>
        <v>5788530</v>
      </c>
      <c r="L170" s="44"/>
      <c r="R170" s="99"/>
      <c r="S170" s="99"/>
      <c r="T170" s="99"/>
    </row>
    <row r="171" spans="1:20" s="36" customFormat="1">
      <c r="A171" s="30"/>
      <c r="B171" s="530" t="e">
        <f ca="1">"Terbilang : ( "&amp;L172&amp;" Rupiah )"</f>
        <v>#NAME?</v>
      </c>
      <c r="C171" s="531"/>
      <c r="D171" s="531"/>
      <c r="E171" s="531"/>
      <c r="F171" s="531"/>
      <c r="G171" s="531"/>
      <c r="H171" s="531"/>
      <c r="I171" s="531"/>
      <c r="J171" s="531"/>
      <c r="K171" s="532"/>
      <c r="L171" s="44"/>
      <c r="R171" s="58"/>
      <c r="S171" s="58"/>
      <c r="T171" s="58"/>
    </row>
    <row r="172" spans="1:20" s="36" customFormat="1">
      <c r="A172" s="30"/>
      <c r="B172" s="533"/>
      <c r="C172" s="534"/>
      <c r="D172" s="534"/>
      <c r="E172" s="534"/>
      <c r="F172" s="534"/>
      <c r="G172" s="534"/>
      <c r="H172" s="534"/>
      <c r="I172" s="534"/>
      <c r="J172" s="534"/>
      <c r="K172" s="53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4"/>
      <c r="I175" s="524"/>
      <c r="J175" s="525"/>
      <c r="K175" s="52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4"/>
      <c r="I176" s="524"/>
      <c r="J176" s="525"/>
      <c r="K176" s="52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4"/>
      <c r="I177" s="524"/>
      <c r="J177" s="525"/>
      <c r="K177" s="52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4"/>
      <c r="I182" s="524"/>
      <c r="J182" s="525"/>
      <c r="K182" s="52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SUMIFS(RAB!$F$14:$F$56,RAB!$C$14:$C$56,C224)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SUMIFS(RAB!$F$14:$F$56,RAB!$C$14:$C$56,C225)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SUMIFS(RAB!$F$14:$F$56,RAB!$C$14:$C$56,C226)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SUMIFS(RAB!$F$14:$F$56,RAB!$C$14:$C$56,C227)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SUMIFS(RAB!$F$14:$F$56,RAB!$C$14:$C$56,C228)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SUMIFS(RAB!$F$14:$F$56,RAB!$C$14:$C$56,C229)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SUMIFS(RAB!$F$14:$F$56,RAB!$C$14:$C$56,C230)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SUMIFS(RAB!$F$14:$F$56,RAB!$C$14:$C$56,C231)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SUMIFS(RAB!$F$14:$F$56,RAB!$C$14:$C$56,C232)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SUMIFS(RAB!$F$14:$F$56,RAB!$C$14:$C$56,C233)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SUMIFS(RAB!$F$14:$F$56,RAB!$C$14:$C$56,C234)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SUMIFS(RAB!$F$14:$F$56,RAB!$C$14:$C$56,C235)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SUMIFS(RAB!$F$14:$F$56,RAB!$C$14:$C$56,C236)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SUMIFS(RAB!$F$14:$F$56,RAB!$C$14:$C$56,C237)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SUMIFS(RAB!$F$14:$F$56,RAB!$C$14:$C$56,C238)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SUMIFS(RAB!$F$14:$F$56,RAB!$C$14:$C$56,C239)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SUMIFS(RAB!$F$14:$F$56,RAB!$C$14:$C$56,C240)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SUMIFS(RAB!$F$14:$F$56,RAB!$C$14:$C$56,C241)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SUMIFS(RAB!$F$14:$F$56,RAB!$C$14:$C$56,C242)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SUMIFS(RAB!$F$14:$F$56,RAB!$C$14:$C$56,C243)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SUMIFS(RAB!$F$14:$F$56,RAB!$C$14:$C$56,C244)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SUMIFS(RAB!$F$14:$F$56,RAB!$C$14:$C$56,C245)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SUMIFS(RAB!$F$14:$F$56,RAB!$C$14:$C$56,C246)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SUMIFS(RAB!$F$14:$F$56,RAB!$C$14:$C$56,C247)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SUMIFS(RAB!$F$14:$F$56,RAB!$C$14:$C$56,C248)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SUMIFS(RAB!$F$14:$F$56,RAB!$C$14:$C$56,C249)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SUMIFS(RAB!$F$14:$F$56,RAB!$C$14:$C$56,C250)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SUMIFS(RAB!$F$14:$F$56,RAB!$C$14:$C$56,C251)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SUMIFS(RAB!$F$14:$F$56,RAB!$C$14:$C$56,C252)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SUMIFS(RAB!$F$14:$F$56,RAB!$C$14:$C$56,C253)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SUMIFS(RAB!$F$14:$F$56,RAB!$C$14:$C$56,C254)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SUMIFS(RAB!$F$14:$F$56,RAB!$C$14:$C$56,C255)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SUMIFS(RAB!$F$14:$F$56,RAB!$C$14:$C$56,C256)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SUMIFS(RAB!$F$14:$F$56,RAB!$C$14:$C$56,C257)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SUMIFS(RAB!$F$14:$F$56,RAB!$C$14:$C$56,C258)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SUMIFS(RAB!$F$14:$F$56,RAB!$C$14:$C$56,C259)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SUMIFS(RAB!$F$14:$F$56,RAB!$C$14:$C$56,C260)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SUMIFS(RAB!$F$14:$F$56,RAB!$C$14:$C$56,C261)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SUMIFS(RAB!$F$14:$F$56,RAB!$C$14:$C$56,C262)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SUMIFS(RAB!$F$14:$F$56,RAB!$C$14:$C$56,C263)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SUMIFS(RAB!$F$14:$F$56,RAB!$C$14:$C$56,C264)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SUMIFS(RAB!$F$14:$F$56,RAB!$C$14:$C$56,C265)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SUMIFS(RAB!$F$14:$F$56,RAB!$C$14:$C$56,C266)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SUMIFS(RAB!$F$14:$F$56,RAB!$C$14:$C$56,C267)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SUMIFS(RAB!$F$14:$F$56,RAB!$C$14:$C$56,C268)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SUMIFS(RAB!$F$14:$F$56,RAB!$C$14:$C$56,C269)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SUMIFS(RAB!$F$14:$F$56,RAB!$C$14:$C$56,C270)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SUMIFS(RAB!$F$14:$F$56,RAB!$C$14:$C$56,C271)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SUMIFS(RAB!$F$14:$F$56,RAB!$C$14:$C$56,C272)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SUMIFS(RAB!$F$14:$F$56,RAB!$C$14:$C$56,C273)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SUMIFS(RAB!$F$14:$F$56,RAB!$C$14:$C$56,C274)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SUMIFS(RAB!$F$14:$F$56,RAB!$C$14:$C$56,C275)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SUMIFS(RAB!$F$14:$F$56,RAB!$C$14:$C$56,C276)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SUMIFS(RAB!$F$14:$F$56,RAB!$C$14:$C$56,C277)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SUMIFS(RAB!$F$14:$F$56,RAB!$C$14:$C$56,C278)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SUMIFS(RAB!$F$14:$F$56,RAB!$C$14:$C$56,C279)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SUMIFS(RAB!$F$14:$F$56,RAB!$C$14:$C$56,C280)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SUMIFS(RAB!$F$14:$F$56,RAB!$C$14:$C$56,C281)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SUMIFS(RAB!$F$14:$F$56,RAB!$C$14:$C$56,C282)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SUMIFS(RAB!$F$14:$F$56,RAB!$C$14:$C$56,C283)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SUMIFS(RAB!$F$14:$F$56,RAB!$C$14:$C$56,C284)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SUMIFS(RAB!$F$14:$F$56,RAB!$C$14:$C$56,C285)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SUMIFS(RAB!$F$14:$F$56,RAB!$C$14:$C$56,C286)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SUMIFS(RAB!$F$14:$F$56,RAB!$C$14:$C$56,C287)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SUMIFS(RAB!$F$14:$F$56,RAB!$C$14:$C$56,C288)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SUMIFS(RAB!$F$14:$F$56,RAB!$C$14:$C$56,C289)</f>
        <v>1</v>
      </c>
      <c r="E289" s="24">
        <f t="shared" ref="E289:E352" ca="1" si="22">IF(D289=0,0,1)</f>
        <v>1</v>
      </c>
      <c r="F289" s="24">
        <f ca="1">IF(D289=0,0,SUM($E$223:E289))</f>
        <v>2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SUMIFS(RAB!$F$14:$F$56,RAB!$C$14:$C$56,C290)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SUMIFS(RAB!$F$14:$F$56,RAB!$C$14:$C$56,C291)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SUMIFS(RAB!$F$14:$F$56,RAB!$C$14:$C$56,C292)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SUMIFS(RAB!$F$14:$F$56,RAB!$C$14:$C$56,C293)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SUMIFS(RAB!$F$14:$F$56,RAB!$C$14:$C$56,C294)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SUMIFS(RAB!$F$14:$F$56,RAB!$C$14:$C$56,C295)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SUMIFS(RAB!$F$14:$F$56,RAB!$C$14:$C$56,C296)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SUMIFS(RAB!$F$14:$F$56,RAB!$C$14:$C$56,C297)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SUMIFS(RAB!$F$14:$F$56,RAB!$C$14:$C$56,C298)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SUMIFS(RAB!$F$14:$F$56,RAB!$C$14:$C$56,C299)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SUMIFS(RAB!$F$14:$F$56,RAB!$C$14:$C$56,C300)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SUMIFS(RAB!$F$14:$F$56,RAB!$C$14:$C$56,C301)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SUMIFS(RAB!$F$14:$F$56,RAB!$C$14:$C$56,C302)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SUMIFS(RAB!$F$14:$F$56,RAB!$C$14:$C$56,C303)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SUMIFS(RAB!$F$14:$F$56,RAB!$C$14:$C$56,C304)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SUMIFS(RAB!$F$14:$F$56,RAB!$C$14:$C$56,C305)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SUMIFS(RAB!$F$14:$F$56,RAB!$C$14:$C$56,C306)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SUMIFS(RAB!$F$14:$F$56,RAB!$C$14:$C$56,C307)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SUMIFS(RAB!$F$14:$F$56,RAB!$C$14:$C$56,C308)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SUMIFS(RAB!$F$14:$F$56,RAB!$C$14:$C$56,C309)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SUMIFS(RAB!$F$14:$F$56,RAB!$C$14:$C$56,C310)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SUMIFS(RAB!$F$14:$F$56,RAB!$C$14:$C$56,C311)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SUMIFS(RAB!$F$14:$F$56,RAB!$C$14:$C$56,C312)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SUMIFS(RAB!$F$14:$F$56,RAB!$C$14:$C$56,C313)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SUMIFS(RAB!$F$14:$F$56,RAB!$C$14:$C$56,C314)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SUMIFS(RAB!$F$14:$F$56,RAB!$C$14:$C$56,C315)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SUMIFS(RAB!$F$14:$F$56,RAB!$C$14:$C$56,C316)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SUMIFS(RAB!$F$14:$F$56,RAB!$C$14:$C$56,C317)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SUMIFS(RAB!$F$14:$F$56,RAB!$C$14:$C$56,C318)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SUMIFS(RAB!$F$14:$F$56,RAB!$C$14:$C$56,C319)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SUMIFS(RAB!$F$14:$F$56,RAB!$C$14:$C$56,C320)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SUMIFS(RAB!$F$14:$F$56,RAB!$C$14:$C$56,C321)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SUMIFS(RAB!$F$14:$F$56,RAB!$C$14:$C$56,C322)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SUMIFS(RAB!$F$14:$F$56,RAB!$C$14:$C$56,C323)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SUMIFS(RAB!$F$14:$F$56,RAB!$C$14:$C$56,C324)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SUMIFS(RAB!$F$14:$F$56,RAB!$C$14:$C$56,C325)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SUMIFS(RAB!$F$14:$F$56,RAB!$C$14:$C$56,C326)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SUMIFS(RAB!$F$14:$F$56,RAB!$C$14:$C$56,C327)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SUMIFS(RAB!$F$14:$F$56,RAB!$C$14:$C$56,C328)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SUMIFS(RAB!$F$14:$F$56,RAB!$C$14:$C$56,C329)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SUMIFS(RAB!$F$14:$F$56,RAB!$C$14:$C$56,C330)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SUMIFS(RAB!$F$14:$F$56,RAB!$C$14:$C$56,C331)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SUMIFS(RAB!$F$14:$F$56,RAB!$C$14:$C$56,C332)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SUMIFS(RAB!$F$14:$F$56,RAB!$C$14:$C$56,C333)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SUMIFS(RAB!$F$14:$F$56,RAB!$C$14:$C$56,C334)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SUMIFS(RAB!$F$14:$F$56,RAB!$C$14:$C$56,C335)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SUMIFS(RAB!$F$14:$F$56,RAB!$C$14:$C$56,C336)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SUMIFS(RAB!$F$14:$F$56,RAB!$C$14:$C$56,C337)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SUMIFS(RAB!$F$14:$F$56,RAB!$C$14:$C$56,C338)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SUMIFS(RAB!$F$14:$F$56,RAB!$C$14:$C$56,C339)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SUMIFS(RAB!$F$14:$F$56,RAB!$C$14:$C$56,C340)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SUMIFS(RAB!$F$14:$F$56,RAB!$C$14:$C$56,C341)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SUMIFS(RAB!$F$14:$F$56,RAB!$C$14:$C$56,C342)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SUMIFS(RAB!$F$14:$F$56,RAB!$C$14:$C$56,C343)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SUMIFS(RAB!$F$14:$F$56,RAB!$C$14:$C$56,C344)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SUMIFS(RAB!$F$14:$F$56,RAB!$C$14:$C$56,C345)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SUMIFS(RAB!$F$14:$F$56,RAB!$C$14:$C$56,C346)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SUMIFS(RAB!$F$14:$F$56,RAB!$C$14:$C$56,C347)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SUMIFS(RAB!$F$14:$F$56,RAB!$C$14:$C$56,C348)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SUMIFS(RAB!$F$14:$F$56,RAB!$C$14:$C$56,C349)</f>
        <v>20</v>
      </c>
      <c r="E349" s="24">
        <f t="shared" ca="1" si="22"/>
        <v>1</v>
      </c>
      <c r="F349" s="24">
        <f ca="1">IF(D349=0,0,SUM($E$223:E349))</f>
        <v>3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SUMIFS(RAB!$F$14:$F$56,RAB!$C$14:$C$56,C350)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SUMIFS(RAB!$F$14:$F$56,RAB!$C$14:$C$56,C351)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SUMIFS(RAB!$F$14:$F$56,RAB!$C$14:$C$56,C352)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SUMIFS(RAB!$F$14:$F$56,RAB!$C$14:$C$56,C353)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SUMIFS(RAB!$F$14:$F$56,RAB!$C$14:$C$56,C354)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SUMIFS(RAB!$F$14:$F$56,RAB!$C$14:$C$56,C355)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SUMIFS(RAB!$F$14:$F$56,RAB!$C$14:$C$56,C356)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SUMIFS(RAB!$F$14:$F$56,RAB!$C$14:$C$56,C357)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SUMIFS(RAB!$F$14:$F$56,RAB!$C$14:$C$56,C358)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SUMIFS(RAB!$F$14:$F$56,RAB!$C$14:$C$56,C359)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SUMIFS(RAB!$F$14:$F$56,RAB!$C$14:$C$56,C360)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SUMIFS(RAB!$F$14:$F$56,RAB!$C$14:$C$56,C361)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SUMIFS(RAB!$F$14:$F$56,RAB!$C$14:$C$56,C362)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SUMIFS(RAB!$F$14:$F$56,RAB!$C$14:$C$56,C363)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SUMIFS(RAB!$F$14:$F$56,RAB!$C$14:$C$56,C364)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SUMIFS(RAB!$F$14:$F$56,RAB!$C$14:$C$56,C365)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SUMIFS(RAB!$F$14:$F$56,RAB!$C$14:$C$56,C366)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SUMIFS(RAB!$F$14:$F$56,RAB!$C$14:$C$56,C367)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SUMIFS(RAB!$F$14:$F$56,RAB!$C$14:$C$56,C368)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SUMIFS(RAB!$F$14:$F$56,RAB!$C$14:$C$56,C369)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SUMIFS(RAB!$F$14:$F$56,RAB!$C$14:$C$56,C370)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SUMIFS(RAB!$F$14:$F$56,RAB!$C$14:$C$56,C371)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SUMIFS(RAB!$F$14:$F$56,RAB!$C$14:$C$56,C372)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SUMIFS(RAB!$F$14:$F$56,RAB!$C$14:$C$56,C373)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6" priority="5" operator="equal">
      <formula>0</formula>
    </cfRule>
  </conditionalFormatting>
  <conditionalFormatting sqref="C16:C165">
    <cfRule type="cellIs" dxfId="35" priority="4" stopIfTrue="1" operator="equal">
      <formula>0</formula>
    </cfRule>
  </conditionalFormatting>
  <conditionalFormatting sqref="C16:E165">
    <cfRule type="cellIs" dxfId="34" priority="1" operator="equal">
      <formula>0</formula>
    </cfRule>
  </conditionalFormatting>
  <conditionalFormatting sqref="D224:F373">
    <cfRule type="cellIs" dxfId="33" priority="8" operator="equal">
      <formula>0</formula>
    </cfRule>
  </conditionalFormatting>
  <conditionalFormatting sqref="E1:E3 G1:G115 E6:E15 H12:I12 N13 F14:F15 H14:K115 E166:K166 G166:G223 E167:F167 H167:K167">
    <cfRule type="cellIs" dxfId="32" priority="43" stopIfTrue="1" operator="equal">
      <formula>0</formula>
    </cfRule>
  </conditionalFormatting>
  <conditionalFormatting sqref="E171:E65536">
    <cfRule type="cellIs" dxfId="31" priority="9" stopIfTrue="1" operator="equal">
      <formula>0</formula>
    </cfRule>
  </conditionalFormatting>
  <conditionalFormatting sqref="G224">
    <cfRule type="cellIs" dxfId="30" priority="10" operator="equal">
      <formula>0</formula>
    </cfRule>
  </conditionalFormatting>
  <conditionalFormatting sqref="G225:G65536">
    <cfRule type="cellIs" dxfId="29" priority="14" stopIfTrue="1" operator="equal">
      <formula>0</formula>
    </cfRule>
  </conditionalFormatting>
  <conditionalFormatting sqref="R14:T166 G116:K165">
    <cfRule type="cellIs" dxfId="2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0"/>
    </row>
    <row r="4" spans="4:4" ht="57" customHeight="1">
      <c r="D4" s="450">
        <v>3</v>
      </c>
    </row>
    <row r="5" spans="4:4" ht="57" customHeight="1">
      <c r="D5" s="45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62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0" t="s">
        <v>41</v>
      </c>
      <c r="C2" s="54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1" t="s">
        <v>23</v>
      </c>
      <c r="C4" s="542" t="s">
        <v>1012</v>
      </c>
      <c r="D4" s="542" t="s">
        <v>42</v>
      </c>
      <c r="E4" s="541" t="s">
        <v>43</v>
      </c>
      <c r="F4" s="108" t="s">
        <v>1609</v>
      </c>
      <c r="G4" s="108" t="s">
        <v>1608</v>
      </c>
      <c r="H4" s="53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1"/>
      <c r="C5" s="542"/>
      <c r="D5" s="542"/>
      <c r="E5" s="541"/>
      <c r="F5" s="93"/>
      <c r="G5" s="93"/>
      <c r="H5" s="539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3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3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4">
        <v>2740</v>
      </c>
      <c r="G1433" s="47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5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5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5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5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5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7" priority="138" operator="equal">
      <formula>0</formula>
    </cfRule>
  </conditionalFormatting>
  <conditionalFormatting sqref="B8:C135">
    <cfRule type="cellIs" dxfId="26" priority="51" operator="equal">
      <formula>0</formula>
    </cfRule>
  </conditionalFormatting>
  <conditionalFormatting sqref="B150:G1493">
    <cfRule type="cellIs" dxfId="25" priority="1" operator="equal">
      <formula>0</formula>
    </cfRule>
  </conditionalFormatting>
  <conditionalFormatting sqref="C143:G149">
    <cfRule type="cellIs" dxfId="24" priority="5" operator="equal">
      <formula>0</formula>
    </cfRule>
  </conditionalFormatting>
  <conditionalFormatting sqref="D9:G142">
    <cfRule type="cellIs" dxfId="23" priority="11" operator="equal">
      <formula>0</formula>
    </cfRule>
  </conditionalFormatting>
  <conditionalFormatting sqref="D1:IV5 A1:C7 D6:K6 H1455:IV1457 H1458:XFD1485 H1486:H1493 I1486:XFD1494 A1494:H1494 A1495:XFD65536">
    <cfRule type="cellIs" dxfId="22" priority="163" operator="equal">
      <formula>0</formula>
    </cfRule>
  </conditionalFormatting>
  <conditionalFormatting sqref="D7:IV8 C136:C142 B136:B149">
    <cfRule type="cellIs" dxfId="21" priority="62" operator="equal">
      <formula>0</formula>
    </cfRule>
  </conditionalFormatting>
  <conditionalFormatting sqref="H9:H1418">
    <cfRule type="cellIs" dxfId="20" priority="129" operator="equal">
      <formula>0</formula>
    </cfRule>
  </conditionalFormatting>
  <conditionalFormatting sqref="H1419:I1454">
    <cfRule type="cellIs" dxfId="19" priority="128" operator="equal">
      <formula>0</formula>
    </cfRule>
  </conditionalFormatting>
  <conditionalFormatting sqref="I108:I1418">
    <cfRule type="cellIs" dxfId="18" priority="125" operator="equal">
      <formula>0</formula>
    </cfRule>
  </conditionalFormatting>
  <conditionalFormatting sqref="J108:IV1454">
    <cfRule type="cellIs" dxfId="17" priority="139" operator="equal">
      <formula>0</formula>
    </cfRule>
  </conditionalFormatting>
  <conditionalFormatting sqref="M6:IV6">
    <cfRule type="cellIs" dxfId="1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6" zoomScale="55" zoomScaleNormal="55" zoomScaleSheetLayoutView="85" workbookViewId="0">
      <selection activeCell="O24" sqref="O2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4" t="s">
        <v>1454</v>
      </c>
      <c r="C2" s="574"/>
      <c r="D2" s="574"/>
      <c r="E2" s="574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79" t="s">
        <v>1532</v>
      </c>
      <c r="C4" s="580"/>
      <c r="D4" s="580"/>
      <c r="E4" s="581"/>
      <c r="F4" s="432"/>
      <c r="G4" s="432"/>
      <c r="H4" s="433"/>
      <c r="I4" s="543" t="s">
        <v>1533</v>
      </c>
      <c r="J4" s="544"/>
      <c r="K4" s="544"/>
      <c r="L4" s="545"/>
    </row>
    <row r="5" spans="1:12" ht="34.5" customHeight="1">
      <c r="A5" s="204"/>
      <c r="B5" s="435" t="s">
        <v>1379</v>
      </c>
      <c r="C5" s="274" t="s">
        <v>9</v>
      </c>
      <c r="D5" s="575" t="str">
        <f>DATA!D14</f>
        <v>T.NOTOSUKARJO</v>
      </c>
      <c r="E5" s="576"/>
      <c r="F5" s="208"/>
      <c r="G5" s="208"/>
      <c r="I5" s="436" t="s">
        <v>1379</v>
      </c>
      <c r="J5" s="274" t="s">
        <v>9</v>
      </c>
      <c r="K5" s="546" t="str">
        <f>D5</f>
        <v>T.NOTOSUKARJO</v>
      </c>
      <c r="L5" s="547"/>
    </row>
    <row r="6" spans="1:12" ht="31.5" customHeight="1">
      <c r="A6" s="204"/>
      <c r="B6" s="435" t="s">
        <v>1529</v>
      </c>
      <c r="C6" s="274" t="s">
        <v>9</v>
      </c>
      <c r="D6" s="584">
        <f>DATA!D17*1000</f>
        <v>11000</v>
      </c>
      <c r="E6" s="585"/>
      <c r="F6" s="208"/>
      <c r="G6" s="208"/>
      <c r="I6" s="436" t="s">
        <v>1530</v>
      </c>
      <c r="J6" s="274" t="s">
        <v>9</v>
      </c>
      <c r="K6" s="548">
        <f>DATA!D20*1000</f>
        <v>16500</v>
      </c>
      <c r="L6" s="549"/>
    </row>
    <row r="7" spans="1:12" ht="30.75" customHeight="1">
      <c r="A7" s="204"/>
      <c r="B7" s="435" t="s">
        <v>1441</v>
      </c>
      <c r="C7" s="274" t="s">
        <v>9</v>
      </c>
      <c r="D7" s="582">
        <f>DATA!D18</f>
        <v>1</v>
      </c>
      <c r="E7" s="583"/>
      <c r="F7" s="434" t="s">
        <v>1453</v>
      </c>
      <c r="I7" s="436" t="s">
        <v>1441</v>
      </c>
      <c r="J7" s="274" t="s">
        <v>9</v>
      </c>
      <c r="K7" s="550">
        <f>DATA!D21</f>
        <v>3</v>
      </c>
      <c r="L7" s="551"/>
    </row>
    <row r="8" spans="1:12" ht="51" customHeight="1">
      <c r="A8" s="204"/>
      <c r="B8" s="435" t="s">
        <v>1442</v>
      </c>
      <c r="C8" s="274" t="s">
        <v>9</v>
      </c>
      <c r="D8" s="582">
        <f>DATA!D19</f>
        <v>220</v>
      </c>
      <c r="E8" s="583"/>
      <c r="F8" s="434" t="s">
        <v>1453</v>
      </c>
      <c r="G8" s="429">
        <v>220</v>
      </c>
      <c r="I8" s="436" t="s">
        <v>1442</v>
      </c>
      <c r="J8" s="274" t="s">
        <v>9</v>
      </c>
      <c r="K8" s="550">
        <f>DATA!D22</f>
        <v>380</v>
      </c>
      <c r="L8" s="551"/>
    </row>
    <row r="9" spans="1:12" ht="30" customHeight="1" thickBot="1">
      <c r="A9" s="204"/>
      <c r="B9" s="441" t="s">
        <v>1541</v>
      </c>
      <c r="C9" s="431" t="s">
        <v>9</v>
      </c>
      <c r="D9" s="577">
        <f>IF(D7=1,D6/(380/3^0.5),(D6/(380*3^0.5)))</f>
        <v>50.138312850678027</v>
      </c>
      <c r="E9" s="578"/>
      <c r="F9" s="207"/>
      <c r="G9" s="430">
        <v>380</v>
      </c>
      <c r="I9" s="442" t="s">
        <v>1541</v>
      </c>
      <c r="J9" s="431" t="s">
        <v>9</v>
      </c>
      <c r="K9" s="554">
        <f>IF(K7=1,K6/(380/3^0.5),(K6/(380*3^0.5)))</f>
        <v>25.069156425339017</v>
      </c>
      <c r="L9" s="555"/>
    </row>
    <row r="10" spans="1:12" ht="24.75" customHeight="1">
      <c r="B10" s="443"/>
      <c r="C10" s="440"/>
      <c r="D10" s="444"/>
      <c r="E10" s="444"/>
      <c r="F10" s="207"/>
      <c r="G10" s="430"/>
      <c r="I10" s="443"/>
      <c r="J10" s="440"/>
      <c r="K10" s="444"/>
      <c r="L10" s="444"/>
    </row>
    <row r="11" spans="1:12" ht="16.5" thickBot="1">
      <c r="B11" s="437" t="s">
        <v>1542</v>
      </c>
      <c r="I11" s="437" t="s">
        <v>1536</v>
      </c>
    </row>
    <row r="12" spans="1:12" ht="34.5" customHeight="1" thickBot="1">
      <c r="A12" s="204"/>
      <c r="B12" s="465" t="s">
        <v>1534</v>
      </c>
      <c r="C12" s="459" t="s">
        <v>9</v>
      </c>
      <c r="D12" s="552" t="s">
        <v>1619</v>
      </c>
      <c r="E12" s="553"/>
      <c r="F12" s="208"/>
      <c r="G12" s="208"/>
      <c r="I12" s="458" t="s">
        <v>1534</v>
      </c>
      <c r="J12" s="459" t="s">
        <v>9</v>
      </c>
      <c r="K12" s="552" t="s">
        <v>1629</v>
      </c>
      <c r="L12" s="553"/>
    </row>
    <row r="13" spans="1:12" ht="31.5" customHeight="1">
      <c r="A13" s="204"/>
      <c r="B13" s="466" t="s">
        <v>1380</v>
      </c>
      <c r="C13" s="446" t="s">
        <v>9</v>
      </c>
      <c r="D13" s="552" t="s">
        <v>1619</v>
      </c>
      <c r="E13" s="553"/>
      <c r="F13" s="208"/>
      <c r="G13" s="208"/>
      <c r="I13" s="460" t="s">
        <v>1380</v>
      </c>
      <c r="J13" s="446" t="s">
        <v>9</v>
      </c>
      <c r="K13" s="552" t="s">
        <v>1630</v>
      </c>
      <c r="L13" s="553"/>
    </row>
    <row r="14" spans="1:12" ht="30.75" customHeight="1">
      <c r="A14" s="204"/>
      <c r="B14" s="466" t="s">
        <v>1535</v>
      </c>
      <c r="C14" s="446" t="s">
        <v>9</v>
      </c>
      <c r="D14" s="556">
        <v>50</v>
      </c>
      <c r="E14" s="557"/>
      <c r="F14" s="434" t="s">
        <v>1453</v>
      </c>
      <c r="G14" s="438">
        <v>50</v>
      </c>
      <c r="I14" s="460" t="s">
        <v>1535</v>
      </c>
      <c r="J14" s="446" t="s">
        <v>9</v>
      </c>
      <c r="K14" s="558">
        <v>200</v>
      </c>
      <c r="L14" s="559"/>
    </row>
    <row r="15" spans="1:12" ht="57" customHeight="1">
      <c r="A15" s="204"/>
      <c r="B15" s="466" t="s">
        <v>1441</v>
      </c>
      <c r="C15" s="446" t="s">
        <v>9</v>
      </c>
      <c r="D15" s="452">
        <v>3</v>
      </c>
      <c r="E15" s="461"/>
      <c r="F15" s="434" t="s">
        <v>1453</v>
      </c>
      <c r="G15" s="438">
        <v>100</v>
      </c>
      <c r="I15" s="460" t="s">
        <v>1441</v>
      </c>
      <c r="J15" s="446" t="s">
        <v>9</v>
      </c>
      <c r="K15" s="452">
        <v>3</v>
      </c>
      <c r="L15" s="461"/>
    </row>
    <row r="16" spans="1:12" ht="44.25" customHeight="1">
      <c r="A16" s="204"/>
      <c r="B16" s="466" t="s">
        <v>1545</v>
      </c>
      <c r="C16" s="446"/>
      <c r="D16" s="560">
        <v>50</v>
      </c>
      <c r="E16" s="561"/>
      <c r="F16" s="434"/>
      <c r="G16" s="438">
        <v>160</v>
      </c>
      <c r="I16" s="460" t="s">
        <v>1537</v>
      </c>
      <c r="J16" s="446" t="s">
        <v>9</v>
      </c>
      <c r="K16" s="564">
        <f>K9</f>
        <v>25.069156425339017</v>
      </c>
      <c r="L16" s="565"/>
    </row>
    <row r="17" spans="1:12" ht="34.5" customHeight="1">
      <c r="A17" s="204"/>
      <c r="B17" s="466" t="s">
        <v>1538</v>
      </c>
      <c r="C17" s="446" t="s">
        <v>9</v>
      </c>
      <c r="D17" s="562">
        <f>IF(D15=1,D14/(20/3^0.5),(D14/(20*3^0.5)))</f>
        <v>1.4433756729740645</v>
      </c>
      <c r="E17" s="563"/>
      <c r="F17" s="434" t="s">
        <v>1453</v>
      </c>
      <c r="G17" s="439">
        <v>200</v>
      </c>
      <c r="I17" s="460" t="s">
        <v>1538</v>
      </c>
      <c r="J17" s="446" t="s">
        <v>9</v>
      </c>
      <c r="K17" s="568">
        <f>IF(K15=1,K14/(20/3^0.5),(K14/(20*3^0.5)))</f>
        <v>5.7735026918962582</v>
      </c>
      <c r="L17" s="569"/>
    </row>
    <row r="18" spans="1:12" ht="34.5" customHeight="1">
      <c r="A18" s="204"/>
      <c r="B18" s="466" t="s">
        <v>1539</v>
      </c>
      <c r="C18" s="446" t="s">
        <v>9</v>
      </c>
      <c r="D18" s="562">
        <f>IF(D15=1,D14/(380/3^0.5),(D14/(380*3^0.5)))*1000</f>
        <v>75.96714068284551</v>
      </c>
      <c r="E18" s="563"/>
      <c r="F18" s="434" t="s">
        <v>1453</v>
      </c>
      <c r="G18" s="439">
        <v>250</v>
      </c>
      <c r="I18" s="460" t="s">
        <v>1539</v>
      </c>
      <c r="J18" s="446" t="s">
        <v>9</v>
      </c>
      <c r="K18" s="568">
        <f>IF(K15=1,K14/(380/3^0.5),(K14/(380*3^0.5)))*1000</f>
        <v>303.86856273138204</v>
      </c>
      <c r="L18" s="569"/>
    </row>
    <row r="19" spans="1:12" ht="30" customHeight="1">
      <c r="A19" s="204"/>
      <c r="B19" s="467" t="s">
        <v>1531</v>
      </c>
      <c r="C19" s="445" t="s">
        <v>9</v>
      </c>
      <c r="D19" s="562">
        <f>IF(D15=1,D14/(380/3^0.5),(D14/(380*3^0.5)))</f>
        <v>7.5967140682845505E-2</v>
      </c>
      <c r="E19" s="563"/>
      <c r="F19" s="207"/>
      <c r="G19" s="430"/>
      <c r="I19" s="462" t="s">
        <v>1531</v>
      </c>
      <c r="J19" s="445" t="s">
        <v>9</v>
      </c>
      <c r="K19" s="568">
        <f>IF(K15=1,K14/(380/3^0.5),(K14/(380*3^0.5)))</f>
        <v>0.30386856273138202</v>
      </c>
      <c r="L19" s="569"/>
    </row>
    <row r="20" spans="1:12" ht="30" customHeight="1" thickBot="1">
      <c r="A20" s="204"/>
      <c r="B20" s="468" t="s">
        <v>1540</v>
      </c>
      <c r="C20" s="464" t="s">
        <v>9</v>
      </c>
      <c r="D20" s="586">
        <f>D16/D18</f>
        <v>0.65817930687617321</v>
      </c>
      <c r="E20" s="587"/>
      <c r="F20" s="207"/>
      <c r="G20" s="430"/>
      <c r="I20" s="463" t="s">
        <v>1531</v>
      </c>
      <c r="J20" s="464" t="s">
        <v>9</v>
      </c>
      <c r="K20" s="566">
        <f>K16/K18</f>
        <v>8.249999999999999E-2</v>
      </c>
      <c r="L20" s="567"/>
    </row>
    <row r="21" spans="1:12" ht="9.75" customHeight="1">
      <c r="A21" s="204"/>
      <c r="B21" s="453" t="s">
        <v>1540</v>
      </c>
      <c r="C21" s="454" t="s">
        <v>9</v>
      </c>
      <c r="D21" s="573">
        <v>1</v>
      </c>
      <c r="E21" s="573"/>
      <c r="F21" s="455"/>
      <c r="G21" s="456"/>
      <c r="H21" s="457"/>
      <c r="I21" s="453" t="s">
        <v>1531</v>
      </c>
      <c r="J21" s="454" t="s">
        <v>9</v>
      </c>
      <c r="K21" s="573">
        <v>1</v>
      </c>
      <c r="L21" s="573"/>
    </row>
    <row r="22" spans="1:12" ht="6.75" customHeight="1">
      <c r="B22" s="443"/>
      <c r="C22" s="440"/>
      <c r="D22" s="451"/>
      <c r="E22" s="451"/>
      <c r="F22" s="207"/>
      <c r="G22" s="430"/>
      <c r="J22" s="440"/>
      <c r="K22" s="451"/>
      <c r="L22" s="451"/>
    </row>
    <row r="23" spans="1:12" ht="15.75" thickBot="1"/>
    <row r="24" spans="1:12" ht="200.25" customHeight="1" thickBot="1">
      <c r="B24" s="570"/>
      <c r="C24" s="571"/>
      <c r="D24" s="571"/>
      <c r="E24" s="572"/>
      <c r="I24" s="570"/>
      <c r="J24" s="571"/>
      <c r="K24" s="571"/>
      <c r="L24" s="572"/>
    </row>
    <row r="26" spans="1:12">
      <c r="D26" s="448"/>
    </row>
    <row r="27" spans="1:12">
      <c r="D27" s="44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59" zoomScaleNormal="100" workbookViewId="0">
      <selection activeCell="J15" sqref="J15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88"/>
      <c r="C1" s="588"/>
      <c r="D1" s="588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6">
        <v>1084.1250458865841</v>
      </c>
      <c r="F5" s="472" t="s">
        <v>1611</v>
      </c>
      <c r="K5" s="471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2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5.5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5329500</v>
      </c>
    </row>
    <row r="10" spans="2:11" ht="20.100000000000001" customHeight="1">
      <c r="B10" s="288" t="s">
        <v>1446</v>
      </c>
      <c r="C10" s="289" t="s">
        <v>9</v>
      </c>
      <c r="D10" s="295">
        <f ca="1">RAB!K62</f>
        <v>7414901.0654999996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148298.02130999998</v>
      </c>
    </row>
    <row r="12" spans="2:11" ht="9" customHeight="1">
      <c r="B12" s="589"/>
      <c r="C12" s="589"/>
      <c r="D12" s="589"/>
    </row>
    <row r="13" spans="2:11" ht="15.75" customHeight="1">
      <c r="B13" s="296"/>
      <c r="C13" s="296"/>
      <c r="D13" s="296"/>
    </row>
    <row r="14" spans="2:11" ht="33.75" customHeight="1">
      <c r="B14" s="405" t="s">
        <v>1379</v>
      </c>
      <c r="C14" s="406" t="s">
        <v>9</v>
      </c>
      <c r="D14" s="411" t="s">
        <v>1620</v>
      </c>
      <c r="E14" s="297" t="s">
        <v>1453</v>
      </c>
    </row>
    <row r="15" spans="2:11" ht="20.100000000000001" customHeight="1">
      <c r="B15" s="407" t="s">
        <v>1447</v>
      </c>
      <c r="C15" s="408" t="s">
        <v>9</v>
      </c>
      <c r="D15" s="412" t="s">
        <v>1621</v>
      </c>
      <c r="E15" s="297" t="s">
        <v>1453</v>
      </c>
    </row>
    <row r="16" spans="2:11" ht="20.100000000000001" customHeight="1">
      <c r="B16" s="407" t="s">
        <v>1448</v>
      </c>
      <c r="C16" s="408" t="s">
        <v>9</v>
      </c>
      <c r="D16" s="412" t="s">
        <v>1451</v>
      </c>
      <c r="E16" s="297" t="s">
        <v>1453</v>
      </c>
    </row>
    <row r="17" spans="2:5" ht="20.100000000000001" customHeight="1">
      <c r="B17" s="407" t="s">
        <v>1449</v>
      </c>
      <c r="C17" s="408" t="s">
        <v>9</v>
      </c>
      <c r="D17" s="413">
        <v>11</v>
      </c>
      <c r="E17" s="297" t="s">
        <v>1453</v>
      </c>
    </row>
    <row r="18" spans="2:5" ht="20.100000000000001" hidden="1" customHeight="1">
      <c r="B18" s="407" t="s">
        <v>1543</v>
      </c>
      <c r="C18" s="408"/>
      <c r="D18" s="413">
        <f>IF((D17&lt;=11),1,3)</f>
        <v>1</v>
      </c>
      <c r="E18" s="297"/>
    </row>
    <row r="19" spans="2:5" ht="20.100000000000001" hidden="1" customHeight="1">
      <c r="B19" s="407" t="s">
        <v>1544</v>
      </c>
      <c r="C19" s="408"/>
      <c r="D19" s="413">
        <f>IF((D17&lt;=11),220,380)</f>
        <v>220</v>
      </c>
      <c r="E19" s="297"/>
    </row>
    <row r="20" spans="2:5" ht="20.100000000000001" customHeight="1">
      <c r="B20" s="407" t="s">
        <v>1450</v>
      </c>
      <c r="C20" s="408" t="s">
        <v>9</v>
      </c>
      <c r="D20" s="413">
        <v>16.5</v>
      </c>
      <c r="E20" s="297" t="s">
        <v>1453</v>
      </c>
    </row>
    <row r="21" spans="2:5" ht="20.100000000000001" hidden="1" customHeight="1">
      <c r="B21" s="407" t="s">
        <v>1543</v>
      </c>
      <c r="C21" s="408"/>
      <c r="D21" s="413">
        <f>IF((D20&lt;=11),1,3)</f>
        <v>3</v>
      </c>
      <c r="E21" s="297"/>
    </row>
    <row r="22" spans="2:5" ht="20.100000000000001" hidden="1" customHeight="1">
      <c r="B22" s="407" t="s">
        <v>1544</v>
      </c>
      <c r="C22" s="408"/>
      <c r="D22" s="413">
        <f>IF((D20&lt;=11),220,380)</f>
        <v>380</v>
      </c>
      <c r="E22" s="297"/>
    </row>
    <row r="23" spans="2:5" ht="20.100000000000001" customHeight="1">
      <c r="B23" s="407" t="s">
        <v>1353</v>
      </c>
      <c r="C23" s="408" t="s">
        <v>9</v>
      </c>
      <c r="D23" s="412">
        <v>1444.7</v>
      </c>
      <c r="E23" s="297" t="s">
        <v>1453</v>
      </c>
    </row>
    <row r="24" spans="2:5" ht="20.100000000000001" customHeight="1">
      <c r="B24" s="407" t="s">
        <v>1354</v>
      </c>
      <c r="C24" s="408" t="s">
        <v>9</v>
      </c>
      <c r="D24" s="412">
        <v>1444.7</v>
      </c>
      <c r="E24" s="297" t="s">
        <v>1453</v>
      </c>
    </row>
    <row r="25" spans="2:5" ht="20.100000000000001" customHeight="1">
      <c r="B25" s="407" t="s">
        <v>1452</v>
      </c>
      <c r="C25" s="408" t="s">
        <v>9</v>
      </c>
      <c r="D25" s="413">
        <v>969</v>
      </c>
      <c r="E25" s="297" t="s">
        <v>1453</v>
      </c>
    </row>
    <row r="26" spans="2:5" ht="20.100000000000001" customHeight="1">
      <c r="B26" s="409" t="s">
        <v>1355</v>
      </c>
      <c r="C26" s="410" t="s">
        <v>9</v>
      </c>
      <c r="D26" s="414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F7" sqref="F7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596" t="s">
        <v>1357</v>
      </c>
      <c r="C3" s="596"/>
      <c r="D3" s="596"/>
      <c r="E3" s="596"/>
      <c r="F3" s="302" t="str">
        <f>DATA!D14</f>
        <v>T.NOTOSUKARJO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90" t="s">
        <v>1349</v>
      </c>
      <c r="C5" s="590" t="s">
        <v>1358</v>
      </c>
      <c r="D5" s="595" t="s">
        <v>1359</v>
      </c>
      <c r="E5" s="595" t="s">
        <v>1360</v>
      </c>
      <c r="F5" s="590" t="s">
        <v>1361</v>
      </c>
      <c r="G5" s="590"/>
      <c r="H5" s="590"/>
      <c r="I5" s="590"/>
      <c r="J5" s="590"/>
      <c r="K5" s="590" t="s">
        <v>1362</v>
      </c>
      <c r="L5" s="590"/>
      <c r="M5" s="304"/>
      <c r="N5" s="593" t="s">
        <v>1363</v>
      </c>
      <c r="O5" s="595" t="s">
        <v>1364</v>
      </c>
      <c r="P5" s="595" t="s">
        <v>1365</v>
      </c>
      <c r="Q5" s="595" t="s">
        <v>1366</v>
      </c>
      <c r="R5" s="305"/>
      <c r="S5" s="306"/>
      <c r="T5" s="591" t="s">
        <v>1367</v>
      </c>
      <c r="U5" s="307"/>
    </row>
    <row r="6" spans="1:21" ht="20.100000000000001" customHeight="1">
      <c r="B6" s="590"/>
      <c r="C6" s="590"/>
      <c r="D6" s="590"/>
      <c r="E6" s="590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594"/>
      <c r="O6" s="590"/>
      <c r="P6" s="590"/>
      <c r="Q6" s="590"/>
      <c r="R6" s="305"/>
      <c r="S6" s="306"/>
      <c r="T6" s="590"/>
      <c r="U6" s="309"/>
    </row>
    <row r="7" spans="1:21" ht="20.100000000000001" customHeight="1">
      <c r="A7" s="310">
        <v>0</v>
      </c>
      <c r="B7" s="311">
        <v>2023</v>
      </c>
      <c r="C7" s="469">
        <f>DATA!D8*DATA!D26*8</f>
        <v>1760</v>
      </c>
      <c r="D7" s="313">
        <f>C7*4/24</f>
        <v>293.33333333333331</v>
      </c>
      <c r="E7" s="313">
        <f>C7-D7</f>
        <v>1466.6666666666667</v>
      </c>
      <c r="F7" s="314">
        <f ca="1">DATA!D10/1000000</f>
        <v>7.4149010654999996</v>
      </c>
      <c r="G7" s="315">
        <f ca="1">DATA!$D$11/1000000</f>
        <v>0.14829802130999997</v>
      </c>
      <c r="H7" s="315">
        <f>C7*DATA!$D$5/1000000</f>
        <v>1.908060080760388</v>
      </c>
      <c r="I7" s="315">
        <f>(C7*DATA!$D$5*DATA!$D$7)/1000000</f>
        <v>4.2931351817108727E-2</v>
      </c>
      <c r="J7" s="313">
        <f ca="1">SUM(F7:I7)</f>
        <v>9.5141905193874958</v>
      </c>
      <c r="K7" s="316">
        <f>DATA!D9/1000000</f>
        <v>5.3295000000000003</v>
      </c>
      <c r="L7" s="313">
        <f>((D7*DATA!$D$23)/1000000)+((E7*DATA!$D$24)/1000000)</f>
        <v>2.542672</v>
      </c>
      <c r="M7" s="313">
        <f>K7+L7</f>
        <v>7.8721720000000008</v>
      </c>
      <c r="N7" s="313">
        <f ca="1">M7-J7</f>
        <v>-1.642018519387495</v>
      </c>
      <c r="O7" s="311">
        <v>1</v>
      </c>
      <c r="P7" s="313">
        <f ca="1">O7*N7</f>
        <v>-1.642018519387495</v>
      </c>
      <c r="Q7" s="313">
        <f ca="1">P7</f>
        <v>-1.642018519387495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2640</v>
      </c>
      <c r="D8" s="313">
        <f>C8*4/24</f>
        <v>440</v>
      </c>
      <c r="E8" s="313">
        <f t="shared" ref="E8:E32" si="0">C8-D8</f>
        <v>2200</v>
      </c>
      <c r="F8" s="311"/>
      <c r="G8" s="315">
        <f ca="1">DATA!$D$11/1000000</f>
        <v>0.14829802130999997</v>
      </c>
      <c r="H8" s="315">
        <f>C8*DATA!$D$5/1000000</f>
        <v>2.8620901211405818</v>
      </c>
      <c r="I8" s="315">
        <f>(C8*DATA!$D$5*DATA!$D$7)/1000000</f>
        <v>6.4397027725663095E-2</v>
      </c>
      <c r="J8" s="313">
        <f t="shared" ref="J8:J32" ca="1" si="1">SUM(F8:I8)</f>
        <v>3.074785170176245</v>
      </c>
      <c r="K8" s="318"/>
      <c r="L8" s="313">
        <f>((D8*DATA!$D$23)/1000000)+((E8*DATA!$D$24)/1000000)</f>
        <v>3.8140079999999998</v>
      </c>
      <c r="M8" s="313">
        <f t="shared" ref="M8:M32" si="2">K8+L8</f>
        <v>3.8140079999999998</v>
      </c>
      <c r="N8" s="313">
        <f ca="1">M8-J8</f>
        <v>0.73922282982375487</v>
      </c>
      <c r="O8" s="312">
        <f>1/(1+'[93]Asumsi I'!$C$3)^(KKF!A8)</f>
        <v>0.89285714285714279</v>
      </c>
      <c r="P8" s="313">
        <f ca="1">O8*N8</f>
        <v>0.66002038377120964</v>
      </c>
      <c r="Q8" s="313">
        <f ca="1">Q7+P8</f>
        <v>-0.98199813561628535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2640</v>
      </c>
      <c r="D9" s="313">
        <f t="shared" ref="D9:D32" si="5">C9*4/24</f>
        <v>440</v>
      </c>
      <c r="E9" s="313">
        <f t="shared" si="0"/>
        <v>2200</v>
      </c>
      <c r="F9" s="311"/>
      <c r="G9" s="315">
        <f ca="1">DATA!$D$11/1000000</f>
        <v>0.14829802130999997</v>
      </c>
      <c r="H9" s="315">
        <f>C9*DATA!$D$5/1000000</f>
        <v>2.8620901211405818</v>
      </c>
      <c r="I9" s="315">
        <f>(C9*DATA!$D$5*DATA!$D$7)/1000000</f>
        <v>6.4397027725663095E-2</v>
      </c>
      <c r="J9" s="313">
        <f t="shared" ca="1" si="1"/>
        <v>3.074785170176245</v>
      </c>
      <c r="K9" s="313"/>
      <c r="L9" s="313">
        <f>((D9*DATA!$D$23)/1000000)+((E9*DATA!$D$24)/1000000)</f>
        <v>3.8140079999999998</v>
      </c>
      <c r="M9" s="313">
        <f t="shared" si="2"/>
        <v>3.8140079999999998</v>
      </c>
      <c r="N9" s="313">
        <f t="shared" ref="N9:N32" ca="1" si="6">M9-J9</f>
        <v>0.73922282982375487</v>
      </c>
      <c r="O9" s="319">
        <f>1/(1+'[93]Asumsi I'!$C$3)^(KKF!A9)</f>
        <v>0.79719387755102034</v>
      </c>
      <c r="P9" s="313">
        <f t="shared" ref="P9:P32" ca="1" si="7">O9*N9</f>
        <v>0.58930391408143723</v>
      </c>
      <c r="Q9" s="313">
        <f ca="1">Q8+P9</f>
        <v>-0.39269422153484812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2640</v>
      </c>
      <c r="D10" s="313">
        <f t="shared" si="5"/>
        <v>440</v>
      </c>
      <c r="E10" s="313">
        <f t="shared" si="0"/>
        <v>2200</v>
      </c>
      <c r="F10" s="311"/>
      <c r="G10" s="315">
        <f ca="1">DATA!$D$11/1000000</f>
        <v>0.14829802130999997</v>
      </c>
      <c r="H10" s="315">
        <f>C10*DATA!$D$5/1000000</f>
        <v>2.8620901211405818</v>
      </c>
      <c r="I10" s="315">
        <f>(C10*DATA!$D$5*DATA!$D$7)/1000000</f>
        <v>6.4397027725663095E-2</v>
      </c>
      <c r="J10" s="313">
        <f t="shared" ca="1" si="1"/>
        <v>3.074785170176245</v>
      </c>
      <c r="K10" s="311"/>
      <c r="L10" s="313">
        <f>((D10*DATA!$D$23)/1000000)+((E10*DATA!$D$24)/1000000)</f>
        <v>3.8140079999999998</v>
      </c>
      <c r="M10" s="313">
        <f t="shared" si="2"/>
        <v>3.8140079999999998</v>
      </c>
      <c r="N10" s="313">
        <f t="shared" ca="1" si="6"/>
        <v>0.73922282982375487</v>
      </c>
      <c r="O10" s="312">
        <f>1/(1+'[93]Asumsi I'!$C$3)^(KKF!A10)</f>
        <v>0.71178024781341087</v>
      </c>
      <c r="P10" s="313">
        <f t="shared" ca="1" si="7"/>
        <v>0.52616420900128313</v>
      </c>
      <c r="Q10" s="313">
        <f t="shared" ref="Q10:Q30" ca="1" si="9">Q9+P10</f>
        <v>0.13346998746643501</v>
      </c>
      <c r="S10" s="301" t="str">
        <f t="shared" ca="1" si="3"/>
        <v/>
      </c>
      <c r="T10" s="317">
        <f t="shared" ref="T10:T32" ca="1" si="10">IF(Q8&gt;=0,"",IF(Q10&lt;0,"",IF(Q10=0,A10,(A10-(Q10/N10)))))</f>
        <v>2.8194455283554261</v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2640</v>
      </c>
      <c r="D11" s="313">
        <f t="shared" si="5"/>
        <v>440</v>
      </c>
      <c r="E11" s="313">
        <f t="shared" si="0"/>
        <v>2200</v>
      </c>
      <c r="F11" s="311"/>
      <c r="G11" s="315">
        <f ca="1">DATA!$D$11/1000000</f>
        <v>0.14829802130999997</v>
      </c>
      <c r="H11" s="315">
        <f>C11*DATA!$D$5/1000000</f>
        <v>2.8620901211405818</v>
      </c>
      <c r="I11" s="315">
        <f>(C11*DATA!$D$5*DATA!$D$7)/1000000</f>
        <v>6.4397027725663095E-2</v>
      </c>
      <c r="J11" s="313">
        <f t="shared" ca="1" si="1"/>
        <v>3.074785170176245</v>
      </c>
      <c r="K11" s="311"/>
      <c r="L11" s="313">
        <f>((D11*DATA!$D$23)/1000000)+((E11*DATA!$D$24)/1000000)</f>
        <v>3.8140079999999998</v>
      </c>
      <c r="M11" s="313">
        <f t="shared" si="2"/>
        <v>3.8140079999999998</v>
      </c>
      <c r="N11" s="313">
        <f t="shared" ca="1" si="6"/>
        <v>0.73922282982375487</v>
      </c>
      <c r="O11" s="312">
        <f>1/(1+'[93]Asumsi I'!$C$3)^(KKF!A11)</f>
        <v>0.63551807840483121</v>
      </c>
      <c r="P11" s="313">
        <f t="shared" ca="1" si="7"/>
        <v>0.46978947232257423</v>
      </c>
      <c r="Q11" s="313">
        <f t="shared" ca="1" si="9"/>
        <v>0.6032594597890093</v>
      </c>
      <c r="S11" s="301" t="str">
        <f t="shared" ca="1" si="3"/>
        <v/>
      </c>
      <c r="T11" s="317">
        <f t="shared" ca="1" si="10"/>
        <v>3.1839274499505947</v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2640</v>
      </c>
      <c r="D12" s="313">
        <f t="shared" si="5"/>
        <v>440</v>
      </c>
      <c r="E12" s="313">
        <f t="shared" si="0"/>
        <v>2200</v>
      </c>
      <c r="F12" s="311"/>
      <c r="G12" s="315">
        <f ca="1">DATA!$D$11/1000000</f>
        <v>0.14829802130999997</v>
      </c>
      <c r="H12" s="315">
        <f>C12*DATA!$D$5/1000000</f>
        <v>2.8620901211405818</v>
      </c>
      <c r="I12" s="315">
        <f>(C12*DATA!$D$5*DATA!$D$7)/1000000</f>
        <v>6.4397027725663095E-2</v>
      </c>
      <c r="J12" s="313">
        <f t="shared" ca="1" si="1"/>
        <v>3.074785170176245</v>
      </c>
      <c r="K12" s="311"/>
      <c r="L12" s="313">
        <f>((D12*DATA!$D$23)/1000000)+((E12*DATA!$D$24)/1000000)</f>
        <v>3.8140079999999998</v>
      </c>
      <c r="M12" s="313">
        <f t="shared" si="2"/>
        <v>3.8140079999999998</v>
      </c>
      <c r="N12" s="313">
        <f t="shared" ca="1" si="6"/>
        <v>0.73922282982375487</v>
      </c>
      <c r="O12" s="312">
        <f>1/(1+'[93]Asumsi I'!$C$3)^(KKF!A12)</f>
        <v>0.56742685571859919</v>
      </c>
      <c r="P12" s="313">
        <f t="shared" ca="1" si="7"/>
        <v>0.41945488600229835</v>
      </c>
      <c r="Q12" s="313">
        <f t="shared" ca="1" si="9"/>
        <v>1.0227143457913077</v>
      </c>
      <c r="S12" s="301" t="str">
        <f t="shared" ca="1" si="3"/>
        <v/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2640</v>
      </c>
      <c r="D13" s="313">
        <f t="shared" si="5"/>
        <v>440</v>
      </c>
      <c r="E13" s="313">
        <f t="shared" si="0"/>
        <v>2200</v>
      </c>
      <c r="F13" s="311"/>
      <c r="G13" s="315">
        <f ca="1">DATA!$D$11/1000000</f>
        <v>0.14829802130999997</v>
      </c>
      <c r="H13" s="315">
        <f>C13*DATA!$D$5/1000000</f>
        <v>2.8620901211405818</v>
      </c>
      <c r="I13" s="315">
        <f>(C13*DATA!$D$5*DATA!$D$7)/1000000</f>
        <v>6.4397027725663095E-2</v>
      </c>
      <c r="J13" s="313">
        <f t="shared" ca="1" si="1"/>
        <v>3.074785170176245</v>
      </c>
      <c r="K13" s="311"/>
      <c r="L13" s="313">
        <f>((D13*DATA!$D$23)/1000000)+((E13*DATA!$D$24)/1000000)</f>
        <v>3.8140079999999998</v>
      </c>
      <c r="M13" s="313">
        <f t="shared" si="2"/>
        <v>3.8140079999999998</v>
      </c>
      <c r="N13" s="313">
        <f t="shared" ca="1" si="6"/>
        <v>0.73922282982375487</v>
      </c>
      <c r="O13" s="312">
        <f>1/(1+'[93]Asumsi I'!$C$3)^(KKF!A13)</f>
        <v>0.50663112117732068</v>
      </c>
      <c r="P13" s="313">
        <f t="shared" ca="1" si="7"/>
        <v>0.37451329107348064</v>
      </c>
      <c r="Q13" s="313">
        <f t="shared" ca="1" si="9"/>
        <v>1.3972276368647885</v>
      </c>
      <c r="S13" s="301" t="str">
        <f t="shared" ca="1" si="3"/>
        <v/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2640</v>
      </c>
      <c r="D14" s="313">
        <f t="shared" si="5"/>
        <v>440</v>
      </c>
      <c r="E14" s="313">
        <f t="shared" si="0"/>
        <v>2200</v>
      </c>
      <c r="F14" s="311"/>
      <c r="G14" s="315">
        <f ca="1">DATA!$D$11/1000000</f>
        <v>0.14829802130999997</v>
      </c>
      <c r="H14" s="315">
        <f>C14*DATA!$D$5/1000000</f>
        <v>2.8620901211405818</v>
      </c>
      <c r="I14" s="315">
        <f>(C14*DATA!$D$5*DATA!$D$7)/1000000</f>
        <v>6.4397027725663095E-2</v>
      </c>
      <c r="J14" s="313">
        <f t="shared" ca="1" si="1"/>
        <v>3.074785170176245</v>
      </c>
      <c r="K14" s="311"/>
      <c r="L14" s="313">
        <f>((D14*DATA!$D$23)/1000000)+((E14*DATA!$D$24)/1000000)</f>
        <v>3.8140079999999998</v>
      </c>
      <c r="M14" s="313">
        <f t="shared" si="2"/>
        <v>3.8140079999999998</v>
      </c>
      <c r="N14" s="313">
        <f t="shared" ca="1" si="6"/>
        <v>0.73922282982375487</v>
      </c>
      <c r="O14" s="312">
        <f>1/(1+'[93]Asumsi I'!$C$3)^(KKF!A14)</f>
        <v>0.45234921533689343</v>
      </c>
      <c r="P14" s="313">
        <f t="shared" ca="1" si="7"/>
        <v>0.3343868670298934</v>
      </c>
      <c r="Q14" s="313">
        <f t="shared" ca="1" si="9"/>
        <v>1.731614503894682</v>
      </c>
      <c r="S14" s="301" t="str">
        <f t="shared" ca="1" si="3"/>
        <v/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2640</v>
      </c>
      <c r="D15" s="313">
        <f t="shared" si="5"/>
        <v>440</v>
      </c>
      <c r="E15" s="313">
        <f t="shared" si="0"/>
        <v>2200</v>
      </c>
      <c r="F15" s="311"/>
      <c r="G15" s="315">
        <f ca="1">DATA!$D$11/1000000</f>
        <v>0.14829802130999997</v>
      </c>
      <c r="H15" s="315">
        <f>C15*DATA!$D$5/1000000</f>
        <v>2.8620901211405818</v>
      </c>
      <c r="I15" s="315">
        <f>(C15*DATA!$D$5*DATA!$D$7)/1000000</f>
        <v>6.4397027725663095E-2</v>
      </c>
      <c r="J15" s="313">
        <f t="shared" ca="1" si="1"/>
        <v>3.074785170176245</v>
      </c>
      <c r="K15" s="311"/>
      <c r="L15" s="313">
        <f>((D15*DATA!$D$23)/1000000)+((E15*DATA!$D$24)/1000000)</f>
        <v>3.8140079999999998</v>
      </c>
      <c r="M15" s="313">
        <f t="shared" si="2"/>
        <v>3.8140079999999998</v>
      </c>
      <c r="N15" s="313">
        <f t="shared" ca="1" si="6"/>
        <v>0.73922282982375487</v>
      </c>
      <c r="O15" s="312">
        <f>1/(1+'[93]Asumsi I'!$C$3)^(KKF!A15)</f>
        <v>0.4038832279793691</v>
      </c>
      <c r="P15" s="313">
        <f t="shared" ca="1" si="7"/>
        <v>0.29855970270526194</v>
      </c>
      <c r="Q15" s="313">
        <f t="shared" ca="1" si="9"/>
        <v>2.030174206599944</v>
      </c>
      <c r="S15" s="301" t="str">
        <f t="shared" ca="1" si="3"/>
        <v/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2640</v>
      </c>
      <c r="D16" s="313">
        <f t="shared" si="5"/>
        <v>440</v>
      </c>
      <c r="E16" s="313">
        <f t="shared" si="0"/>
        <v>2200</v>
      </c>
      <c r="F16" s="311"/>
      <c r="G16" s="315">
        <f ca="1">DATA!$D$11/1000000</f>
        <v>0.14829802130999997</v>
      </c>
      <c r="H16" s="315">
        <f>C16*DATA!$D$5/1000000</f>
        <v>2.8620901211405818</v>
      </c>
      <c r="I16" s="315">
        <f>(C16*DATA!$D$5*DATA!$D$7)/1000000</f>
        <v>6.4397027725663095E-2</v>
      </c>
      <c r="J16" s="313">
        <f t="shared" ca="1" si="1"/>
        <v>3.074785170176245</v>
      </c>
      <c r="K16" s="311"/>
      <c r="L16" s="313">
        <f>((D16*DATA!$D$23)/1000000)+((E16*DATA!$D$24)/1000000)</f>
        <v>3.8140079999999998</v>
      </c>
      <c r="M16" s="313">
        <f t="shared" si="2"/>
        <v>3.8140079999999998</v>
      </c>
      <c r="N16" s="313">
        <f t="shared" ca="1" si="6"/>
        <v>0.73922282982375487</v>
      </c>
      <c r="O16" s="312">
        <f>1/(1+'[93]Asumsi I'!$C$3)^(KKF!A16)</f>
        <v>0.36061002498157957</v>
      </c>
      <c r="P16" s="313">
        <f t="shared" ca="1" si="7"/>
        <v>0.2665711631296982</v>
      </c>
      <c r="Q16" s="313">
        <f t="shared" ca="1" si="9"/>
        <v>2.2967453697296421</v>
      </c>
      <c r="S16" s="301" t="str">
        <f t="shared" ca="1" si="3"/>
        <v/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2640</v>
      </c>
      <c r="D17" s="313">
        <f t="shared" si="5"/>
        <v>440</v>
      </c>
      <c r="E17" s="313">
        <f t="shared" si="0"/>
        <v>2200</v>
      </c>
      <c r="F17" s="311"/>
      <c r="G17" s="315">
        <f ca="1">DATA!$D$11/1000000</f>
        <v>0.14829802130999997</v>
      </c>
      <c r="H17" s="315">
        <f>C17*DATA!$D$5/1000000</f>
        <v>2.8620901211405818</v>
      </c>
      <c r="I17" s="315">
        <f>(C17*DATA!$D$5*DATA!$D$7)/1000000</f>
        <v>6.4397027725663095E-2</v>
      </c>
      <c r="J17" s="313">
        <f t="shared" ca="1" si="1"/>
        <v>3.074785170176245</v>
      </c>
      <c r="K17" s="311"/>
      <c r="L17" s="313">
        <f>((D17*DATA!$D$23)/1000000)+((E17*DATA!$D$24)/1000000)</f>
        <v>3.8140079999999998</v>
      </c>
      <c r="M17" s="313">
        <f t="shared" si="2"/>
        <v>3.8140079999999998</v>
      </c>
      <c r="N17" s="313">
        <f t="shared" ca="1" si="6"/>
        <v>0.73922282982375487</v>
      </c>
      <c r="O17" s="312">
        <f>1/(1+'[93]Asumsi I'!$C$3)^(KKF!A17)</f>
        <v>0.32197323659069599</v>
      </c>
      <c r="P17" s="313">
        <f t="shared" ca="1" si="7"/>
        <v>0.23800996708008762</v>
      </c>
      <c r="Q17" s="313">
        <f t="shared" ca="1" si="9"/>
        <v>2.5347553368097295</v>
      </c>
      <c r="S17" s="301" t="str">
        <f t="shared" ca="1" si="3"/>
        <v/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2640</v>
      </c>
      <c r="D18" s="313">
        <f t="shared" si="5"/>
        <v>440</v>
      </c>
      <c r="E18" s="313">
        <f t="shared" si="0"/>
        <v>2200</v>
      </c>
      <c r="F18" s="311"/>
      <c r="G18" s="315">
        <f ca="1">DATA!$D$11/1000000</f>
        <v>0.14829802130999997</v>
      </c>
      <c r="H18" s="315">
        <f>C18*DATA!$D$5/1000000</f>
        <v>2.8620901211405818</v>
      </c>
      <c r="I18" s="315">
        <f>(C18*DATA!$D$5*DATA!$D$7)/1000000</f>
        <v>6.4397027725663095E-2</v>
      </c>
      <c r="J18" s="313">
        <f t="shared" ca="1" si="1"/>
        <v>3.074785170176245</v>
      </c>
      <c r="K18" s="311"/>
      <c r="L18" s="313">
        <f>((D18*DATA!$D$23)/1000000)+((E18*DATA!$D$24)/1000000)</f>
        <v>3.8140079999999998</v>
      </c>
      <c r="M18" s="313">
        <f t="shared" si="2"/>
        <v>3.8140079999999998</v>
      </c>
      <c r="N18" s="313">
        <f t="shared" ca="1" si="6"/>
        <v>0.73922282982375487</v>
      </c>
      <c r="O18" s="312">
        <f>1/(1+'[93]Asumsi I'!$C$3)^(KKF!A18)</f>
        <v>0.28747610409883567</v>
      </c>
      <c r="P18" s="313">
        <f t="shared" ca="1" si="7"/>
        <v>0.21250889917864965</v>
      </c>
      <c r="Q18" s="313">
        <f t="shared" ca="1" si="9"/>
        <v>2.747264235988379</v>
      </c>
      <c r="S18" s="301" t="str">
        <f t="shared" ca="1" si="3"/>
        <v/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2640</v>
      </c>
      <c r="D19" s="313">
        <f t="shared" si="5"/>
        <v>440</v>
      </c>
      <c r="E19" s="313">
        <f t="shared" si="0"/>
        <v>2200</v>
      </c>
      <c r="F19" s="311"/>
      <c r="G19" s="315">
        <f ca="1">DATA!$D$11/1000000</f>
        <v>0.14829802130999997</v>
      </c>
      <c r="H19" s="315">
        <f>C19*DATA!$D$5/1000000</f>
        <v>2.8620901211405818</v>
      </c>
      <c r="I19" s="315">
        <f>(C19*DATA!$D$5*DATA!$D$7)/1000000</f>
        <v>6.4397027725663095E-2</v>
      </c>
      <c r="J19" s="313">
        <f t="shared" ca="1" si="1"/>
        <v>3.074785170176245</v>
      </c>
      <c r="K19" s="311"/>
      <c r="L19" s="313">
        <f>((D19*DATA!$D$23)/1000000)+((E19*DATA!$D$24)/1000000)</f>
        <v>3.8140079999999998</v>
      </c>
      <c r="M19" s="313">
        <f t="shared" si="2"/>
        <v>3.8140079999999998</v>
      </c>
      <c r="N19" s="313">
        <f t="shared" ca="1" si="6"/>
        <v>0.73922282982375487</v>
      </c>
      <c r="O19" s="312">
        <f>1/(1+'[93]Asumsi I'!$C$3)^(KKF!A19)</f>
        <v>0.25667509294538904</v>
      </c>
      <c r="P19" s="313">
        <f t="shared" ca="1" si="7"/>
        <v>0.18974008855236579</v>
      </c>
      <c r="Q19" s="313">
        <f t="shared" ca="1" si="9"/>
        <v>2.9370043245407449</v>
      </c>
      <c r="S19" s="301" t="str">
        <f t="shared" ca="1" si="3"/>
        <v/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2640</v>
      </c>
      <c r="D20" s="313">
        <f t="shared" si="5"/>
        <v>440</v>
      </c>
      <c r="E20" s="313">
        <f t="shared" si="0"/>
        <v>2200</v>
      </c>
      <c r="F20" s="311"/>
      <c r="G20" s="315">
        <f ca="1">DATA!$D$11/1000000</f>
        <v>0.14829802130999997</v>
      </c>
      <c r="H20" s="315">
        <f>C20*DATA!$D$5/1000000</f>
        <v>2.8620901211405818</v>
      </c>
      <c r="I20" s="315">
        <f>(C20*DATA!$D$5*DATA!$D$7)/1000000</f>
        <v>6.4397027725663095E-2</v>
      </c>
      <c r="J20" s="313">
        <f t="shared" ca="1" si="1"/>
        <v>3.074785170176245</v>
      </c>
      <c r="K20" s="311"/>
      <c r="L20" s="313">
        <f>((D20*DATA!$D$23)/1000000)+((E20*DATA!$D$24)/1000000)</f>
        <v>3.8140079999999998</v>
      </c>
      <c r="M20" s="313">
        <f t="shared" si="2"/>
        <v>3.8140079999999998</v>
      </c>
      <c r="N20" s="313">
        <f t="shared" ca="1" si="6"/>
        <v>0.73922282982375487</v>
      </c>
      <c r="O20" s="312">
        <f>1/(1+'[93]Asumsi I'!$C$3)^(KKF!A20)</f>
        <v>0.22917419012981158</v>
      </c>
      <c r="P20" s="313">
        <f t="shared" ca="1" si="7"/>
        <v>0.16941079335032655</v>
      </c>
      <c r="Q20" s="313">
        <f t="shared" ca="1" si="9"/>
        <v>3.1064151178910713</v>
      </c>
      <c r="S20" s="301" t="str">
        <f t="shared" ca="1" si="3"/>
        <v/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2640</v>
      </c>
      <c r="D21" s="313">
        <f t="shared" si="5"/>
        <v>440</v>
      </c>
      <c r="E21" s="313">
        <f t="shared" si="0"/>
        <v>2200</v>
      </c>
      <c r="F21" s="311"/>
      <c r="G21" s="315">
        <f ca="1">DATA!$D$11/1000000</f>
        <v>0.14829802130999997</v>
      </c>
      <c r="H21" s="315">
        <f>C21*DATA!$D$5/1000000</f>
        <v>2.8620901211405818</v>
      </c>
      <c r="I21" s="315">
        <f>(C21*DATA!$D$5*DATA!$D$7)/1000000</f>
        <v>6.4397027725663095E-2</v>
      </c>
      <c r="J21" s="313">
        <f t="shared" ca="1" si="1"/>
        <v>3.074785170176245</v>
      </c>
      <c r="K21" s="311"/>
      <c r="L21" s="313">
        <f>((D21*DATA!$D$23)/1000000)+((E21*DATA!$D$24)/1000000)</f>
        <v>3.8140079999999998</v>
      </c>
      <c r="M21" s="313">
        <f t="shared" si="2"/>
        <v>3.8140079999999998</v>
      </c>
      <c r="N21" s="313">
        <f t="shared" ca="1" si="6"/>
        <v>0.73922282982375487</v>
      </c>
      <c r="O21" s="312">
        <f>1/(1+'[93]Asumsi I'!$C$3)^(KKF!A21)</f>
        <v>0.20461981261590317</v>
      </c>
      <c r="P21" s="313">
        <f t="shared" ca="1" si="7"/>
        <v>0.15125963691993441</v>
      </c>
      <c r="Q21" s="313">
        <f t="shared" ca="1" si="9"/>
        <v>3.2576747548110059</v>
      </c>
      <c r="S21" s="301" t="str">
        <f t="shared" ca="1" si="3"/>
        <v/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2640</v>
      </c>
      <c r="D22" s="313">
        <f t="shared" si="5"/>
        <v>440</v>
      </c>
      <c r="E22" s="313">
        <f t="shared" si="0"/>
        <v>2200</v>
      </c>
      <c r="F22" s="311"/>
      <c r="G22" s="315">
        <f ca="1">DATA!$D$11/1000000</f>
        <v>0.14829802130999997</v>
      </c>
      <c r="H22" s="315">
        <f>C22*DATA!$D$5/1000000</f>
        <v>2.8620901211405818</v>
      </c>
      <c r="I22" s="315">
        <f>(C22*DATA!$D$5*DATA!$D$7)/1000000</f>
        <v>6.4397027725663095E-2</v>
      </c>
      <c r="J22" s="313">
        <f t="shared" ca="1" si="1"/>
        <v>3.074785170176245</v>
      </c>
      <c r="K22" s="311"/>
      <c r="L22" s="313">
        <f>((D22*DATA!$D$23)/1000000)+((E22*DATA!$D$24)/1000000)</f>
        <v>3.8140079999999998</v>
      </c>
      <c r="M22" s="313">
        <f t="shared" si="2"/>
        <v>3.8140079999999998</v>
      </c>
      <c r="N22" s="313">
        <f t="shared" ca="1" si="6"/>
        <v>0.73922282982375487</v>
      </c>
      <c r="O22" s="312">
        <f>1/(1+'[93]Asumsi I'!$C$3)^(KKF!A22)</f>
        <v>0.18269626126419927</v>
      </c>
      <c r="P22" s="313">
        <f t="shared" ca="1" si="7"/>
        <v>0.13505324724994144</v>
      </c>
      <c r="Q22" s="313">
        <f t="shared" ca="1" si="9"/>
        <v>3.3927280020609474</v>
      </c>
      <c r="S22" s="301" t="str">
        <f t="shared" ca="1" si="3"/>
        <v/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2640</v>
      </c>
      <c r="D23" s="313">
        <f t="shared" si="5"/>
        <v>440</v>
      </c>
      <c r="E23" s="313">
        <f t="shared" si="0"/>
        <v>2200</v>
      </c>
      <c r="F23" s="311"/>
      <c r="G23" s="315">
        <f ca="1">DATA!$D$11/1000000</f>
        <v>0.14829802130999997</v>
      </c>
      <c r="H23" s="315">
        <f>C23*DATA!$D$5/1000000</f>
        <v>2.8620901211405818</v>
      </c>
      <c r="I23" s="315">
        <f>(C23*DATA!$D$5*DATA!$D$7)/1000000</f>
        <v>6.4397027725663095E-2</v>
      </c>
      <c r="J23" s="313">
        <f t="shared" ca="1" si="1"/>
        <v>3.074785170176245</v>
      </c>
      <c r="K23" s="311"/>
      <c r="L23" s="313">
        <f>((D23*DATA!$D$23)/1000000)+((E23*DATA!$D$24)/1000000)</f>
        <v>3.8140079999999998</v>
      </c>
      <c r="M23" s="313">
        <f t="shared" si="2"/>
        <v>3.8140079999999998</v>
      </c>
      <c r="N23" s="313">
        <f t="shared" ca="1" si="6"/>
        <v>0.73922282982375487</v>
      </c>
      <c r="O23" s="312">
        <f>1/(1+'[93]Asumsi I'!$C$3)^(KKF!A23)</f>
        <v>0.16312166184303503</v>
      </c>
      <c r="P23" s="313">
        <f t="shared" ca="1" si="7"/>
        <v>0.12058325647316197</v>
      </c>
      <c r="Q23" s="313">
        <f t="shared" ca="1" si="9"/>
        <v>3.5133112585341095</v>
      </c>
      <c r="S23" s="301" t="str">
        <f t="shared" ca="1" si="3"/>
        <v/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2640</v>
      </c>
      <c r="D24" s="313">
        <f t="shared" si="5"/>
        <v>440</v>
      </c>
      <c r="E24" s="313">
        <f t="shared" si="0"/>
        <v>2200</v>
      </c>
      <c r="F24" s="311"/>
      <c r="G24" s="315">
        <f ca="1">DATA!$D$11/1000000</f>
        <v>0.14829802130999997</v>
      </c>
      <c r="H24" s="315">
        <f>C24*DATA!$D$5/1000000</f>
        <v>2.8620901211405818</v>
      </c>
      <c r="I24" s="315">
        <f>(C24*DATA!$D$5*DATA!$D$7)/1000000</f>
        <v>6.4397027725663095E-2</v>
      </c>
      <c r="J24" s="313">
        <f t="shared" ca="1" si="1"/>
        <v>3.074785170176245</v>
      </c>
      <c r="K24" s="311"/>
      <c r="L24" s="313">
        <f>((D24*DATA!$D$23)/1000000)+((E24*DATA!$D$24)/1000000)</f>
        <v>3.8140079999999998</v>
      </c>
      <c r="M24" s="313">
        <f t="shared" si="2"/>
        <v>3.8140079999999998</v>
      </c>
      <c r="N24" s="313">
        <f t="shared" ca="1" si="6"/>
        <v>0.73922282982375487</v>
      </c>
      <c r="O24" s="312">
        <f>1/(1+'[93]Asumsi I'!$C$3)^(KKF!A24)</f>
        <v>0.14564434093128129</v>
      </c>
      <c r="P24" s="313">
        <f t="shared" ca="1" si="7"/>
        <v>0.10766362185103748</v>
      </c>
      <c r="Q24" s="313">
        <f t="shared" ca="1" si="9"/>
        <v>3.6209748803851469</v>
      </c>
      <c r="S24" s="301" t="str">
        <f t="shared" ca="1" si="3"/>
        <v/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2640</v>
      </c>
      <c r="D25" s="313">
        <f t="shared" si="5"/>
        <v>440</v>
      </c>
      <c r="E25" s="313">
        <f t="shared" si="0"/>
        <v>2200</v>
      </c>
      <c r="F25" s="311"/>
      <c r="G25" s="315">
        <f ca="1">DATA!$D$11/1000000</f>
        <v>0.14829802130999997</v>
      </c>
      <c r="H25" s="315">
        <f>C25*DATA!$D$5/1000000</f>
        <v>2.8620901211405818</v>
      </c>
      <c r="I25" s="315">
        <f>(C25*DATA!$D$5*DATA!$D$7)/1000000</f>
        <v>6.4397027725663095E-2</v>
      </c>
      <c r="J25" s="313">
        <f t="shared" ca="1" si="1"/>
        <v>3.074785170176245</v>
      </c>
      <c r="K25" s="311"/>
      <c r="L25" s="313">
        <f>((D25*DATA!$D$23)/1000000)+((E25*DATA!$D$24)/1000000)</f>
        <v>3.8140079999999998</v>
      </c>
      <c r="M25" s="313">
        <f t="shared" si="2"/>
        <v>3.8140079999999998</v>
      </c>
      <c r="N25" s="313">
        <f t="shared" ca="1" si="6"/>
        <v>0.73922282982375487</v>
      </c>
      <c r="O25" s="312">
        <f>1/(1+'[93]Asumsi I'!$C$3)^(KKF!A25)</f>
        <v>0.13003959011721541</v>
      </c>
      <c r="P25" s="313">
        <f t="shared" ca="1" si="7"/>
        <v>9.612823379556916E-2</v>
      </c>
      <c r="Q25" s="313">
        <f t="shared" ca="1" si="9"/>
        <v>3.7171031141807163</v>
      </c>
      <c r="S25" s="301" t="str">
        <f t="shared" ca="1" si="3"/>
        <v/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2640</v>
      </c>
      <c r="D26" s="313">
        <f t="shared" si="5"/>
        <v>440</v>
      </c>
      <c r="E26" s="313">
        <f t="shared" si="0"/>
        <v>2200</v>
      </c>
      <c r="F26" s="311"/>
      <c r="G26" s="315">
        <f ca="1">DATA!$D$11/1000000</f>
        <v>0.14829802130999997</v>
      </c>
      <c r="H26" s="315">
        <f>C26*DATA!$D$5/1000000</f>
        <v>2.8620901211405818</v>
      </c>
      <c r="I26" s="315">
        <f>(C26*DATA!$D$5*DATA!$D$7)/1000000</f>
        <v>6.4397027725663095E-2</v>
      </c>
      <c r="J26" s="313">
        <f t="shared" ca="1" si="1"/>
        <v>3.074785170176245</v>
      </c>
      <c r="K26" s="311"/>
      <c r="L26" s="313">
        <f>((D26*DATA!$D$23)/1000000)+((E26*DATA!$D$24)/1000000)</f>
        <v>3.8140079999999998</v>
      </c>
      <c r="M26" s="313">
        <f t="shared" si="2"/>
        <v>3.8140079999999998</v>
      </c>
      <c r="N26" s="313">
        <f t="shared" ca="1" si="6"/>
        <v>0.73922282982375487</v>
      </c>
      <c r="O26" s="312">
        <f>1/(1+'[93]Asumsi I'!$C$3)^(KKF!A26)</f>
        <v>0.1161067768903709</v>
      </c>
      <c r="P26" s="313">
        <f t="shared" ca="1" si="7"/>
        <v>8.5828780174615316E-2</v>
      </c>
      <c r="Q26" s="313">
        <f t="shared" ca="1" si="9"/>
        <v>3.8029318943553316</v>
      </c>
      <c r="S26" s="301" t="str">
        <f t="shared" ca="1" si="3"/>
        <v/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2640</v>
      </c>
      <c r="D27" s="313">
        <f t="shared" si="5"/>
        <v>440</v>
      </c>
      <c r="E27" s="313">
        <f t="shared" si="0"/>
        <v>2200</v>
      </c>
      <c r="F27" s="311"/>
      <c r="G27" s="315">
        <f ca="1">DATA!$D$11/1000000</f>
        <v>0.14829802130999997</v>
      </c>
      <c r="H27" s="315">
        <f>C27*DATA!$D$5/1000000</f>
        <v>2.8620901211405818</v>
      </c>
      <c r="I27" s="315">
        <f>(C27*DATA!$D$5*DATA!$D$7)/1000000</f>
        <v>6.4397027725663095E-2</v>
      </c>
      <c r="J27" s="313">
        <f t="shared" ca="1" si="1"/>
        <v>3.074785170176245</v>
      </c>
      <c r="K27" s="311"/>
      <c r="L27" s="313">
        <f>((D27*DATA!$D$23)/1000000)+((E27*DATA!$D$24)/1000000)</f>
        <v>3.8140079999999998</v>
      </c>
      <c r="M27" s="313">
        <f t="shared" si="2"/>
        <v>3.8140079999999998</v>
      </c>
      <c r="N27" s="313">
        <f t="shared" ca="1" si="6"/>
        <v>0.73922282982375487</v>
      </c>
      <c r="O27" s="312">
        <f>1/(1+'[93]Asumsi I'!$C$3)^(KKF!A27)</f>
        <v>0.1036667650806883</v>
      </c>
      <c r="P27" s="313">
        <f t="shared" ca="1" si="7"/>
        <v>7.6632839441620818E-2</v>
      </c>
      <c r="Q27" s="313">
        <f t="shared" ca="1" si="9"/>
        <v>3.8795647337969523</v>
      </c>
      <c r="S27" s="301" t="str">
        <f t="shared" ca="1" si="3"/>
        <v/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2640</v>
      </c>
      <c r="D28" s="313">
        <f t="shared" si="5"/>
        <v>440</v>
      </c>
      <c r="E28" s="313">
        <f t="shared" si="0"/>
        <v>2200</v>
      </c>
      <c r="F28" s="311"/>
      <c r="G28" s="315">
        <f ca="1">DATA!$D$11/1000000</f>
        <v>0.14829802130999997</v>
      </c>
      <c r="H28" s="315">
        <f>C28*DATA!$D$5/1000000</f>
        <v>2.8620901211405818</v>
      </c>
      <c r="I28" s="315">
        <f>(C28*DATA!$D$5*DATA!$D$7)/1000000</f>
        <v>6.4397027725663095E-2</v>
      </c>
      <c r="J28" s="313">
        <f t="shared" ca="1" si="1"/>
        <v>3.074785170176245</v>
      </c>
      <c r="K28" s="311"/>
      <c r="L28" s="313">
        <f>((D28*DATA!$D$23)/1000000)+((E28*DATA!$D$24)/1000000)</f>
        <v>3.8140079999999998</v>
      </c>
      <c r="M28" s="313">
        <f t="shared" si="2"/>
        <v>3.8140079999999998</v>
      </c>
      <c r="N28" s="313">
        <f t="shared" ca="1" si="6"/>
        <v>0.73922282982375487</v>
      </c>
      <c r="O28" s="312">
        <f>1/(1+'[93]Asumsi I'!$C$3)^(KKF!A28)</f>
        <v>9.2559611679185971E-2</v>
      </c>
      <c r="P28" s="313">
        <f t="shared" ca="1" si="7"/>
        <v>6.842217807287572E-2</v>
      </c>
      <c r="Q28" s="313">
        <f t="shared" ca="1" si="9"/>
        <v>3.9479869118698279</v>
      </c>
      <c r="S28" s="301" t="str">
        <f t="shared" ca="1" si="3"/>
        <v/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2640</v>
      </c>
      <c r="D29" s="313">
        <f t="shared" si="5"/>
        <v>440</v>
      </c>
      <c r="E29" s="313">
        <f t="shared" si="0"/>
        <v>2200</v>
      </c>
      <c r="F29" s="311"/>
      <c r="G29" s="315">
        <f ca="1">DATA!$D$11/1000000</f>
        <v>0.14829802130999997</v>
      </c>
      <c r="H29" s="315">
        <f>C29*DATA!$D$5/1000000</f>
        <v>2.8620901211405818</v>
      </c>
      <c r="I29" s="315">
        <f>(C29*DATA!$D$5*DATA!$D$7)/1000000</f>
        <v>6.4397027725663095E-2</v>
      </c>
      <c r="J29" s="313">
        <f t="shared" ca="1" si="1"/>
        <v>3.074785170176245</v>
      </c>
      <c r="K29" s="311"/>
      <c r="L29" s="313">
        <f>((D29*DATA!$D$23)/1000000)+((E29*DATA!$D$24)/1000000)</f>
        <v>3.8140079999999998</v>
      </c>
      <c r="M29" s="313">
        <f t="shared" si="2"/>
        <v>3.8140079999999998</v>
      </c>
      <c r="N29" s="313">
        <f t="shared" ca="1" si="6"/>
        <v>0.73922282982375487</v>
      </c>
      <c r="O29" s="312">
        <f>1/(1+'[93]Asumsi I'!$C$3)^(KKF!A29)</f>
        <v>8.2642510427844609E-2</v>
      </c>
      <c r="P29" s="313">
        <f t="shared" ca="1" si="7"/>
        <v>6.1091230422210464E-2</v>
      </c>
      <c r="Q29" s="313">
        <f t="shared" ca="1" si="9"/>
        <v>4.0090781422920383</v>
      </c>
      <c r="S29" s="301" t="str">
        <f t="shared" ca="1" si="3"/>
        <v/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2640</v>
      </c>
      <c r="D30" s="313">
        <f t="shared" si="5"/>
        <v>440</v>
      </c>
      <c r="E30" s="313">
        <f t="shared" si="0"/>
        <v>2200</v>
      </c>
      <c r="F30" s="311"/>
      <c r="G30" s="315">
        <f ca="1">DATA!$D$11/1000000</f>
        <v>0.14829802130999997</v>
      </c>
      <c r="H30" s="315">
        <f>C30*DATA!$D$5/1000000</f>
        <v>2.8620901211405818</v>
      </c>
      <c r="I30" s="315">
        <f>(C30*DATA!$D$5*DATA!$D$7)/1000000</f>
        <v>6.4397027725663095E-2</v>
      </c>
      <c r="J30" s="313">
        <f t="shared" ca="1" si="1"/>
        <v>3.074785170176245</v>
      </c>
      <c r="K30" s="311"/>
      <c r="L30" s="313">
        <f>((D30*DATA!$D$23)/1000000)+((E30*DATA!$D$24)/1000000)</f>
        <v>3.8140079999999998</v>
      </c>
      <c r="M30" s="313">
        <f t="shared" si="2"/>
        <v>3.8140079999999998</v>
      </c>
      <c r="N30" s="313">
        <f t="shared" ca="1" si="6"/>
        <v>0.73922282982375487</v>
      </c>
      <c r="O30" s="312">
        <f>1/(1+'[93]Asumsi I'!$C$3)^(KKF!A30)</f>
        <v>7.3787955739146982E-2</v>
      </c>
      <c r="P30" s="313">
        <f t="shared" ca="1" si="7"/>
        <v>5.4545741448402206E-2</v>
      </c>
      <c r="Q30" s="313">
        <f t="shared" ca="1" si="9"/>
        <v>4.0636238837404406</v>
      </c>
      <c r="S30" s="301" t="str">
        <f t="shared" ca="1" si="3"/>
        <v/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2640</v>
      </c>
      <c r="D31" s="313">
        <f t="shared" si="5"/>
        <v>440</v>
      </c>
      <c r="E31" s="313">
        <f t="shared" si="0"/>
        <v>2200</v>
      </c>
      <c r="F31" s="311"/>
      <c r="G31" s="315">
        <f ca="1">DATA!$D$11/1000000</f>
        <v>0.14829802130999997</v>
      </c>
      <c r="H31" s="315">
        <f>C31*DATA!$D$5/1000000</f>
        <v>2.8620901211405818</v>
      </c>
      <c r="I31" s="315">
        <f>(C31*DATA!$D$5*DATA!$D$7)/1000000</f>
        <v>6.4397027725663095E-2</v>
      </c>
      <c r="J31" s="313">
        <f t="shared" ca="1" si="1"/>
        <v>3.074785170176245</v>
      </c>
      <c r="K31" s="311"/>
      <c r="L31" s="313">
        <f>((D31*DATA!$D$23)/1000000)+((E31*DATA!$D$24)/1000000)</f>
        <v>3.8140079999999998</v>
      </c>
      <c r="M31" s="313">
        <f t="shared" si="2"/>
        <v>3.8140079999999998</v>
      </c>
      <c r="N31" s="313">
        <f t="shared" ca="1" si="6"/>
        <v>0.73922282982375487</v>
      </c>
      <c r="O31" s="312">
        <f>1/(1+'[93]Asumsi I'!$C$3)^(KKF!A31)</f>
        <v>6.5882103338524081E-2</v>
      </c>
      <c r="P31" s="313">
        <f t="shared" ca="1" si="7"/>
        <v>4.8701554864644822E-2</v>
      </c>
      <c r="Q31" s="313">
        <f ca="1">Q30+P31</f>
        <v>4.1123254386050858</v>
      </c>
      <c r="S31" s="301" t="str">
        <f t="shared" ca="1" si="3"/>
        <v/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2640</v>
      </c>
      <c r="D32" s="313">
        <f t="shared" si="5"/>
        <v>440</v>
      </c>
      <c r="E32" s="313">
        <f t="shared" si="0"/>
        <v>2200</v>
      </c>
      <c r="F32" s="311"/>
      <c r="G32" s="315">
        <f ca="1">DATA!$D$11/1000000</f>
        <v>0.14829802130999997</v>
      </c>
      <c r="H32" s="315">
        <f>C32*DATA!$D$5/1000000</f>
        <v>2.8620901211405818</v>
      </c>
      <c r="I32" s="315">
        <f>(C32*DATA!$D$5*DATA!$D$7)/1000000</f>
        <v>6.4397027725663095E-2</v>
      </c>
      <c r="J32" s="313">
        <f t="shared" ca="1" si="1"/>
        <v>3.074785170176245</v>
      </c>
      <c r="K32" s="311"/>
      <c r="L32" s="313">
        <f>((D32*DATA!$D$23)/1000000)+((E32*DATA!$D$24)/1000000)</f>
        <v>3.8140079999999998</v>
      </c>
      <c r="M32" s="313">
        <f t="shared" si="2"/>
        <v>3.8140079999999998</v>
      </c>
      <c r="N32" s="313">
        <f t="shared" ca="1" si="6"/>
        <v>0.73922282982375487</v>
      </c>
      <c r="O32" s="312">
        <f>1/(1+'[93]Asumsi I'!$C$3)^(KKF!A32)</f>
        <v>5.8823306552253637E-2</v>
      </c>
      <c r="P32" s="313">
        <f t="shared" ca="1" si="7"/>
        <v>4.3483531129147157E-2</v>
      </c>
      <c r="Q32" s="313">
        <f ca="1">Q31+P32</f>
        <v>4.1558089697342329</v>
      </c>
      <c r="S32" s="301" t="str">
        <f t="shared" ca="1" si="3"/>
        <v/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592" t="s">
        <v>1374</v>
      </c>
      <c r="G33" s="592"/>
      <c r="H33" s="592"/>
      <c r="I33" s="321"/>
      <c r="J33" s="322">
        <f ca="1">SUM(J7:J32)</f>
        <v>86.383819773793562</v>
      </c>
      <c r="K33" s="592" t="s">
        <v>1375</v>
      </c>
      <c r="L33" s="592"/>
      <c r="M33" s="322">
        <f>SUM(M7:M32)</f>
        <v>103.22237200000002</v>
      </c>
      <c r="N33" s="320"/>
      <c r="O33" s="320"/>
      <c r="P33" s="323"/>
      <c r="Q33" s="323"/>
      <c r="S33" s="301">
        <f ca="1">COUNTIF(S7:S32,"a")</f>
        <v>3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12.870531232992175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>
        <f ca="1">AVERAGE(T7:T32)</f>
        <v>3.0016864891530104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1.1949271549961582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3.7105437229769911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>
        <f ca="1">IRR(N7:N32,DATA!D4)</f>
        <v>0.45015002770596735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77"/>
  <sheetViews>
    <sheetView showGridLines="0" zoomScale="70" zoomScaleNormal="70" zoomScaleSheetLayoutView="70" workbookViewId="0">
      <pane ySplit="13" topLeftCell="A35" activePane="bottomLeft" state="frozen"/>
      <selection activeCell="H1093" sqref="H1093"/>
      <selection pane="bottomLeft" activeCell="C17" sqref="C17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9" customWidth="1"/>
    <col min="4" max="4" width="13.7109375" style="399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15" t="s">
        <v>1036</v>
      </c>
      <c r="P3" s="615"/>
      <c r="Q3" s="343"/>
      <c r="T3" s="341"/>
      <c r="U3" s="342" t="s">
        <v>1041</v>
      </c>
      <c r="V3" s="341"/>
    </row>
    <row r="4" spans="1:22" ht="15.75" customHeight="1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599" t="str">
        <f>DATA!D14</f>
        <v>T.NOTOSUKARJO</v>
      </c>
      <c r="H6" s="599"/>
      <c r="I6" s="599"/>
      <c r="J6" s="599"/>
      <c r="K6" s="599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1628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1548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18" t="s">
        <v>0</v>
      </c>
      <c r="C11" s="620" t="s">
        <v>1</v>
      </c>
      <c r="D11" s="609" t="s">
        <v>42</v>
      </c>
      <c r="E11" s="609" t="s">
        <v>43</v>
      </c>
      <c r="F11" s="609" t="s">
        <v>2</v>
      </c>
      <c r="G11" s="623" t="s">
        <v>41</v>
      </c>
      <c r="H11" s="609" t="s">
        <v>3</v>
      </c>
      <c r="I11" s="609"/>
      <c r="J11" s="609"/>
      <c r="K11" s="610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19"/>
      <c r="C12" s="621"/>
      <c r="D12" s="613"/>
      <c r="E12" s="613"/>
      <c r="F12" s="613"/>
      <c r="G12" s="624"/>
      <c r="H12" s="611" t="s">
        <v>46</v>
      </c>
      <c r="I12" s="611" t="s">
        <v>5</v>
      </c>
      <c r="J12" s="613" t="s">
        <v>47</v>
      </c>
      <c r="K12" s="614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19"/>
      <c r="C13" s="622"/>
      <c r="D13" s="613"/>
      <c r="E13" s="613"/>
      <c r="F13" s="613"/>
      <c r="G13" s="625"/>
      <c r="H13" s="612"/>
      <c r="I13" s="612"/>
      <c r="J13" s="613"/>
      <c r="K13" s="614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2" t="s">
        <v>480</v>
      </c>
      <c r="C14" s="483" t="s">
        <v>1612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4"/>
      <c r="C15" s="109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:H20" ca="1" si="4">IF(OR(D15="MDU",D15="MDU-KD"),(IF($O$3="RAB NON MDU","PLN KD",G15*F15)),0)</f>
        <v>0</v>
      </c>
      <c r="I15" s="356">
        <f t="shared" ref="I15:I20" ca="1" si="5">IF(D15="HDW",G15*F15,0)</f>
        <v>0</v>
      </c>
      <c r="J15" s="356">
        <f t="shared" ref="J15:J20" ca="1" si="6">IF(D15="JASA",G15*F15,0)</f>
        <v>0</v>
      </c>
      <c r="K15" s="357">
        <f t="shared" ref="K15:K20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 t="e">
        <f>IF(AND(C16=0,#REF!=0,#REF!=0),"BLANKS",1)</f>
        <v>#REF!</v>
      </c>
      <c r="B16" s="482" t="s">
        <v>505</v>
      </c>
      <c r="C16" s="483" t="s">
        <v>1613</v>
      </c>
      <c r="D16" s="353" t="str">
        <f ca="1">IF(ISERROR(OFFSET('HARGA SATUAN'!$D$6,MATCH(RAB!C16,'HARGA SATUAN'!$C$7:$C$1492,0),0)),"",OFFSET('HARGA SATUAN'!$D$6,MATCH(RAB!C16,'HARGA SATUAN'!$C$7:$C$1492,0),0))</f>
        <v/>
      </c>
      <c r="E16" s="354" t="str">
        <f ca="1">IF(B16="+","Unit",IF(ISERROR(OFFSET('HARGA SATUAN'!$E$6,MATCH(RAB!C16,'HARGA SATUAN'!$C$7:$C$1492,0),0)),"",OFFSET('HARGA SATUAN'!$E$6,MATCH(RAB!C16,'HARGA SATUAN'!$C$7:$C$1492,0),0)))</f>
        <v/>
      </c>
      <c r="F16" s="361"/>
      <c r="G16" s="355">
        <f ca="1">IF(ISERROR(OFFSET('HARGA SATUAN'!$I$6,MATCH(RAB!C16,'HARGA SATUAN'!$C$7:$C$1492,0),0)),0,OFFSET('HARGA SATUAN'!$I$6,MATCH(RAB!C16,'HARGA SATUAN'!$C$7:$C$1492,0),0))</f>
        <v>0</v>
      </c>
      <c r="H16" s="356">
        <f t="shared" ca="1" si="4"/>
        <v>0</v>
      </c>
      <c r="I16" s="356">
        <f t="shared" ca="1" si="5"/>
        <v>0</v>
      </c>
      <c r="J16" s="356">
        <f t="shared" ca="1" si="6"/>
        <v>0</v>
      </c>
      <c r="K16" s="357">
        <f t="shared" ca="1" si="7"/>
        <v>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9"/>
      <c r="C17" s="490"/>
      <c r="D17" s="353" t="str">
        <f ca="1">IF(ISERROR(OFFSET('HARGA SATUAN'!$D$6,MATCH(RAB!C17,'HARGA SATUAN'!$C$7:$C$1492,0),0)),"",OFFSET('HARGA SATUAN'!$D$6,MATCH(RAB!C17,'HARGA SATUAN'!$C$7:$C$1492,0),0))</f>
        <v/>
      </c>
      <c r="E17" s="354" t="str">
        <f ca="1">IF(B17="+","Unit",IF(ISERROR(OFFSET('HARGA SATUAN'!$E$6,MATCH(RAB!C17,'HARGA SATUAN'!$C$7:$C$1492,0),0)),"",OFFSET('HARGA SATUAN'!$E$6,MATCH(RAB!C17,'HARGA SATUAN'!$C$7:$C$1492,0),0)))</f>
        <v/>
      </c>
      <c r="F17" s="361"/>
      <c r="G17" s="355">
        <f ca="1">IF(ISERROR(OFFSET('HARGA SATUAN'!$I$6,MATCH(RAB!C17,'HARGA SATUAN'!$C$7:$C$1492,0),0)),0,OFFSET('HARGA SATUAN'!$I$6,MATCH(RAB!C17,'HARGA SATUAN'!$C$7:$C$1492,0),0))</f>
        <v>0</v>
      </c>
      <c r="H17" s="356">
        <f t="shared" ca="1" si="4"/>
        <v>0</v>
      </c>
      <c r="I17" s="356">
        <f t="shared" ca="1" si="5"/>
        <v>0</v>
      </c>
      <c r="J17" s="356">
        <f t="shared" ca="1" si="6"/>
        <v>0</v>
      </c>
      <c r="K17" s="357">
        <f t="shared" ca="1" si="7"/>
        <v>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85" t="s">
        <v>524</v>
      </c>
      <c r="C18" s="486" t="s">
        <v>1618</v>
      </c>
      <c r="D18" s="353" t="str">
        <f ca="1">IF(ISERROR(OFFSET('HARGA SATUAN'!$D$6,MATCH(RAB!C18,'HARGA SATUAN'!$C$7:$C$1492,0),0)),"",OFFSET('HARGA SATUAN'!$D$6,MATCH(RAB!C18,'HARGA SATUAN'!$C$7:$C$1492,0),0))</f>
        <v/>
      </c>
      <c r="E18" s="354" t="str">
        <f ca="1">IF(B18="+","Unit",IF(ISERROR(OFFSET('HARGA SATUAN'!$E$6,MATCH(RAB!C18,'HARGA SATUAN'!$C$7:$C$1492,0),0)),"",OFFSET('HARGA SATUAN'!$E$6,MATCH(RAB!C18,'HARGA SATUAN'!$C$7:$C$1492,0),0)))</f>
        <v/>
      </c>
      <c r="F18" s="361"/>
      <c r="G18" s="355">
        <f ca="1">IF(ISERROR(OFFSET('HARGA SATUAN'!$I$6,MATCH(RAB!C18,'HARGA SATUAN'!$C$7:$C$1492,0),0)),0,OFFSET('HARGA SATUAN'!$I$6,MATCH(RAB!C18,'HARGA SATUAN'!$C$7:$C$1492,0),0))</f>
        <v>0</v>
      </c>
      <c r="H18" s="356">
        <f t="shared" ca="1" si="4"/>
        <v>0</v>
      </c>
      <c r="I18" s="356">
        <f t="shared" ca="1" si="5"/>
        <v>0</v>
      </c>
      <c r="J18" s="356">
        <f t="shared" ca="1" si="6"/>
        <v>0</v>
      </c>
      <c r="K18" s="357">
        <f t="shared" ca="1" si="7"/>
        <v>0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85"/>
      <c r="C19" s="486"/>
      <c r="D19" s="353"/>
      <c r="E19" s="354"/>
      <c r="F19" s="361"/>
      <c r="G19" s="355"/>
      <c r="H19" s="356"/>
      <c r="I19" s="356"/>
      <c r="J19" s="356"/>
      <c r="K19" s="357"/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/>
      <c r="B20" s="485" t="s">
        <v>526</v>
      </c>
      <c r="C20" s="486" t="s">
        <v>618</v>
      </c>
      <c r="D20" s="353" t="str">
        <f ca="1">IF(ISERROR(OFFSET('HARGA SATUAN'!$D$6,MATCH(RAB!C20,'HARGA SATUAN'!$C$7:$C$1492,0),0)),"",OFFSET('HARGA SATUAN'!$D$6,MATCH(RAB!C20,'HARGA SATUAN'!$C$7:$C$1492,0),0))</f>
        <v/>
      </c>
      <c r="E20" s="354">
        <f ca="1">IF(B20="+","Unit",IF(ISERROR(OFFSET('HARGA SATUAN'!$E$6,MATCH(RAB!C20,'HARGA SATUAN'!$C$7:$C$1492,0),0)),"",OFFSET('HARGA SATUAN'!$E$6,MATCH(RAB!C20,'HARGA SATUAN'!$C$7:$C$1492,0),0)))</f>
        <v>0</v>
      </c>
      <c r="F20" s="361"/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ca="1" si="4"/>
        <v>0</v>
      </c>
      <c r="I20" s="356">
        <f t="shared" ca="1" si="5"/>
        <v>0</v>
      </c>
      <c r="J20" s="356">
        <f t="shared" ca="1" si="6"/>
        <v>0</v>
      </c>
      <c r="K20" s="357">
        <f t="shared" ca="1" si="7"/>
        <v>0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485"/>
      <c r="C21" s="486"/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/>
      </c>
      <c r="F21" s="361"/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ref="H21" ca="1" si="8">IF(OR(D21="MDU",D21="MDU-KD"),(IF($O$3="RAB NON MDU","PLN KD",G21*F21)),0)</f>
        <v>0</v>
      </c>
      <c r="I21" s="356">
        <f t="shared" ref="I21" ca="1" si="9">IF(D21="HDW",G21*F21,0)</f>
        <v>0</v>
      </c>
      <c r="J21" s="356">
        <f t="shared" ref="J21" ca="1" si="10">IF(D21="JASA",G21*F21,0)</f>
        <v>0</v>
      </c>
      <c r="K21" s="357">
        <f t="shared" ref="K21" ca="1" si="11">SUM(H21:J21)</f>
        <v>0</v>
      </c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/>
      <c r="B22" s="495" t="s">
        <v>1035</v>
      </c>
      <c r="C22" s="496" t="s">
        <v>1615</v>
      </c>
      <c r="D22" s="353" t="str">
        <f ca="1">IF(ISERROR(OFFSET('HARGA SATUAN'!$D$6,MATCH(RAB!C22,'HARGA SATUAN'!$C$7:$C$1492,0),0)),"",OFFSET('HARGA SATUAN'!$D$6,MATCH(RAB!C22,'HARGA SATUAN'!$C$7:$C$1492,0),0))</f>
        <v/>
      </c>
      <c r="E22" s="354" t="str">
        <f ca="1">IF(B22="+","Unit",IF(ISERROR(OFFSET('HARGA SATUAN'!$E$6,MATCH(RAB!C22,'HARGA SATUAN'!$C$7:$C$1492,0),0)),"",OFFSET('HARGA SATUAN'!$E$6,MATCH(RAB!C22,'HARGA SATUAN'!$C$7:$C$1492,0),0)))</f>
        <v>Unit</v>
      </c>
      <c r="F22" s="493">
        <v>2</v>
      </c>
      <c r="G22" s="355">
        <f ca="1">IF(ISERROR(OFFSET('HARGA SATUAN'!$I$6,MATCH(RAB!C22,'HARGA SATUAN'!$C$7:$C$1492,0),0)),0,OFFSET('HARGA SATUAN'!$I$6,MATCH(RAB!C22,'HARGA SATUAN'!$C$7:$C$1492,0),0))</f>
        <v>0</v>
      </c>
      <c r="H22" s="356">
        <f t="shared" ref="H22:H31" ca="1" si="12">IF(OR(D22="MDU",D22="MDU-KD"),(IF($O$3="RAB NON MDU","PLN KD",G22*F22)),0)</f>
        <v>0</v>
      </c>
      <c r="I22" s="356">
        <f t="shared" ref="I22:I31" ca="1" si="13">IF(D22="HDW",G22*F22,0)</f>
        <v>0</v>
      </c>
      <c r="J22" s="356">
        <f t="shared" ref="J22:J31" ca="1" si="14">IF(D22="JASA",G22*F22,0)</f>
        <v>0</v>
      </c>
      <c r="K22" s="357">
        <f t="shared" ref="K22:K31" ca="1" si="15">SUM(H22:J22)</f>
        <v>0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495">
        <v>1</v>
      </c>
      <c r="C23" s="496" t="s">
        <v>595</v>
      </c>
      <c r="D23" s="353" t="str">
        <f ca="1">IF(ISERROR(OFFSET('HARGA SATUAN'!$D$6,MATCH(RAB!C23,'HARGA SATUAN'!$C$7:$C$1492,0),0)),"",OFFSET('HARGA SATUAN'!$D$6,MATCH(RAB!C23,'HARGA SATUAN'!$C$7:$C$1492,0),0))</f>
        <v>HDW</v>
      </c>
      <c r="E23" s="354" t="str">
        <f ca="1">IF(B23="+","Unit",IF(ISERROR(OFFSET('HARGA SATUAN'!$E$6,MATCH(RAB!C23,'HARGA SATUAN'!$C$7:$C$1492,0),0)),"",OFFSET('HARGA SATUAN'!$E$6,MATCH(RAB!C23,'HARGA SATUAN'!$C$7:$C$1492,0),0)))</f>
        <v>Bh</v>
      </c>
      <c r="F23" s="493">
        <f>F22*1</f>
        <v>2</v>
      </c>
      <c r="G23" s="355">
        <f ca="1">IF(ISERROR(OFFSET('HARGA SATUAN'!$I$6,MATCH(RAB!C23,'HARGA SATUAN'!$C$7:$C$1492,0),0)),0,OFFSET('HARGA SATUAN'!$I$6,MATCH(RAB!C23,'HARGA SATUAN'!$C$7:$C$1492,0),0))</f>
        <v>78500</v>
      </c>
      <c r="H23" s="356">
        <f t="shared" ca="1" si="12"/>
        <v>0</v>
      </c>
      <c r="I23" s="356">
        <f t="shared" ca="1" si="13"/>
        <v>157000</v>
      </c>
      <c r="J23" s="356">
        <f t="shared" ca="1" si="14"/>
        <v>0</v>
      </c>
      <c r="K23" s="357">
        <f t="shared" ca="1" si="15"/>
        <v>157000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495">
        <v>2</v>
      </c>
      <c r="C24" s="496" t="s">
        <v>229</v>
      </c>
      <c r="D24" s="353" t="str">
        <f ca="1">IF(ISERROR(OFFSET('HARGA SATUAN'!$D$6,MATCH(RAB!C24,'HARGA SATUAN'!$C$7:$C$1492,0),0)),"",OFFSET('HARGA SATUAN'!$D$6,MATCH(RAB!C24,'HARGA SATUAN'!$C$7:$C$1492,0),0))</f>
        <v>HDW</v>
      </c>
      <c r="E24" s="354" t="str">
        <f ca="1">IF(B24="+","Unit",IF(ISERROR(OFFSET('HARGA SATUAN'!$E$6,MATCH(RAB!C24,'HARGA SATUAN'!$C$7:$C$1492,0),0)),"",OFFSET('HARGA SATUAN'!$E$6,MATCH(RAB!C24,'HARGA SATUAN'!$C$7:$C$1492,0),0)))</f>
        <v>Bh</v>
      </c>
      <c r="F24" s="493">
        <f>F22*1</f>
        <v>2</v>
      </c>
      <c r="G24" s="355">
        <f ca="1">IF(ISERROR(OFFSET('HARGA SATUAN'!$I$6,MATCH(RAB!C24,'HARGA SATUAN'!$C$7:$C$1492,0),0)),0,OFFSET('HARGA SATUAN'!$I$6,MATCH(RAB!C24,'HARGA SATUAN'!$C$7:$C$1492,0),0))</f>
        <v>4212</v>
      </c>
      <c r="H24" s="356">
        <f t="shared" ca="1" si="12"/>
        <v>0</v>
      </c>
      <c r="I24" s="356">
        <f t="shared" ca="1" si="13"/>
        <v>8424</v>
      </c>
      <c r="J24" s="356">
        <f t="shared" ca="1" si="14"/>
        <v>0</v>
      </c>
      <c r="K24" s="357">
        <f t="shared" ca="1" si="15"/>
        <v>8424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495">
        <v>3</v>
      </c>
      <c r="C25" s="496" t="s">
        <v>266</v>
      </c>
      <c r="D25" s="353" t="str">
        <f ca="1">IF(ISERROR(OFFSET('HARGA SATUAN'!$D$6,MATCH(RAB!C25,'HARGA SATUAN'!$C$7:$C$1492,0),0)),"",OFFSET('HARGA SATUAN'!$D$6,MATCH(RAB!C25,'HARGA SATUAN'!$C$7:$C$1492,0),0))</f>
        <v>HDW</v>
      </c>
      <c r="E25" s="354" t="str">
        <f ca="1">IF(B25="+","Unit",IF(ISERROR(OFFSET('HARGA SATUAN'!$E$6,MATCH(RAB!C25,'HARGA SATUAN'!$C$7:$C$1492,0),0)),"",OFFSET('HARGA SATUAN'!$E$6,MATCH(RAB!C25,'HARGA SATUAN'!$C$7:$C$1492,0),0)))</f>
        <v>Mtr</v>
      </c>
      <c r="F25" s="493">
        <f>F22*1</f>
        <v>2</v>
      </c>
      <c r="G25" s="355">
        <f ca="1">IF(ISERROR(OFFSET('HARGA SATUAN'!$I$6,MATCH(RAB!C25,'HARGA SATUAN'!$C$7:$C$1492,0),0)),0,OFFSET('HARGA SATUAN'!$I$6,MATCH(RAB!C25,'HARGA SATUAN'!$C$7:$C$1492,0),0))</f>
        <v>23310</v>
      </c>
      <c r="H25" s="356">
        <f t="shared" ca="1" si="12"/>
        <v>0</v>
      </c>
      <c r="I25" s="356">
        <f t="shared" ca="1" si="13"/>
        <v>46620</v>
      </c>
      <c r="J25" s="356">
        <f t="shared" ca="1" si="14"/>
        <v>0</v>
      </c>
      <c r="K25" s="357">
        <f t="shared" ca="1" si="15"/>
        <v>46620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495">
        <v>4</v>
      </c>
      <c r="C26" s="496" t="s">
        <v>35</v>
      </c>
      <c r="D26" s="353" t="str">
        <f ca="1">IF(ISERROR(OFFSET('HARGA SATUAN'!$D$6,MATCH(RAB!C26,'HARGA SATUAN'!$C$7:$C$1492,0),0)),"",OFFSET('HARGA SATUAN'!$D$6,MATCH(RAB!C26,'HARGA SATUAN'!$C$7:$C$1492,0),0))</f>
        <v>HDW</v>
      </c>
      <c r="E26" s="354" t="str">
        <f ca="1">IF(B26="+","Unit",IF(ISERROR(OFFSET('HARGA SATUAN'!$E$6,MATCH(RAB!C26,'HARGA SATUAN'!$C$7:$C$1492,0),0)),"",OFFSET('HARGA SATUAN'!$E$6,MATCH(RAB!C26,'HARGA SATUAN'!$C$7:$C$1492,0),0)))</f>
        <v>Bh</v>
      </c>
      <c r="F26" s="493">
        <f>F22*1</f>
        <v>2</v>
      </c>
      <c r="G26" s="355">
        <f ca="1">IF(ISERROR(OFFSET('HARGA SATUAN'!$I$6,MATCH(RAB!C26,'HARGA SATUAN'!$C$7:$C$1492,0),0)),0,OFFSET('HARGA SATUAN'!$I$6,MATCH(RAB!C26,'HARGA SATUAN'!$C$7:$C$1492,0),0))</f>
        <v>2300</v>
      </c>
      <c r="H26" s="356">
        <f t="shared" ca="1" si="12"/>
        <v>0</v>
      </c>
      <c r="I26" s="356">
        <f t="shared" ca="1" si="13"/>
        <v>4600</v>
      </c>
      <c r="J26" s="356">
        <f t="shared" ca="1" si="14"/>
        <v>0</v>
      </c>
      <c r="K26" s="357">
        <f t="shared" ca="1" si="15"/>
        <v>4600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495">
        <v>5</v>
      </c>
      <c r="C27" s="496" t="s">
        <v>630</v>
      </c>
      <c r="D27" s="353" t="str">
        <f ca="1">IF(ISERROR(OFFSET('HARGA SATUAN'!$D$6,MATCH(RAB!C27,'HARGA SATUAN'!$C$7:$C$1492,0),0)),"",OFFSET('HARGA SATUAN'!$D$6,MATCH(RAB!C27,'HARGA SATUAN'!$C$7:$C$1492,0),0))</f>
        <v>JASA</v>
      </c>
      <c r="E27" s="354" t="str">
        <f ca="1">IF(B27="+","Unit",IF(ISERROR(OFFSET('HARGA SATUAN'!$E$6,MATCH(RAB!C27,'HARGA SATUAN'!$C$7:$C$1492,0),0)),"",OFFSET('HARGA SATUAN'!$E$6,MATCH(RAB!C27,'HARGA SATUAN'!$C$7:$C$1492,0),0)))</f>
        <v>Unit</v>
      </c>
      <c r="F27" s="493">
        <f>F22*1</f>
        <v>2</v>
      </c>
      <c r="G27" s="355">
        <f ca="1">IF(ISERROR(OFFSET('HARGA SATUAN'!$I$6,MATCH(RAB!C27,'HARGA SATUAN'!$C$7:$C$1492,0),0)),0,OFFSET('HARGA SATUAN'!$I$6,MATCH(RAB!C27,'HARGA SATUAN'!$C$7:$C$1492,0),0))</f>
        <v>35700</v>
      </c>
      <c r="H27" s="356">
        <f t="shared" ca="1" si="12"/>
        <v>0</v>
      </c>
      <c r="I27" s="356">
        <f t="shared" ca="1" si="13"/>
        <v>0</v>
      </c>
      <c r="J27" s="356">
        <f t="shared" ca="1" si="14"/>
        <v>71400</v>
      </c>
      <c r="K27" s="357">
        <f t="shared" ca="1" si="15"/>
        <v>71400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495"/>
      <c r="C28" s="496"/>
      <c r="D28" s="353" t="str">
        <f ca="1">IF(ISERROR(OFFSET('HARGA SATUAN'!$D$6,MATCH(RAB!C28,'HARGA SATUAN'!$C$7:$C$1492,0),0)),"",OFFSET('HARGA SATUAN'!$D$6,MATCH(RAB!C28,'HARGA SATUAN'!$C$7:$C$1492,0),0))</f>
        <v/>
      </c>
      <c r="E28" s="354" t="str">
        <f ca="1">IF(B28="+","Unit",IF(ISERROR(OFFSET('HARGA SATUAN'!$E$6,MATCH(RAB!C28,'HARGA SATUAN'!$C$7:$C$1492,0),0)),"",OFFSET('HARGA SATUAN'!$E$6,MATCH(RAB!C28,'HARGA SATUAN'!$C$7:$C$1492,0),0)))</f>
        <v/>
      </c>
      <c r="F28" s="493"/>
      <c r="G28" s="355">
        <f ca="1">IF(ISERROR(OFFSET('HARGA SATUAN'!$I$6,MATCH(RAB!C28,'HARGA SATUAN'!$C$7:$C$1492,0),0)),0,OFFSET('HARGA SATUAN'!$I$6,MATCH(RAB!C28,'HARGA SATUAN'!$C$7:$C$1492,0),0))</f>
        <v>0</v>
      </c>
      <c r="H28" s="356">
        <f t="shared" ca="1" si="12"/>
        <v>0</v>
      </c>
      <c r="I28" s="356">
        <f t="shared" ca="1" si="13"/>
        <v>0</v>
      </c>
      <c r="J28" s="356">
        <f t="shared" ca="1" si="14"/>
        <v>0</v>
      </c>
      <c r="K28" s="357">
        <f t="shared" ca="1" si="15"/>
        <v>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495" t="s">
        <v>1035</v>
      </c>
      <c r="C29" s="496" t="s">
        <v>1622</v>
      </c>
      <c r="D29" s="353" t="str">
        <f ca="1">IF(ISERROR(OFFSET('HARGA SATUAN'!$D$6,MATCH(RAB!C29,'HARGA SATUAN'!$C$7:$C$1492,0),0)),"",OFFSET('HARGA SATUAN'!$D$6,MATCH(RAB!C29,'HARGA SATUAN'!$C$7:$C$1492,0),0))</f>
        <v/>
      </c>
      <c r="E29" s="354" t="str">
        <f ca="1">IF(B29="+","Unit",IF(ISERROR(OFFSET('HARGA SATUAN'!$E$6,MATCH(RAB!C29,'HARGA SATUAN'!$C$7:$C$1492,0),0)),"",OFFSET('HARGA SATUAN'!$E$6,MATCH(RAB!C29,'HARGA SATUAN'!$C$7:$C$1492,0),0)))</f>
        <v>Unit</v>
      </c>
      <c r="F29" s="493">
        <v>1</v>
      </c>
      <c r="G29" s="355">
        <f ca="1">IF(ISERROR(OFFSET('HARGA SATUAN'!$I$6,MATCH(RAB!C29,'HARGA SATUAN'!$C$7:$C$1492,0),0)),0,OFFSET('HARGA SATUAN'!$I$6,MATCH(RAB!C29,'HARGA SATUAN'!$C$7:$C$1492,0),0))</f>
        <v>0</v>
      </c>
      <c r="H29" s="356">
        <f t="shared" ca="1" si="12"/>
        <v>0</v>
      </c>
      <c r="I29" s="356">
        <f t="shared" ca="1" si="13"/>
        <v>0</v>
      </c>
      <c r="J29" s="356">
        <f t="shared" ca="1" si="14"/>
        <v>0</v>
      </c>
      <c r="K29" s="357">
        <f t="shared" ca="1" si="15"/>
        <v>0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495">
        <v>1</v>
      </c>
      <c r="C30" s="496" t="s">
        <v>229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493">
        <f>F29*1</f>
        <v>1</v>
      </c>
      <c r="G30" s="355">
        <f ca="1">IF(ISERROR(OFFSET('HARGA SATUAN'!$I$6,MATCH(RAB!C30,'HARGA SATUAN'!$C$7:$C$1492,0),0)),0,OFFSET('HARGA SATUAN'!$I$6,MATCH(RAB!C30,'HARGA SATUAN'!$C$7:$C$1492,0),0))</f>
        <v>4212</v>
      </c>
      <c r="H30" s="356">
        <f t="shared" ca="1" si="12"/>
        <v>0</v>
      </c>
      <c r="I30" s="356">
        <f t="shared" ca="1" si="13"/>
        <v>4212</v>
      </c>
      <c r="J30" s="356">
        <f t="shared" ca="1" si="14"/>
        <v>0</v>
      </c>
      <c r="K30" s="357">
        <f t="shared" ca="1" si="15"/>
        <v>4212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495">
        <v>2</v>
      </c>
      <c r="C31" s="496" t="s">
        <v>266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Mtr</v>
      </c>
      <c r="F31" s="493">
        <f>F29*1</f>
        <v>1</v>
      </c>
      <c r="G31" s="355">
        <f ca="1">IF(ISERROR(OFFSET('HARGA SATUAN'!$I$6,MATCH(RAB!C31,'HARGA SATUAN'!$C$7:$C$1492,0),0)),0,OFFSET('HARGA SATUAN'!$I$6,MATCH(RAB!C31,'HARGA SATUAN'!$C$7:$C$1492,0),0))</f>
        <v>23310</v>
      </c>
      <c r="H31" s="356">
        <f t="shared" ca="1" si="12"/>
        <v>0</v>
      </c>
      <c r="I31" s="356">
        <f t="shared" ca="1" si="13"/>
        <v>23310</v>
      </c>
      <c r="J31" s="356">
        <f t="shared" ca="1" si="14"/>
        <v>0</v>
      </c>
      <c r="K31" s="357">
        <f t="shared" ca="1" si="15"/>
        <v>23310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495">
        <v>3</v>
      </c>
      <c r="C32" s="496" t="s">
        <v>35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Bh</v>
      </c>
      <c r="F32" s="493">
        <f>F29*1</f>
        <v>1</v>
      </c>
      <c r="G32" s="355">
        <f ca="1">IF(ISERROR(OFFSET('HARGA SATUAN'!$I$6,MATCH(RAB!C32,'HARGA SATUAN'!$C$7:$C$1492,0),0)),0,OFFSET('HARGA SATUAN'!$I$6,MATCH(RAB!C32,'HARGA SATUAN'!$C$7:$C$1492,0),0))</f>
        <v>2300</v>
      </c>
      <c r="H32" s="356">
        <f t="shared" ref="H32:H34" ca="1" si="16">IF(OR(D32="MDU",D32="MDU-KD"),(IF($O$3="RAB NON MDU","PLN KD",G32*F32)),0)</f>
        <v>0</v>
      </c>
      <c r="I32" s="356">
        <f t="shared" ref="I32:I34" ca="1" si="17">IF(D32="HDW",G32*F32,0)</f>
        <v>2300</v>
      </c>
      <c r="J32" s="356">
        <f t="shared" ref="J32:J34" ca="1" si="18">IF(D32="JASA",G32*F32,0)</f>
        <v>0</v>
      </c>
      <c r="K32" s="357">
        <f t="shared" ref="K32:K34" ca="1" si="19">SUM(H32:J32)</f>
        <v>2300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22" s="363" customFormat="1">
      <c r="A33" s="333"/>
      <c r="B33" s="495">
        <v>4</v>
      </c>
      <c r="C33" s="496" t="s">
        <v>609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Bh</v>
      </c>
      <c r="F33" s="493">
        <f>F29*1</f>
        <v>1</v>
      </c>
      <c r="G33" s="355">
        <f ca="1">IF(ISERROR(OFFSET('HARGA SATUAN'!$I$6,MATCH(RAB!C33,'HARGA SATUAN'!$C$7:$C$1492,0),0)),0,OFFSET('HARGA SATUAN'!$I$6,MATCH(RAB!C33,'HARGA SATUAN'!$C$7:$C$1492,0),0))</f>
        <v>71000</v>
      </c>
      <c r="H33" s="356">
        <f t="shared" ca="1" si="16"/>
        <v>0</v>
      </c>
      <c r="I33" s="356">
        <f t="shared" ca="1" si="17"/>
        <v>71000</v>
      </c>
      <c r="J33" s="356">
        <f t="shared" ca="1" si="18"/>
        <v>0</v>
      </c>
      <c r="K33" s="357">
        <f t="shared" ca="1" si="19"/>
        <v>71000</v>
      </c>
      <c r="L33" s="362"/>
      <c r="M33" s="362"/>
      <c r="N33" s="362"/>
      <c r="O33" s="358"/>
      <c r="P33" s="358"/>
      <c r="Q33" s="341"/>
      <c r="R33" s="333"/>
      <c r="S33" s="359"/>
      <c r="T33" s="338"/>
      <c r="U33" s="338"/>
      <c r="V33" s="338"/>
    </row>
    <row r="34" spans="1:22" s="363" customFormat="1">
      <c r="A34" s="333"/>
      <c r="B34" s="495">
        <v>5</v>
      </c>
      <c r="C34" s="496" t="s">
        <v>629</v>
      </c>
      <c r="D34" s="353" t="str">
        <f ca="1">IF(ISERROR(OFFSET('HARGA SATUAN'!$D$6,MATCH(RAB!C34,'HARGA SATUAN'!$C$7:$C$1492,0),0)),"",OFFSET('HARGA SATUAN'!$D$6,MATCH(RAB!C34,'HARGA SATUAN'!$C$7:$C$1492,0),0))</f>
        <v>JASA</v>
      </c>
      <c r="E34" s="354" t="str">
        <f ca="1">IF(B34="+","Unit",IF(ISERROR(OFFSET('HARGA SATUAN'!$E$6,MATCH(RAB!C34,'HARGA SATUAN'!$C$7:$C$1492,0),0)),"",OFFSET('HARGA SATUAN'!$E$6,MATCH(RAB!C34,'HARGA SATUAN'!$C$7:$C$1492,0),0)))</f>
        <v>Unit</v>
      </c>
      <c r="F34" s="493">
        <f>F29*1</f>
        <v>1</v>
      </c>
      <c r="G34" s="355">
        <f ca="1">IF(ISERROR(OFFSET('HARGA SATUAN'!$I$6,MATCH(RAB!C34,'HARGA SATUAN'!$C$7:$C$1492,0),0)),0,OFFSET('HARGA SATUAN'!$I$6,MATCH(RAB!C34,'HARGA SATUAN'!$C$7:$C$1492,0),0))</f>
        <v>29400</v>
      </c>
      <c r="H34" s="356">
        <f t="shared" ca="1" si="16"/>
        <v>0</v>
      </c>
      <c r="I34" s="356">
        <f t="shared" ca="1" si="17"/>
        <v>0</v>
      </c>
      <c r="J34" s="356">
        <f t="shared" ca="1" si="18"/>
        <v>29400</v>
      </c>
      <c r="K34" s="357">
        <f t="shared" ca="1" si="19"/>
        <v>29400</v>
      </c>
      <c r="L34" s="362"/>
      <c r="M34" s="362"/>
      <c r="N34" s="362"/>
      <c r="O34" s="358"/>
      <c r="P34" s="358"/>
      <c r="Q34" s="341"/>
      <c r="R34" s="333"/>
      <c r="S34" s="359"/>
      <c r="T34" s="338"/>
      <c r="U34" s="338"/>
      <c r="V34" s="338"/>
    </row>
    <row r="35" spans="1:22" s="363" customFormat="1">
      <c r="A35" s="333"/>
      <c r="B35" s="489"/>
      <c r="C35" s="490"/>
      <c r="D35" s="353" t="str">
        <f ca="1">IF(ISERROR(OFFSET('HARGA SATUAN'!$D$6,MATCH(RAB!C35,'HARGA SATUAN'!$C$7:$C$1492,0),0)),"",OFFSET('HARGA SATUAN'!$D$6,MATCH(RAB!C35,'HARGA SATUAN'!$C$7:$C$1492,0),0))</f>
        <v/>
      </c>
      <c r="E35" s="354" t="str">
        <f ca="1">IF(B35="+","Unit",IF(ISERROR(OFFSET('HARGA SATUAN'!$E$6,MATCH(RAB!C35,'HARGA SATUAN'!$C$7:$C$1492,0),0)),"",OFFSET('HARGA SATUAN'!$E$6,MATCH(RAB!C35,'HARGA SATUAN'!$C$7:$C$1492,0),0)))</f>
        <v/>
      </c>
      <c r="F35" s="477"/>
      <c r="G35" s="355">
        <f ca="1">IF(ISERROR(OFFSET('HARGA SATUAN'!$I$6,MATCH(RAB!C35,'HARGA SATUAN'!$C$7:$C$1492,0),0)),0,OFFSET('HARGA SATUAN'!$I$6,MATCH(RAB!C35,'HARGA SATUAN'!$C$7:$C$1492,0),0))</f>
        <v>0</v>
      </c>
      <c r="H35" s="356">
        <f t="shared" ref="H35" ca="1" si="20">IF(OR(D35="MDU",D35="MDU-KD"),(IF($O$3="RAB NON MDU","PLN KD",G35*F35)),0)</f>
        <v>0</v>
      </c>
      <c r="I35" s="356">
        <f t="shared" ref="I35" ca="1" si="21">IF(D35="HDW",G35*F35,0)</f>
        <v>0</v>
      </c>
      <c r="J35" s="356">
        <f t="shared" ref="J35" ca="1" si="22">IF(D35="JASA",G35*F35,0)</f>
        <v>0</v>
      </c>
      <c r="K35" s="357">
        <f t="shared" ref="K35" ca="1" si="23">SUM(H35:J35)</f>
        <v>0</v>
      </c>
      <c r="L35" s="362"/>
      <c r="M35" s="362"/>
      <c r="N35" s="362"/>
      <c r="O35" s="358"/>
      <c r="P35" s="358"/>
      <c r="Q35" s="341"/>
      <c r="R35" s="333"/>
      <c r="S35" s="359"/>
      <c r="T35" s="338"/>
      <c r="U35" s="338"/>
      <c r="V35" s="338"/>
    </row>
    <row r="36" spans="1:22" s="363" customFormat="1">
      <c r="A36" s="333"/>
      <c r="B36" s="489">
        <v>1</v>
      </c>
      <c r="C36" s="109" t="s">
        <v>78</v>
      </c>
      <c r="D36" s="353" t="str">
        <f ca="1">IF(ISERROR(OFFSET('HARGA SATUAN'!$D$6,MATCH(RAB!C36,'HARGA SATUAN'!$C$7:$C$1492,0),0)),"",OFFSET('HARGA SATUAN'!$D$6,MATCH(RAB!C36,'HARGA SATUAN'!$C$7:$C$1492,0),0))</f>
        <v>HDW</v>
      </c>
      <c r="E36" s="354" t="str">
        <f ca="1">IF(B36="+","Unit",IF(ISERROR(OFFSET('HARGA SATUAN'!$E$6,MATCH(RAB!C36,'HARGA SATUAN'!$C$7:$C$1492,0),0)),"",OFFSET('HARGA SATUAN'!$E$6,MATCH(RAB!C36,'HARGA SATUAN'!$C$7:$C$1492,0),0)))</f>
        <v>Mtr</v>
      </c>
      <c r="F36" s="477">
        <v>20</v>
      </c>
      <c r="G36" s="355">
        <f ca="1">IF(ISERROR(OFFSET('HARGA SATUAN'!$I$6,MATCH(RAB!C36,'HARGA SATUAN'!$C$7:$C$1492,0),0)),0,OFFSET('HARGA SATUAN'!$I$6,MATCH(RAB!C36,'HARGA SATUAN'!$C$7:$C$1492,0),0))</f>
        <v>23600</v>
      </c>
      <c r="H36" s="356">
        <f t="shared" ref="H36:H37" ca="1" si="24">IF(OR(D36="MDU",D36="MDU-KD"),(IF($O$3="RAB NON MDU","PLN KD",G36*F36)),0)</f>
        <v>0</v>
      </c>
      <c r="I36" s="356">
        <f t="shared" ref="I36:I37" ca="1" si="25">IF(D36="HDW",G36*F36,0)</f>
        <v>472000</v>
      </c>
      <c r="J36" s="356">
        <f t="shared" ref="J36:J37" ca="1" si="26">IF(D36="JASA",G36*F36,0)</f>
        <v>0</v>
      </c>
      <c r="K36" s="357">
        <f t="shared" ref="K36:K37" ca="1" si="27">SUM(H36:J36)</f>
        <v>472000</v>
      </c>
      <c r="L36" s="362"/>
      <c r="M36" s="362"/>
      <c r="N36" s="362"/>
      <c r="O36" s="358"/>
      <c r="P36" s="358"/>
      <c r="Q36" s="341"/>
      <c r="R36" s="333"/>
      <c r="S36" s="359"/>
      <c r="T36" s="338"/>
      <c r="U36" s="338"/>
      <c r="V36" s="338"/>
    </row>
    <row r="37" spans="1:22" s="363" customFormat="1">
      <c r="A37" s="333"/>
      <c r="B37" s="489">
        <v>2</v>
      </c>
      <c r="C37" s="109" t="s">
        <v>346</v>
      </c>
      <c r="D37" s="353" t="str">
        <f ca="1">IF(ISERROR(OFFSET('HARGA SATUAN'!$D$6,MATCH(RAB!C37,'HARGA SATUAN'!$C$7:$C$1492,0),0)),"",OFFSET('HARGA SATUAN'!$D$6,MATCH(RAB!C37,'HARGA SATUAN'!$C$7:$C$1492,0),0))</f>
        <v>JASA</v>
      </c>
      <c r="E37" s="354" t="str">
        <f ca="1">IF(B37="+","Unit",IF(ISERROR(OFFSET('HARGA SATUAN'!$E$6,MATCH(RAB!C37,'HARGA SATUAN'!$C$7:$C$1492,0),0)),"",OFFSET('HARGA SATUAN'!$E$6,MATCH(RAB!C37,'HARGA SATUAN'!$C$7:$C$1492,0),0)))</f>
        <v>Per 50 m</v>
      </c>
      <c r="F37" s="477">
        <f>F36/50</f>
        <v>0.4</v>
      </c>
      <c r="G37" s="355">
        <f ca="1">IF(ISERROR(OFFSET('HARGA SATUAN'!$I$6,MATCH(RAB!C37,'HARGA SATUAN'!$C$7:$C$1492,0),0)),0,OFFSET('HARGA SATUAN'!$I$6,MATCH(RAB!C37,'HARGA SATUAN'!$C$7:$C$1492,0),0))</f>
        <v>223500</v>
      </c>
      <c r="H37" s="356">
        <f t="shared" ca="1" si="24"/>
        <v>0</v>
      </c>
      <c r="I37" s="356">
        <f t="shared" ca="1" si="25"/>
        <v>0</v>
      </c>
      <c r="J37" s="356">
        <f t="shared" ca="1" si="26"/>
        <v>89400</v>
      </c>
      <c r="K37" s="357">
        <f t="shared" ca="1" si="27"/>
        <v>89400</v>
      </c>
      <c r="L37" s="362"/>
      <c r="M37" s="362"/>
      <c r="N37" s="362"/>
      <c r="O37" s="358"/>
      <c r="P37" s="358"/>
      <c r="Q37" s="341"/>
      <c r="R37" s="333"/>
      <c r="S37" s="359"/>
      <c r="T37" s="338"/>
      <c r="U37" s="338"/>
      <c r="V37" s="338"/>
    </row>
    <row r="38" spans="1:22" s="360" customFormat="1">
      <c r="A38" s="333"/>
      <c r="B38" s="489"/>
      <c r="C38" s="490"/>
      <c r="D38" s="353" t="str">
        <f ca="1">IF(ISERROR(OFFSET('HARGA SATUAN'!$D$6,MATCH(RAB!C38,'HARGA SATUAN'!$C$7:$C$1492,0),0)),"",OFFSET('HARGA SATUAN'!$D$6,MATCH(RAB!C38,'HARGA SATUAN'!$C$7:$C$1492,0),0))</f>
        <v/>
      </c>
      <c r="E38" s="354" t="str">
        <f ca="1">IF(B38="+","Unit",IF(ISERROR(OFFSET('HARGA SATUAN'!$E$6,MATCH(RAB!C38,'HARGA SATUAN'!$C$7:$C$1492,0),0)),"",OFFSET('HARGA SATUAN'!$E$6,MATCH(RAB!C38,'HARGA SATUAN'!$C$7:$C$1492,0),0)))</f>
        <v/>
      </c>
      <c r="F38" s="493"/>
      <c r="G38" s="355">
        <f ca="1">IF(ISERROR(OFFSET('HARGA SATUAN'!$I$6,MATCH(RAB!C38,'HARGA SATUAN'!$C$7:$C$1492,0),0)),0,OFFSET('HARGA SATUAN'!$I$6,MATCH(RAB!C38,'HARGA SATUAN'!$C$7:$C$1492,0),0))</f>
        <v>0</v>
      </c>
      <c r="H38" s="356">
        <f t="shared" ref="H38:H42" ca="1" si="28">IF(OR(D38="MDU",D38="MDU-KD"),(IF($O$3="RAB NON MDU","PLN KD",G38*F38)),0)</f>
        <v>0</v>
      </c>
      <c r="I38" s="356">
        <f t="shared" ref="I38:I42" ca="1" si="29">IF(D38="HDW",G38*F38,0)</f>
        <v>0</v>
      </c>
      <c r="J38" s="356">
        <f t="shared" ref="J38:J42" ca="1" si="30">IF(D38="JASA",G38*F38,0)</f>
        <v>0</v>
      </c>
      <c r="K38" s="357">
        <f t="shared" ref="K38:K42" ca="1" si="31">SUM(H38:J38)</f>
        <v>0</v>
      </c>
      <c r="L38" s="339"/>
      <c r="M38" s="339"/>
      <c r="N38" s="362"/>
      <c r="O38" s="341"/>
      <c r="P38" s="387"/>
      <c r="Q38" s="341"/>
    </row>
    <row r="39" spans="1:22" s="360" customFormat="1">
      <c r="A39" s="333"/>
      <c r="B39" s="482" t="s">
        <v>530</v>
      </c>
      <c r="C39" s="483" t="s">
        <v>1614</v>
      </c>
      <c r="D39" s="353" t="str">
        <f ca="1">IF(ISERROR(OFFSET('HARGA SATUAN'!$D$6,MATCH(RAB!C39,'HARGA SATUAN'!$C$7:$C$1492,0),0)),"",OFFSET('HARGA SATUAN'!$D$6,MATCH(RAB!C39,'HARGA SATUAN'!$C$7:$C$1492,0),0))</f>
        <v/>
      </c>
      <c r="E39" s="354" t="str">
        <f ca="1">IF(B39="+","Unit",IF(ISERROR(OFFSET('HARGA SATUAN'!$E$6,MATCH(RAB!C39,'HARGA SATUAN'!$C$7:$C$1492,0),0)),"",OFFSET('HARGA SATUAN'!$E$6,MATCH(RAB!C39,'HARGA SATUAN'!$C$7:$C$1492,0),0)))</f>
        <v/>
      </c>
      <c r="F39" s="492"/>
      <c r="G39" s="355">
        <f ca="1">IF(ISERROR(OFFSET('HARGA SATUAN'!$I$6,MATCH(RAB!C39,'HARGA SATUAN'!$C$7:$C$1492,0),0)),0,OFFSET('HARGA SATUAN'!$I$6,MATCH(RAB!C39,'HARGA SATUAN'!$C$7:$C$1492,0),0))</f>
        <v>0</v>
      </c>
      <c r="H39" s="356">
        <f t="shared" ca="1" si="28"/>
        <v>0</v>
      </c>
      <c r="I39" s="356">
        <f t="shared" ca="1" si="29"/>
        <v>0</v>
      </c>
      <c r="J39" s="356">
        <f t="shared" ca="1" si="30"/>
        <v>0</v>
      </c>
      <c r="K39" s="357">
        <f t="shared" ca="1" si="31"/>
        <v>0</v>
      </c>
      <c r="L39" s="339"/>
      <c r="M39" s="339"/>
      <c r="N39" s="362"/>
      <c r="O39" s="341"/>
      <c r="P39" s="387"/>
      <c r="Q39" s="341"/>
    </row>
    <row r="40" spans="1:22" s="360" customFormat="1">
      <c r="A40" s="333"/>
      <c r="B40" s="482"/>
      <c r="C40" s="483"/>
      <c r="D40" s="353" t="str">
        <f ca="1">IF(ISERROR(OFFSET('HARGA SATUAN'!$D$6,MATCH(RAB!C40,'HARGA SATUAN'!$C$7:$C$1492,0),0)),"",OFFSET('HARGA SATUAN'!$D$6,MATCH(RAB!C40,'HARGA SATUAN'!$C$7:$C$1492,0),0))</f>
        <v/>
      </c>
      <c r="E40" s="354" t="str">
        <f ca="1">IF(B40="+","Unit",IF(ISERROR(OFFSET('HARGA SATUAN'!$E$6,MATCH(RAB!C40,'HARGA SATUAN'!$C$7:$C$1492,0),0)),"",OFFSET('HARGA SATUAN'!$E$6,MATCH(RAB!C40,'HARGA SATUAN'!$C$7:$C$1492,0),0)))</f>
        <v/>
      </c>
      <c r="F40" s="492"/>
      <c r="G40" s="355">
        <f ca="1">IF(ISERROR(OFFSET('HARGA SATUAN'!$I$6,MATCH(RAB!C40,'HARGA SATUAN'!$C$7:$C$1492,0),0)),0,OFFSET('HARGA SATUAN'!$I$6,MATCH(RAB!C40,'HARGA SATUAN'!$C$7:$C$1492,0),0))</f>
        <v>0</v>
      </c>
      <c r="H40" s="356">
        <f t="shared" ca="1" si="28"/>
        <v>0</v>
      </c>
      <c r="I40" s="356">
        <f t="shared" ca="1" si="29"/>
        <v>0</v>
      </c>
      <c r="J40" s="356">
        <f t="shared" ca="1" si="30"/>
        <v>0</v>
      </c>
      <c r="K40" s="357">
        <f t="shared" ca="1" si="31"/>
        <v>0</v>
      </c>
      <c r="L40" s="339"/>
      <c r="M40" s="339"/>
      <c r="N40" s="362"/>
      <c r="O40" s="341"/>
      <c r="P40" s="387"/>
      <c r="Q40" s="341"/>
    </row>
    <row r="41" spans="1:22" s="360" customFormat="1">
      <c r="A41" s="333"/>
      <c r="B41" s="487" t="s">
        <v>1035</v>
      </c>
      <c r="C41" s="488" t="s">
        <v>1616</v>
      </c>
      <c r="D41" s="353" t="str">
        <f ca="1">IF(ISERROR(OFFSET('HARGA SATUAN'!$D$6,MATCH(RAB!C41,'HARGA SATUAN'!$C$7:$C$1492,0),0)),"",OFFSET('HARGA SATUAN'!$D$6,MATCH(RAB!C41,'HARGA SATUAN'!$C$7:$C$1492,0),0))</f>
        <v/>
      </c>
      <c r="E41" s="354" t="str">
        <f ca="1">IF(B41="+","Unit",IF(ISERROR(OFFSET('HARGA SATUAN'!$E$6,MATCH(RAB!C41,'HARGA SATUAN'!$C$7:$C$1492,0),0)),"",OFFSET('HARGA SATUAN'!$E$6,MATCH(RAB!C41,'HARGA SATUAN'!$C$7:$C$1492,0),0)))</f>
        <v>Unit</v>
      </c>
      <c r="F41" s="499">
        <v>1</v>
      </c>
      <c r="G41" s="355">
        <f ca="1">IF(ISERROR(OFFSET('HARGA SATUAN'!$I$6,MATCH(RAB!C41,'HARGA SATUAN'!$C$7:$C$1492,0),0)),0,OFFSET('HARGA SATUAN'!$I$6,MATCH(RAB!C41,'HARGA SATUAN'!$C$7:$C$1492,0),0))</f>
        <v>0</v>
      </c>
      <c r="H41" s="356">
        <f t="shared" ca="1" si="28"/>
        <v>0</v>
      </c>
      <c r="I41" s="356">
        <f t="shared" ca="1" si="29"/>
        <v>0</v>
      </c>
      <c r="J41" s="356">
        <f t="shared" ca="1" si="30"/>
        <v>0</v>
      </c>
      <c r="K41" s="357">
        <f t="shared" ca="1" si="31"/>
        <v>0</v>
      </c>
      <c r="L41" s="339"/>
      <c r="M41" s="339"/>
      <c r="N41" s="362"/>
      <c r="O41" s="341"/>
      <c r="P41" s="387"/>
      <c r="Q41" s="341"/>
    </row>
    <row r="42" spans="1:22" s="360" customFormat="1" ht="30">
      <c r="A42" s="333"/>
      <c r="B42" s="497">
        <v>1</v>
      </c>
      <c r="C42" s="109" t="s">
        <v>1197</v>
      </c>
      <c r="D42" s="353" t="str">
        <f ca="1">IF(ISERROR(OFFSET('HARGA SATUAN'!$D$6,MATCH(RAB!C42,'HARGA SATUAN'!$C$7:$C$1492,0),0)),"",OFFSET('HARGA SATUAN'!$D$6,MATCH(RAB!C42,'HARGA SATUAN'!$C$7:$C$1492,0),0))</f>
        <v>MDU-KD</v>
      </c>
      <c r="E42" s="354" t="str">
        <f ca="1">IF(B42="+","Unit",IF(ISERROR(OFFSET('HARGA SATUAN'!$E$6,MATCH(RAB!C42,'HARGA SATUAN'!$C$7:$C$1492,0),0)),"",OFFSET('HARGA SATUAN'!$E$6,MATCH(RAB!C42,'HARGA SATUAN'!$C$7:$C$1492,0),0)))</f>
        <v>Bh</v>
      </c>
      <c r="F42" s="499">
        <f>F41*1</f>
        <v>1</v>
      </c>
      <c r="G42" s="355">
        <f ca="1">IF(ISERROR(OFFSET('HARGA SATUAN'!$I$6,MATCH(RAB!C42,'HARGA SATUAN'!$C$7:$C$1492,0),0)),0,OFFSET('HARGA SATUAN'!$I$6,MATCH(RAB!C42,'HARGA SATUAN'!$C$7:$C$1492,0),0))</f>
        <v>1427400</v>
      </c>
      <c r="H42" s="356">
        <f t="shared" ca="1" si="28"/>
        <v>1427400</v>
      </c>
      <c r="I42" s="356">
        <f t="shared" ca="1" si="29"/>
        <v>0</v>
      </c>
      <c r="J42" s="356">
        <f t="shared" ca="1" si="30"/>
        <v>0</v>
      </c>
      <c r="K42" s="357">
        <f t="shared" ca="1" si="31"/>
        <v>1427400</v>
      </c>
      <c r="L42" s="339"/>
      <c r="M42" s="339"/>
      <c r="N42" s="362"/>
      <c r="O42" s="341"/>
      <c r="P42" s="387"/>
      <c r="Q42" s="341"/>
    </row>
    <row r="43" spans="1:22" s="360" customFormat="1">
      <c r="A43" s="333"/>
      <c r="B43" s="497">
        <v>2</v>
      </c>
      <c r="C43" s="498" t="s">
        <v>511</v>
      </c>
      <c r="D43" s="353" t="str">
        <f ca="1">IF(ISERROR(OFFSET('HARGA SATUAN'!$D$6,MATCH(RAB!C43,'HARGA SATUAN'!$C$7:$C$1492,0),0)),"",OFFSET('HARGA SATUAN'!$D$6,MATCH(RAB!C43,'HARGA SATUAN'!$C$7:$C$1492,0),0))</f>
        <v>MDU-KD</v>
      </c>
      <c r="E43" s="354" t="str">
        <f ca="1">IF(B43="+","Unit",IF(ISERROR(OFFSET('HARGA SATUAN'!$E$6,MATCH(RAB!C43,'HARGA SATUAN'!$C$7:$C$1492,0),0)),"",OFFSET('HARGA SATUAN'!$E$6,MATCH(RAB!C43,'HARGA SATUAN'!$C$7:$C$1492,0),0)))</f>
        <v>Unit</v>
      </c>
      <c r="F43" s="499">
        <f>F41*1</f>
        <v>1</v>
      </c>
      <c r="G43" s="355">
        <f ca="1">IF(ISERROR(OFFSET('HARGA SATUAN'!$I$6,MATCH(RAB!C43,'HARGA SATUAN'!$C$7:$C$1492,0),0)),0,OFFSET('HARGA SATUAN'!$I$6,MATCH(RAB!C43,'HARGA SATUAN'!$C$7:$C$1492,0),0))</f>
        <v>3564900</v>
      </c>
      <c r="H43" s="356">
        <f t="shared" ref="H43:H44" ca="1" si="32">IF(OR(D43="MDU",D43="MDU-KD"),(IF($O$3="RAB NON MDU","PLN KD",G43*F43)),0)</f>
        <v>3564900</v>
      </c>
      <c r="I43" s="356">
        <f t="shared" ref="I43:I44" ca="1" si="33">IF(D43="HDW",G43*F43,0)</f>
        <v>0</v>
      </c>
      <c r="J43" s="356">
        <f t="shared" ref="J43:J44" ca="1" si="34">IF(D43="JASA",G43*F43,0)</f>
        <v>0</v>
      </c>
      <c r="K43" s="357">
        <f t="shared" ref="K43:K44" ca="1" si="35">SUM(H43:J43)</f>
        <v>3564900</v>
      </c>
      <c r="L43" s="339"/>
      <c r="M43" s="339"/>
      <c r="N43" s="362"/>
      <c r="O43" s="341"/>
      <c r="P43" s="387"/>
      <c r="Q43" s="341"/>
    </row>
    <row r="44" spans="1:22" s="360" customFormat="1">
      <c r="A44" s="333"/>
      <c r="B44" s="497">
        <v>3</v>
      </c>
      <c r="C44" s="498" t="s">
        <v>77</v>
      </c>
      <c r="D44" s="353" t="str">
        <f ca="1">IF(ISERROR(OFFSET('HARGA SATUAN'!$D$6,MATCH(RAB!C44,'HARGA SATUAN'!$C$7:$C$1492,0),0)),"",OFFSET('HARGA SATUAN'!$D$6,MATCH(RAB!C44,'HARGA SATUAN'!$C$7:$C$1492,0),0))</f>
        <v>MDU-KD</v>
      </c>
      <c r="E44" s="354" t="str">
        <f ca="1">IF(B44="+","Unit",IF(ISERROR(OFFSET('HARGA SATUAN'!$E$6,MATCH(RAB!C44,'HARGA SATUAN'!$C$7:$C$1492,0),0)),"",OFFSET('HARGA SATUAN'!$E$6,MATCH(RAB!C44,'HARGA SATUAN'!$C$7:$C$1492,0),0)))</f>
        <v>Mtr</v>
      </c>
      <c r="F44" s="499">
        <v>20</v>
      </c>
      <c r="G44" s="355">
        <f ca="1">IF(ISERROR(OFFSET('HARGA SATUAN'!$I$6,MATCH(RAB!C44,'HARGA SATUAN'!$C$7:$C$1492,0),0)),0,OFFSET('HARGA SATUAN'!$I$6,MATCH(RAB!C44,'HARGA SATUAN'!$C$7:$C$1492,0),0))</f>
        <v>13500</v>
      </c>
      <c r="H44" s="356">
        <f t="shared" ca="1" si="32"/>
        <v>270000</v>
      </c>
      <c r="I44" s="356">
        <f t="shared" ca="1" si="33"/>
        <v>0</v>
      </c>
      <c r="J44" s="356">
        <f t="shared" ca="1" si="34"/>
        <v>0</v>
      </c>
      <c r="K44" s="357">
        <f t="shared" ca="1" si="35"/>
        <v>270000</v>
      </c>
      <c r="L44" s="339"/>
      <c r="M44" s="339"/>
      <c r="N44" s="362"/>
      <c r="O44" s="341"/>
      <c r="P44" s="387"/>
      <c r="Q44" s="341"/>
    </row>
    <row r="45" spans="1:22">
      <c r="B45" s="497">
        <v>4</v>
      </c>
      <c r="C45" s="498" t="s">
        <v>799</v>
      </c>
      <c r="D45" s="353" t="str">
        <f ca="1">IF(ISERROR(OFFSET('HARGA SATUAN'!$D$6,MATCH(RAB!C45,'HARGA SATUAN'!$C$7:$C$1492,0),0)),"",OFFSET('HARGA SATUAN'!$D$6,MATCH(RAB!C45,'HARGA SATUAN'!$C$7:$C$1492,0),0))</f>
        <v>JASA</v>
      </c>
      <c r="E45" s="354" t="str">
        <f ca="1">IF(B45="+","Unit",IF(ISERROR(OFFSET('HARGA SATUAN'!$E$6,MATCH(RAB!C45,'HARGA SATUAN'!$C$7:$C$1492,0),0)),"",OFFSET('HARGA SATUAN'!$E$6,MATCH(RAB!C45,'HARGA SATUAN'!$C$7:$C$1492,0),0)))</f>
        <v>Unit</v>
      </c>
      <c r="F45" s="499">
        <f>F41*1</f>
        <v>1</v>
      </c>
      <c r="G45" s="355">
        <f ca="1">IF(ISERROR(OFFSET('HARGA SATUAN'!$I$6,MATCH(RAB!C45,'HARGA SATUAN'!$C$7:$C$1492,0),0)),0,OFFSET('HARGA SATUAN'!$I$6,MATCH(RAB!C45,'HARGA SATUAN'!$C$7:$C$1492,0),0))</f>
        <v>106400</v>
      </c>
      <c r="H45" s="356">
        <f t="shared" ref="H45:H46" ca="1" si="36">IF(OR(D45="MDU",D45="MDU-KD"),(IF($O$3="RAB NON MDU","PLN KD",G45*F45)),0)</f>
        <v>0</v>
      </c>
      <c r="I45" s="356">
        <f t="shared" ref="I45:I46" ca="1" si="37">IF(D45="HDW",G45*F45,0)</f>
        <v>0</v>
      </c>
      <c r="J45" s="356">
        <f t="shared" ref="J45:J46" ca="1" si="38">IF(D45="JASA",G45*F45,0)</f>
        <v>106400</v>
      </c>
      <c r="K45" s="357">
        <f t="shared" ref="K45:K46" ca="1" si="39">SUM(H45:J45)</f>
        <v>106400</v>
      </c>
    </row>
    <row r="46" spans="1:22">
      <c r="B46" s="364"/>
      <c r="C46" s="491"/>
      <c r="D46" s="353" t="str">
        <f ca="1">IF(ISERROR(OFFSET('HARGA SATUAN'!$D$6,MATCH(RAB!C46,'HARGA SATUAN'!$C$7:$C$1492,0),0)),"",OFFSET('HARGA SATUAN'!$D$6,MATCH(RAB!C46,'HARGA SATUAN'!$C$7:$C$1492,0),0))</f>
        <v/>
      </c>
      <c r="E46" s="354" t="str">
        <f ca="1">IF(B46="+","Unit",IF(ISERROR(OFFSET('HARGA SATUAN'!$E$6,MATCH(RAB!C46,'HARGA SATUAN'!$C$7:$C$1492,0),0)),"",OFFSET('HARGA SATUAN'!$E$6,MATCH(RAB!C46,'HARGA SATUAN'!$C$7:$C$1492,0),0)))</f>
        <v/>
      </c>
      <c r="F46" s="361"/>
      <c r="G46" s="355">
        <f ca="1">IF(ISERROR(OFFSET('HARGA SATUAN'!$I$6,MATCH(RAB!C46,'HARGA SATUAN'!$C$7:$C$1492,0),0)),0,OFFSET('HARGA SATUAN'!$I$6,MATCH(RAB!C46,'HARGA SATUAN'!$C$7:$C$1492,0),0))</f>
        <v>0</v>
      </c>
      <c r="H46" s="356">
        <f t="shared" ca="1" si="36"/>
        <v>0</v>
      </c>
      <c r="I46" s="356">
        <f t="shared" ca="1" si="37"/>
        <v>0</v>
      </c>
      <c r="J46" s="356">
        <f t="shared" ca="1" si="38"/>
        <v>0</v>
      </c>
      <c r="K46" s="357">
        <f t="shared" ca="1" si="39"/>
        <v>0</v>
      </c>
    </row>
    <row r="47" spans="1:22">
      <c r="B47" s="497" t="s">
        <v>1035</v>
      </c>
      <c r="C47" s="498" t="s">
        <v>1617</v>
      </c>
      <c r="D47" s="353" t="str">
        <f ca="1">IF(ISERROR(OFFSET('HARGA SATUAN'!$D$6,MATCH(RAB!C47,'HARGA SATUAN'!$C$7:$C$1492,0),0)),"",OFFSET('HARGA SATUAN'!$D$6,MATCH(RAB!C47,'HARGA SATUAN'!$C$7:$C$1492,0),0))</f>
        <v/>
      </c>
      <c r="E47" s="354" t="str">
        <f ca="1">IF(B47="+","Unit",IF(ISERROR(OFFSET('HARGA SATUAN'!$E$6,MATCH(RAB!C47,'HARGA SATUAN'!$C$7:$C$1492,0),0)),"",OFFSET('HARGA SATUAN'!$E$6,MATCH(RAB!C47,'HARGA SATUAN'!$C$7:$C$1492,0),0)))</f>
        <v>Unit</v>
      </c>
      <c r="F47" s="499">
        <v>1</v>
      </c>
      <c r="G47" s="355">
        <f ca="1">IF(ISERROR(OFFSET('HARGA SATUAN'!$I$6,MATCH(RAB!C47,'HARGA SATUAN'!$C$7:$C$1492,0),0)),0,OFFSET('HARGA SATUAN'!$I$6,MATCH(RAB!C47,'HARGA SATUAN'!$C$7:$C$1492,0),0))</f>
        <v>0</v>
      </c>
      <c r="H47" s="356">
        <f t="shared" ref="H47:H54" ca="1" si="40">IF(OR(D47="MDU",D47="MDU-KD"),(IF($O$3="RAB NON MDU","PLN KD",G47*F47)),0)</f>
        <v>0</v>
      </c>
      <c r="I47" s="356">
        <f t="shared" ref="I47:I54" ca="1" si="41">IF(D47="HDW",G47*F47,0)</f>
        <v>0</v>
      </c>
      <c r="J47" s="356">
        <f t="shared" ref="J47:J54" ca="1" si="42">IF(D47="JASA",G47*F47,0)</f>
        <v>0</v>
      </c>
      <c r="K47" s="357">
        <f t="shared" ref="K47:K54" ca="1" si="43">SUM(H47:J47)</f>
        <v>0</v>
      </c>
    </row>
    <row r="48" spans="1:22">
      <c r="B48" s="497">
        <v>1</v>
      </c>
      <c r="C48" s="498" t="s">
        <v>115</v>
      </c>
      <c r="D48" s="353" t="str">
        <f ca="1">IF(ISERROR(OFFSET('HARGA SATUAN'!$D$6,MATCH(RAB!C48,'HARGA SATUAN'!$C$7:$C$1492,0),0)),"",OFFSET('HARGA SATUAN'!$D$6,MATCH(RAB!C48,'HARGA SATUAN'!$C$7:$C$1492,0),0))</f>
        <v>HDW</v>
      </c>
      <c r="E48" s="354" t="str">
        <f ca="1">IF(B48="+","Unit",IF(ISERROR(OFFSET('HARGA SATUAN'!$E$6,MATCH(RAB!C48,'HARGA SATUAN'!$C$7:$C$1492,0),0)),"",OFFSET('HARGA SATUAN'!$E$6,MATCH(RAB!C48,'HARGA SATUAN'!$C$7:$C$1492,0),0)))</f>
        <v>Set</v>
      </c>
      <c r="F48" s="499">
        <f>F47*1</f>
        <v>1</v>
      </c>
      <c r="G48" s="355">
        <f ca="1">IF(ISERROR(OFFSET('HARGA SATUAN'!$I$6,MATCH(RAB!C48,'HARGA SATUAN'!$C$7:$C$1492,0),0)),0,OFFSET('HARGA SATUAN'!$I$6,MATCH(RAB!C48,'HARGA SATUAN'!$C$7:$C$1492,0),0))</f>
        <v>11500</v>
      </c>
      <c r="H48" s="356">
        <f t="shared" ca="1" si="40"/>
        <v>0</v>
      </c>
      <c r="I48" s="356">
        <f t="shared" ca="1" si="41"/>
        <v>11500</v>
      </c>
      <c r="J48" s="356">
        <f t="shared" ca="1" si="42"/>
        <v>0</v>
      </c>
      <c r="K48" s="357">
        <f t="shared" ca="1" si="43"/>
        <v>11500</v>
      </c>
    </row>
    <row r="49" spans="2:13">
      <c r="B49" s="497">
        <v>2</v>
      </c>
      <c r="C49" s="498" t="s">
        <v>145</v>
      </c>
      <c r="D49" s="353" t="str">
        <f ca="1">IF(ISERROR(OFFSET('HARGA SATUAN'!$D$6,MATCH(RAB!C49,'HARGA SATUAN'!$C$7:$C$1492,0),0)),"",OFFSET('HARGA SATUAN'!$D$6,MATCH(RAB!C49,'HARGA SATUAN'!$C$7:$C$1492,0),0))</f>
        <v>HDW</v>
      </c>
      <c r="E49" s="354" t="str">
        <f ca="1">IF(B49="+","Unit",IF(ISERROR(OFFSET('HARGA SATUAN'!$E$6,MATCH(RAB!C49,'HARGA SATUAN'!$C$7:$C$1492,0),0)),"",OFFSET('HARGA SATUAN'!$E$6,MATCH(RAB!C49,'HARGA SATUAN'!$C$7:$C$1492,0),0)))</f>
        <v>Set</v>
      </c>
      <c r="F49" s="499">
        <f>F47*1</f>
        <v>1</v>
      </c>
      <c r="G49" s="355">
        <f ca="1">IF(ISERROR(OFFSET('HARGA SATUAN'!$I$6,MATCH(RAB!C49,'HARGA SATUAN'!$C$7:$C$1492,0),0)),0,OFFSET('HARGA SATUAN'!$I$6,MATCH(RAB!C49,'HARGA SATUAN'!$C$7:$C$1492,0),0))</f>
        <v>6200</v>
      </c>
      <c r="H49" s="356">
        <f t="shared" ca="1" si="40"/>
        <v>0</v>
      </c>
      <c r="I49" s="356">
        <f t="shared" ca="1" si="41"/>
        <v>6200</v>
      </c>
      <c r="J49" s="356">
        <f t="shared" ca="1" si="42"/>
        <v>0</v>
      </c>
      <c r="K49" s="357">
        <f t="shared" ca="1" si="43"/>
        <v>6200</v>
      </c>
    </row>
    <row r="50" spans="2:13">
      <c r="B50" s="497">
        <v>3</v>
      </c>
      <c r="C50" s="498" t="s">
        <v>587</v>
      </c>
      <c r="D50" s="353" t="str">
        <f ca="1">IF(ISERROR(OFFSET('HARGA SATUAN'!$D$6,MATCH(RAB!C50,'HARGA SATUAN'!$C$7:$C$1492,0),0)),"",OFFSET('HARGA SATUAN'!$D$6,MATCH(RAB!C50,'HARGA SATUAN'!$C$7:$C$1492,0),0))</f>
        <v>HDW</v>
      </c>
      <c r="E50" s="354" t="str">
        <f ca="1">IF(B50="+","Unit",IF(ISERROR(OFFSET('HARGA SATUAN'!$E$6,MATCH(RAB!C50,'HARGA SATUAN'!$C$7:$C$1492,0),0)),"",OFFSET('HARGA SATUAN'!$E$6,MATCH(RAB!C50,'HARGA SATUAN'!$C$7:$C$1492,0),0)))</f>
        <v>Btg</v>
      </c>
      <c r="F50" s="499">
        <f>F47*1</f>
        <v>1</v>
      </c>
      <c r="G50" s="355">
        <f ca="1">IF(ISERROR(OFFSET('HARGA SATUAN'!$I$6,MATCH(RAB!C50,'HARGA SATUAN'!$C$7:$C$1492,0),0)),0,OFFSET('HARGA SATUAN'!$I$6,MATCH(RAB!C50,'HARGA SATUAN'!$C$7:$C$1492,0),0))</f>
        <v>45796</v>
      </c>
      <c r="H50" s="356">
        <f t="shared" ca="1" si="40"/>
        <v>0</v>
      </c>
      <c r="I50" s="356">
        <f t="shared" ca="1" si="41"/>
        <v>45796</v>
      </c>
      <c r="J50" s="356">
        <f t="shared" ca="1" si="42"/>
        <v>0</v>
      </c>
      <c r="K50" s="357">
        <f t="shared" ca="1" si="43"/>
        <v>45796</v>
      </c>
    </row>
    <row r="51" spans="2:13">
      <c r="B51" s="497">
        <v>4</v>
      </c>
      <c r="C51" s="498" t="s">
        <v>118</v>
      </c>
      <c r="D51" s="353" t="str">
        <f ca="1">IF(ISERROR(OFFSET('HARGA SATUAN'!$D$6,MATCH(RAB!C51,'HARGA SATUAN'!$C$7:$C$1492,0),0)),"",OFFSET('HARGA SATUAN'!$D$6,MATCH(RAB!C51,'HARGA SATUAN'!$C$7:$C$1492,0),0))</f>
        <v>HDW</v>
      </c>
      <c r="E51" s="354" t="str">
        <f ca="1">IF(B51="+","Unit",IF(ISERROR(OFFSET('HARGA SATUAN'!$E$6,MATCH(RAB!C51,'HARGA SATUAN'!$C$7:$C$1492,0),0)),"",OFFSET('HARGA SATUAN'!$E$6,MATCH(RAB!C51,'HARGA SATUAN'!$C$7:$C$1492,0),0)))</f>
        <v>Set</v>
      </c>
      <c r="F51" s="499">
        <f>F47*1</f>
        <v>1</v>
      </c>
      <c r="G51" s="355">
        <f ca="1">IF(ISERROR(OFFSET('HARGA SATUAN'!$I$6,MATCH(RAB!C51,'HARGA SATUAN'!$C$7:$C$1492,0),0)),0,OFFSET('HARGA SATUAN'!$I$6,MATCH(RAB!C51,'HARGA SATUAN'!$C$7:$C$1492,0),0))</f>
        <v>5300</v>
      </c>
      <c r="H51" s="356">
        <f t="shared" ca="1" si="40"/>
        <v>0</v>
      </c>
      <c r="I51" s="356">
        <f t="shared" ca="1" si="41"/>
        <v>5300</v>
      </c>
      <c r="J51" s="356">
        <f t="shared" ca="1" si="42"/>
        <v>0</v>
      </c>
      <c r="K51" s="357">
        <f t="shared" ca="1" si="43"/>
        <v>5300</v>
      </c>
    </row>
    <row r="52" spans="2:13">
      <c r="B52" s="497">
        <v>5</v>
      </c>
      <c r="C52" s="498" t="s">
        <v>117</v>
      </c>
      <c r="D52" s="353" t="str">
        <f ca="1">IF(ISERROR(OFFSET('HARGA SATUAN'!$D$6,MATCH(RAB!C52,'HARGA SATUAN'!$C$7:$C$1492,0),0)),"",OFFSET('HARGA SATUAN'!$D$6,MATCH(RAB!C52,'HARGA SATUAN'!$C$7:$C$1492,0),0))</f>
        <v>HDW</v>
      </c>
      <c r="E52" s="354" t="str">
        <f ca="1">IF(B52="+","Unit",IF(ISERROR(OFFSET('HARGA SATUAN'!$E$6,MATCH(RAB!C52,'HARGA SATUAN'!$C$7:$C$1492,0),0)),"",OFFSET('HARGA SATUAN'!$E$6,MATCH(RAB!C52,'HARGA SATUAN'!$C$7:$C$1492,0),0)))</f>
        <v>Bh</v>
      </c>
      <c r="F52" s="499">
        <f>F47*1</f>
        <v>1</v>
      </c>
      <c r="G52" s="355">
        <f ca="1">IF(ISERROR(OFFSET('HARGA SATUAN'!$I$6,MATCH(RAB!C52,'HARGA SATUAN'!$C$7:$C$1492,0),0)),0,OFFSET('HARGA SATUAN'!$I$6,MATCH(RAB!C52,'HARGA SATUAN'!$C$7:$C$1492,0),0))</f>
        <v>58600</v>
      </c>
      <c r="H52" s="356">
        <f t="shared" ca="1" si="40"/>
        <v>0</v>
      </c>
      <c r="I52" s="356">
        <f t="shared" ca="1" si="41"/>
        <v>58600</v>
      </c>
      <c r="J52" s="356">
        <f t="shared" ca="1" si="42"/>
        <v>0</v>
      </c>
      <c r="K52" s="357">
        <f t="shared" ca="1" si="43"/>
        <v>58600</v>
      </c>
    </row>
    <row r="53" spans="2:13">
      <c r="B53" s="497">
        <v>6</v>
      </c>
      <c r="C53" s="109" t="s">
        <v>1155</v>
      </c>
      <c r="D53" s="353" t="str">
        <f ca="1">IF(ISERROR(OFFSET('HARGA SATUAN'!$D$6,MATCH(RAB!C53,'HARGA SATUAN'!$C$7:$C$1492,0),0)),"",OFFSET('HARGA SATUAN'!$D$6,MATCH(RAB!C53,'HARGA SATUAN'!$C$7:$C$1492,0),0))</f>
        <v>HDW</v>
      </c>
      <c r="E53" s="354" t="str">
        <f ca="1">IF(B53="+","Unit",IF(ISERROR(OFFSET('HARGA SATUAN'!$E$6,MATCH(RAB!C53,'HARGA SATUAN'!$C$7:$C$1492,0),0)),"",OFFSET('HARGA SATUAN'!$E$6,MATCH(RAB!C53,'HARGA SATUAN'!$C$7:$C$1492,0),0)))</f>
        <v>Set</v>
      </c>
      <c r="F53" s="499">
        <f>F47*2</f>
        <v>2</v>
      </c>
      <c r="G53" s="355">
        <f ca="1">IF(ISERROR(OFFSET('HARGA SATUAN'!$I$6,MATCH(RAB!C53,'HARGA SATUAN'!$C$7:$C$1492,0),0)),0,OFFSET('HARGA SATUAN'!$I$6,MATCH(RAB!C53,'HARGA SATUAN'!$C$7:$C$1492,0),0))</f>
        <v>2900</v>
      </c>
      <c r="H53" s="356">
        <f t="shared" ca="1" si="40"/>
        <v>0</v>
      </c>
      <c r="I53" s="356">
        <f t="shared" ca="1" si="41"/>
        <v>5800</v>
      </c>
      <c r="J53" s="356">
        <f t="shared" ca="1" si="42"/>
        <v>0</v>
      </c>
      <c r="K53" s="357">
        <f t="shared" ca="1" si="43"/>
        <v>5800</v>
      </c>
    </row>
    <row r="54" spans="2:13">
      <c r="B54" s="497">
        <v>7</v>
      </c>
      <c r="C54" s="498" t="s">
        <v>119</v>
      </c>
      <c r="D54" s="353" t="str">
        <f ca="1">IF(ISERROR(OFFSET('HARGA SATUAN'!$D$6,MATCH(RAB!C54,'HARGA SATUAN'!$C$7:$C$1492,0),0)),"",OFFSET('HARGA SATUAN'!$D$6,MATCH(RAB!C54,'HARGA SATUAN'!$C$7:$C$1492,0),0))</f>
        <v>HDW</v>
      </c>
      <c r="E54" s="354" t="str">
        <f ca="1">IF(B54="+","Unit",IF(ISERROR(OFFSET('HARGA SATUAN'!$E$6,MATCH(RAB!C54,'HARGA SATUAN'!$C$7:$C$1492,0),0)),"",OFFSET('HARGA SATUAN'!$E$6,MATCH(RAB!C54,'HARGA SATUAN'!$C$7:$C$1492,0),0)))</f>
        <v>Set</v>
      </c>
      <c r="F54" s="499">
        <f>F47*4</f>
        <v>4</v>
      </c>
      <c r="G54" s="355">
        <f ca="1">IF(ISERROR(OFFSET('HARGA SATUAN'!$I$6,MATCH(RAB!C54,'HARGA SATUAN'!$C$7:$C$1492,0),0)),0,OFFSET('HARGA SATUAN'!$I$6,MATCH(RAB!C54,'HARGA SATUAN'!$C$7:$C$1492,0),0))</f>
        <v>8900</v>
      </c>
      <c r="H54" s="356">
        <f t="shared" ca="1" si="40"/>
        <v>0</v>
      </c>
      <c r="I54" s="356">
        <f t="shared" ca="1" si="41"/>
        <v>35600</v>
      </c>
      <c r="J54" s="356">
        <f t="shared" ca="1" si="42"/>
        <v>0</v>
      </c>
      <c r="K54" s="357">
        <f t="shared" ca="1" si="43"/>
        <v>35600</v>
      </c>
    </row>
    <row r="55" spans="2:13">
      <c r="B55" s="364"/>
      <c r="C55" s="491"/>
      <c r="D55" s="353"/>
      <c r="E55" s="354"/>
      <c r="F55" s="361"/>
      <c r="G55" s="355"/>
      <c r="H55" s="356"/>
      <c r="I55" s="356"/>
      <c r="J55" s="356"/>
      <c r="K55" s="357"/>
    </row>
    <row r="56" spans="2:13">
      <c r="B56" s="365"/>
      <c r="C56" s="366" t="s">
        <v>475</v>
      </c>
      <c r="D56" s="353" t="str">
        <f ca="1">IF(ISERROR(OFFSET('HARGA SATUAN'!$D$6,MATCH(RAB!C56,'HARGA SATUAN'!$C$7:$C$1492,0),0)),"",OFFSET('HARGA SATUAN'!$D$6,MATCH(RAB!C56,'HARGA SATUAN'!$C$7:$C$1492,0),0))</f>
        <v/>
      </c>
      <c r="E56" s="354" t="str">
        <f ca="1">IF(B56="+","Unit",IF(ISERROR(OFFSET('HARGA SATUAN'!$E$6,MATCH(RAB!C56,'HARGA SATUAN'!$C$7:$C$1492,0),0)),"",OFFSET('HARGA SATUAN'!$E$6,MATCH(RAB!C56,'HARGA SATUAN'!$C$7:$C$1492,0),0)))</f>
        <v/>
      </c>
      <c r="F56" s="361"/>
      <c r="G56" s="355">
        <f ca="1">IF(ISERROR(OFFSET('HARGA SATUAN'!$I$6,MATCH(RAB!C56,'HARGA SATUAN'!$C$7:$C$1492,0),0)),0,OFFSET('HARGA SATUAN'!$I$6,MATCH(RAB!C56,'HARGA SATUAN'!$C$7:$C$1492,0),0))</f>
        <v>0</v>
      </c>
      <c r="H56" s="356">
        <f t="shared" ref="H56" ca="1" si="44">IF(OR(D56="MDU",D56="MDU-KD"),(IF($O$3="RAB NON MDU","PLN KD",G56*F56)),0)</f>
        <v>0</v>
      </c>
      <c r="I56" s="356">
        <f t="shared" ref="I56" ca="1" si="45">IF(D56="HDW",G56*F56,0)</f>
        <v>0</v>
      </c>
      <c r="J56" s="356">
        <f t="shared" ref="J56" ca="1" si="46">IF(D56="JASA",G56*F56,0)</f>
        <v>0</v>
      </c>
      <c r="K56" s="357">
        <f t="shared" ref="K56" ca="1" si="47">SUM(H56:J56)</f>
        <v>0</v>
      </c>
    </row>
    <row r="57" spans="2:13">
      <c r="B57" s="368">
        <v>1</v>
      </c>
      <c r="C57" s="369" t="s">
        <v>1091</v>
      </c>
      <c r="D57" s="370" t="str">
        <f ca="1">IF(ISERROR(OFFSET('HARGA SATUAN'!$D$6,MATCH(RAB!C57,'HARGA SATUAN'!$C$7:$C$1492,0),0)),"",OFFSET('HARGA SATUAN'!$D$6,MATCH(RAB!C57,'HARGA SATUAN'!$C$7:$C$1492,0),0))</f>
        <v>JASA</v>
      </c>
      <c r="E57" s="371" t="str">
        <f ca="1">IF(ISERROR(OFFSET('HARGA SATUAN'!$E$6,MATCH(RAB!C57,'HARGA SATUAN'!$C$7:$C$1492,0),0)),"",OFFSET('HARGA SATUAN'!$E$6,MATCH(RAB!C57,'HARGA SATUAN'!$C$7:$C$1492,0),0))</f>
        <v>Lot</v>
      </c>
      <c r="F57" s="372">
        <v>1</v>
      </c>
      <c r="G57" s="373">
        <f ca="1">IF(ISERROR(OFFSET('HARGA SATUAN'!$I$6,MATCH(RAB!C57,'HARGA SATUAN'!$C$7:$C$1492,0),0)),0,OFFSET('HARGA SATUAN'!$I$6,MATCH(RAB!C57,'HARGA SATUAN'!$C$7:$C$1492,0),0))</f>
        <v>2.5000000000000001E-2</v>
      </c>
      <c r="H57" s="374"/>
      <c r="I57" s="374"/>
      <c r="J57" s="374">
        <f ca="1">SUM(K14:K56)*G57</f>
        <v>162929.05000000002</v>
      </c>
      <c r="K57" s="375">
        <f ca="1">SUM(H57:J57)</f>
        <v>162929.05000000002</v>
      </c>
    </row>
    <row r="58" spans="2:13">
      <c r="B58" s="376"/>
      <c r="C58" s="377"/>
      <c r="D58" s="353" t="str">
        <f ca="1">IF(ISERROR(OFFSET('HARGA SATUAN'!$D$6,MATCH(RAB!C58,'HARGA SATUAN'!$C$7:$C$1492,0),0)),"",OFFSET('HARGA SATUAN'!$D$6,MATCH(RAB!C58,'HARGA SATUAN'!$C$7:$C$1492,0),0))</f>
        <v/>
      </c>
      <c r="E58" s="354" t="str">
        <f ca="1">IF(ISERROR(OFFSET('HARGA SATUAN'!$E$6,MATCH(RAB!C58,'HARGA SATUAN'!$C$7:$C$1492,0),0)),"",OFFSET('HARGA SATUAN'!$E$6,MATCH(RAB!C58,'HARGA SATUAN'!$C$7:$C$1492,0),0))</f>
        <v/>
      </c>
      <c r="F58" s="367"/>
      <c r="G58" s="355" t="str">
        <f ca="1">IF(ISERROR(OFFSET('HARGA SATUAN'!$I$6,MATCH(RAB!C58,'HARGA SATUAN'!$C$7:$C$1492,0),0)),"",OFFSET('HARGA SATUAN'!$I$6,MATCH(RAB!C58,'HARGA SATUAN'!$C$7:$C$1492,0),0))</f>
        <v/>
      </c>
      <c r="H58" s="356">
        <f ca="1">IF(OR(D58="MDU",D58="MDU-KD"),IF(G58="PLN",0,G58*F58),0)</f>
        <v>0</v>
      </c>
      <c r="I58" s="356">
        <f ca="1">IF(D58="HDW",IF(G58="PLN",0,G58*F58),0)</f>
        <v>0</v>
      </c>
      <c r="J58" s="356">
        <f ca="1">IF(D58="JASA",IF(G58="PLN",0,G58*F58),0)</f>
        <v>0</v>
      </c>
      <c r="K58" s="357">
        <f ca="1">SUM(H58:J58)</f>
        <v>0</v>
      </c>
    </row>
    <row r="59" spans="2:13" ht="15.75" thickBot="1">
      <c r="B59" s="378"/>
      <c r="C59" s="379"/>
      <c r="D59" s="380"/>
      <c r="E59" s="381"/>
      <c r="F59" s="381"/>
      <c r="G59" s="381"/>
      <c r="H59" s="382"/>
      <c r="I59" s="382"/>
      <c r="J59" s="382"/>
      <c r="K59" s="383"/>
    </row>
    <row r="60" spans="2:13">
      <c r="B60" s="384"/>
      <c r="C60" s="617" t="s">
        <v>1008</v>
      </c>
      <c r="D60" s="617"/>
      <c r="E60" s="617"/>
      <c r="F60" s="617"/>
      <c r="G60" s="385" t="s">
        <v>9</v>
      </c>
      <c r="H60" s="386">
        <f ca="1">SUM(H14:H58)</f>
        <v>5262300</v>
      </c>
      <c r="I60" s="386">
        <f ca="1">SUM(I14:I58)</f>
        <v>958262</v>
      </c>
      <c r="J60" s="386">
        <f ca="1">SUM(J14:J58)</f>
        <v>459529.05000000005</v>
      </c>
      <c r="K60" s="386">
        <f ca="1">SUM(K14:K58)</f>
        <v>6680091.0499999998</v>
      </c>
    </row>
    <row r="61" spans="2:13">
      <c r="B61" s="388"/>
      <c r="C61" s="600" t="s">
        <v>1457</v>
      </c>
      <c r="D61" s="600"/>
      <c r="E61" s="600"/>
      <c r="F61" s="600"/>
      <c r="G61" s="389" t="s">
        <v>9</v>
      </c>
      <c r="H61" s="390">
        <f ca="1">H60*0.11</f>
        <v>578853</v>
      </c>
      <c r="I61" s="390">
        <f ca="1">I60*0.11</f>
        <v>105408.82</v>
      </c>
      <c r="J61" s="390">
        <f ca="1">J60*0.11</f>
        <v>50548.195500000009</v>
      </c>
      <c r="K61" s="390">
        <f ca="1">K60*0.11</f>
        <v>734810.01549999998</v>
      </c>
    </row>
    <row r="62" spans="2:13" ht="15.75" thickBot="1">
      <c r="B62" s="388"/>
      <c r="C62" s="598" t="s">
        <v>463</v>
      </c>
      <c r="D62" s="598"/>
      <c r="E62" s="598"/>
      <c r="F62" s="598"/>
      <c r="G62" s="391" t="s">
        <v>9</v>
      </c>
      <c r="H62" s="392">
        <f ca="1">SUM(H60:H61)</f>
        <v>5841153</v>
      </c>
      <c r="I62" s="392">
        <f ca="1">SUM(I60:I61)</f>
        <v>1063670.82</v>
      </c>
      <c r="J62" s="391">
        <f ca="1">SUM(J60:J61)</f>
        <v>510077.24550000008</v>
      </c>
      <c r="K62" s="391">
        <f ca="1">SUM(K60:K61)</f>
        <v>7414901.0654999996</v>
      </c>
      <c r="M62" s="470"/>
    </row>
    <row r="63" spans="2:13">
      <c r="B63" s="601" t="str">
        <f ca="1">"Terbilang : "&amp;PROPER(IF(K62=0,"nol",IF(K62&lt;0,"minus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IF(--MID(TEXT(ABS(K62),"000000000000000"),1,3)=0,"",MID(TEXT(ABS(K62),"000000000000000"),1,1)&amp;" ratus "&amp;MID(TEXT(ABS(K62),"000000000000000"),2,1)&amp;" puluh "&amp;MID(TEXT(ABS(K62),"000000000000000"),3,1)&amp;" trilyun ")&amp; IF(--MID(TEXT(ABS(K62),"000000000000000"),4,3)=0,"",MID(TEXT(ABS(K62),"000000000000000"),4,1)&amp;" ratus "&amp;MID(TEXT(ABS(K62),"000000000000000"),5,1)&amp;" puluh "&amp;MID(TEXT(ABS(K62),"000000000000000"),6,1)&amp;" milyar ")&amp; IF(--MID(TEXT(ABS(K62),"000000000000000"),7,3)=0,"",MID(TEXT(ABS(K62),"000000000000000"),7,1)&amp;" ratus "&amp;MID(TEXT(ABS(K62),"000000000000000"),8,1)&amp;" puluh "&amp;MID(TEXT(ABS(K62),"000000000000000"),9,1)&amp;" juta ")&amp; IF(--MID(TEXT(ABS(K62),"000000000000000"),10,3)=0,"",IF(--MID(TEXT(ABS(K62),"000000000000000"),10,3)=1,"*",MID(TEXT(ABS(K62),"000000000000000"),10,1)&amp;" ratus "&amp;MID(TEXT(ABS(K62),"000000000000000"),11,1)&amp;" puluh ")&amp;MID(TEXT(ABS(K62),"000000000000000"),12,1)&amp;" ribu ")&amp; IF(--MID(TEXT(ABS(K62),"000000000000000"),13,3)=0,"",MID(TEXT(ABS(K62),"000000000000000"),13,1)&amp;" ratus "&amp;MID(TEXT(ABS(K62),"000000000000000"),14,1)&amp;" puluh "&amp;MID(TEXT(ABS(K62),"000000000000000"),15,1)),1,"satu"),2,"dua"),3,"tiga"),4,"empat"),5,"lima"),6,"enam"),7,"tujuh"),8,"delapan"),9,"sembilan"),"0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Juta Empat Ratus Empat Belas Ribu Sembilan Ratus Satu Rupiah</v>
      </c>
      <c r="C63" s="602"/>
      <c r="D63" s="602"/>
      <c r="E63" s="602"/>
      <c r="F63" s="602"/>
      <c r="G63" s="602"/>
      <c r="H63" s="602"/>
      <c r="I63" s="602"/>
      <c r="J63" s="602"/>
      <c r="K63" s="603"/>
    </row>
    <row r="64" spans="2:13">
      <c r="B64" s="604"/>
      <c r="C64" s="605"/>
      <c r="D64" s="605"/>
      <c r="E64" s="605"/>
      <c r="F64" s="605"/>
      <c r="G64" s="605"/>
      <c r="H64" s="605"/>
      <c r="I64" s="605"/>
      <c r="J64" s="605"/>
      <c r="K64" s="606"/>
    </row>
    <row r="65" spans="2:11" ht="15.75" thickBot="1">
      <c r="B65" s="393" t="str">
        <f>"Harga yang dipakai adalah "&amp;'HARGA SATUAN'!I5&amp;""</f>
        <v>Harga yang dipakai adalah RAB HSS 2023</v>
      </c>
      <c r="C65" s="394"/>
      <c r="D65" s="395"/>
      <c r="E65" s="395"/>
      <c r="F65" s="395"/>
      <c r="G65" s="396"/>
      <c r="H65" s="396"/>
      <c r="I65" s="396"/>
      <c r="J65" s="396"/>
      <c r="K65" s="397"/>
    </row>
    <row r="66" spans="2:11">
      <c r="C66" s="398"/>
      <c r="E66" s="400"/>
      <c r="F66" s="400"/>
      <c r="G66" s="400"/>
    </row>
    <row r="67" spans="2:11">
      <c r="C67" s="334"/>
      <c r="E67" s="400"/>
      <c r="F67" s="400"/>
      <c r="G67" s="400"/>
      <c r="H67" s="607"/>
      <c r="I67" s="607"/>
      <c r="J67" s="608"/>
      <c r="K67" s="608"/>
    </row>
    <row r="68" spans="2:11">
      <c r="C68" s="334"/>
      <c r="E68" s="400"/>
      <c r="F68" s="400"/>
      <c r="G68" s="400"/>
      <c r="H68" s="401"/>
      <c r="I68" s="597" t="s">
        <v>1610</v>
      </c>
      <c r="J68" s="597"/>
      <c r="K68" s="597"/>
    </row>
    <row r="69" spans="2:11">
      <c r="C69" s="334"/>
      <c r="E69" s="400"/>
      <c r="F69" s="400"/>
      <c r="G69" s="400"/>
      <c r="H69" s="401"/>
      <c r="I69" s="597" t="s">
        <v>1546</v>
      </c>
      <c r="J69" s="597"/>
      <c r="K69" s="597"/>
    </row>
    <row r="70" spans="2:11">
      <c r="C70" s="334"/>
      <c r="E70" s="400"/>
      <c r="F70" s="400"/>
      <c r="G70" s="400"/>
      <c r="H70" s="402"/>
      <c r="I70" s="403"/>
      <c r="J70" s="403"/>
      <c r="K70" s="403"/>
    </row>
    <row r="71" spans="2:11">
      <c r="C71" s="334"/>
      <c r="E71" s="400"/>
      <c r="F71" s="400"/>
      <c r="G71" s="400"/>
      <c r="H71" s="402"/>
      <c r="I71" s="402"/>
      <c r="J71" s="402"/>
      <c r="K71" s="402"/>
    </row>
    <row r="72" spans="2:11">
      <c r="C72" s="334"/>
      <c r="E72" s="400"/>
      <c r="F72" s="400"/>
      <c r="G72" s="400"/>
      <c r="H72" s="402"/>
      <c r="I72" s="402"/>
      <c r="J72" s="402"/>
      <c r="K72" s="402"/>
    </row>
    <row r="73" spans="2:11">
      <c r="C73" s="334"/>
      <c r="E73" s="400"/>
      <c r="F73" s="400"/>
      <c r="G73" s="400"/>
      <c r="H73" s="402"/>
      <c r="I73" s="402"/>
      <c r="J73" s="402"/>
      <c r="K73" s="402"/>
    </row>
    <row r="74" spans="2:11">
      <c r="C74" s="334"/>
      <c r="E74" s="400"/>
      <c r="F74" s="400"/>
      <c r="G74" s="400"/>
      <c r="H74" s="404"/>
      <c r="I74" s="597" t="s">
        <v>1547</v>
      </c>
      <c r="J74" s="597"/>
      <c r="K74" s="597"/>
    </row>
    <row r="75" spans="2:11">
      <c r="C75" s="398"/>
      <c r="E75" s="400"/>
      <c r="F75" s="400"/>
      <c r="G75" s="400"/>
      <c r="H75" s="402"/>
      <c r="I75" s="402"/>
      <c r="J75" s="402"/>
      <c r="K75" s="402"/>
    </row>
    <row r="76" spans="2:11">
      <c r="C76" s="398"/>
      <c r="E76" s="400"/>
      <c r="F76" s="400"/>
      <c r="G76" s="400"/>
      <c r="H76" s="402"/>
      <c r="I76" s="402"/>
      <c r="J76" s="402"/>
      <c r="K76" s="402"/>
    </row>
    <row r="77" spans="2:11">
      <c r="C77" s="398"/>
      <c r="E77" s="400"/>
      <c r="F77" s="400"/>
      <c r="G77" s="400"/>
      <c r="H77" s="402"/>
      <c r="I77" s="402"/>
      <c r="J77" s="402"/>
      <c r="K77" s="402"/>
    </row>
  </sheetData>
  <sheetProtection sort="0" autoFilter="0"/>
  <protectedRanges>
    <protectedRange sqref="B45:B55" name="Range1_1"/>
    <protectedRange sqref="F20:F21 F38:F56 F14:F19" name="Range1_1_2_2"/>
    <protectedRange sqref="C17:C19 C20:C21" name="Range1_1_3"/>
    <protectedRange sqref="C45" name="Range1_1_3_5"/>
    <protectedRange sqref="C42" name="Range1_1_3_11"/>
    <protectedRange sqref="C37" name="Range1_1_3_3"/>
    <protectedRange sqref="C36" name="Range1_1_3_4"/>
  </protectedRanges>
  <mergeCells count="22">
    <mergeCell ref="O3:P4"/>
    <mergeCell ref="B4:K4"/>
    <mergeCell ref="C60:F60"/>
    <mergeCell ref="B11:B13"/>
    <mergeCell ref="C11:C13"/>
    <mergeCell ref="D11:D13"/>
    <mergeCell ref="E11:E13"/>
    <mergeCell ref="F11:F13"/>
    <mergeCell ref="G11:G13"/>
    <mergeCell ref="I12:I13"/>
    <mergeCell ref="I69:K69"/>
    <mergeCell ref="I74:K74"/>
    <mergeCell ref="C62:F62"/>
    <mergeCell ref="G6:K6"/>
    <mergeCell ref="I68:K68"/>
    <mergeCell ref="C61:F61"/>
    <mergeCell ref="B63:K64"/>
    <mergeCell ref="H67:K67"/>
    <mergeCell ref="H11:K11"/>
    <mergeCell ref="H12:H13"/>
    <mergeCell ref="J12:J13"/>
    <mergeCell ref="K12:K13"/>
  </mergeCells>
  <phoneticPr fontId="138" type="noConversion"/>
  <conditionalFormatting sqref="C15 C46 C55 C20:C21">
    <cfRule type="cellIs" dxfId="7" priority="514" operator="equal">
      <formula>0</formula>
    </cfRule>
  </conditionalFormatting>
  <conditionalFormatting sqref="C17:C19">
    <cfRule type="cellIs" dxfId="6" priority="14" operator="equal">
      <formula>0</formula>
    </cfRule>
  </conditionalFormatting>
  <conditionalFormatting sqref="S14:V37 E14:K56">
    <cfRule type="cellIs" dxfId="5" priority="7" stopIfTrue="1" operator="equal">
      <formula>0</formula>
    </cfRule>
  </conditionalFormatting>
  <conditionalFormatting sqref="C36:C37">
    <cfRule type="cellIs" dxfId="4" priority="3" operator="equal">
      <formula>0</formula>
    </cfRule>
  </conditionalFormatting>
  <conditionalFormatting sqref="C42">
    <cfRule type="cellIs" dxfId="3" priority="11" operator="equal">
      <formula>0</formula>
    </cfRule>
  </conditionalFormatting>
  <conditionalFormatting sqref="C53">
    <cfRule type="cellIs" dxfId="2" priority="9" operator="equal">
      <formula>0</formula>
    </cfRule>
  </conditionalFormatting>
  <conditionalFormatting sqref="E1:E3 G1:G13 E5:E13 H12:I12 O13 E57:G57 H57:K59 E58:H58 E59:F59">
    <cfRule type="cellIs" dxfId="1" priority="1094" stopIfTrue="1" operator="equal">
      <formula>0</formula>
    </cfRule>
  </conditionalFormatting>
  <conditionalFormatting sqref="G58:G65524 E63:E65524">
    <cfRule type="cellIs" dxfId="0" priority="228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2:F40 H14:K5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6" zoomScaleNormal="115" zoomScaleSheetLayoutView="100" workbookViewId="0">
      <selection activeCell="W48" sqref="W48:AD51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78" t="s">
        <v>1439</v>
      </c>
      <c r="X2" s="679"/>
      <c r="Y2" s="679"/>
      <c r="Z2" s="679"/>
      <c r="AA2" s="679"/>
      <c r="AB2" s="679"/>
      <c r="AC2" s="679"/>
      <c r="AD2" s="680"/>
    </row>
    <row r="3" spans="3:30">
      <c r="C3" s="238"/>
      <c r="W3" s="681"/>
      <c r="X3" s="682"/>
      <c r="Y3" s="682"/>
      <c r="Z3" s="682"/>
      <c r="AA3" s="682"/>
      <c r="AB3" s="682"/>
      <c r="AC3" s="682"/>
      <c r="AD3" s="683"/>
    </row>
    <row r="4" spans="3:30">
      <c r="C4" s="238"/>
      <c r="W4" s="239" t="s">
        <v>987</v>
      </c>
      <c r="AD4" s="240"/>
    </row>
    <row r="5" spans="3:30">
      <c r="C5" s="238"/>
      <c r="E5" s="500" t="str">
        <f>PETA!$C$6</f>
        <v>-6.887840, 110.648103</v>
      </c>
      <c r="W5" s="241" t="s">
        <v>991</v>
      </c>
      <c r="X5" s="629" t="s">
        <v>990</v>
      </c>
      <c r="Y5" s="629"/>
      <c r="Z5" s="629"/>
      <c r="AA5" s="629" t="s">
        <v>988</v>
      </c>
      <c r="AB5" s="629"/>
      <c r="AC5" s="629" t="s">
        <v>989</v>
      </c>
      <c r="AD5" s="630"/>
    </row>
    <row r="6" spans="3:30">
      <c r="C6" s="238"/>
      <c r="W6" s="241">
        <v>1</v>
      </c>
      <c r="X6" s="629" t="s">
        <v>993</v>
      </c>
      <c r="Y6" s="629"/>
      <c r="Z6" s="629"/>
      <c r="AA6" s="629"/>
      <c r="AB6" s="629"/>
      <c r="AC6" s="629"/>
      <c r="AD6" s="630"/>
    </row>
    <row r="7" spans="3:30">
      <c r="C7" s="238"/>
      <c r="E7" s="494"/>
      <c r="W7" s="241">
        <v>2</v>
      </c>
      <c r="X7" s="629" t="s">
        <v>994</v>
      </c>
      <c r="Y7" s="629"/>
      <c r="Z7" s="629"/>
      <c r="AA7" s="629"/>
      <c r="AB7" s="629"/>
      <c r="AC7" s="629"/>
      <c r="AD7" s="630"/>
    </row>
    <row r="8" spans="3:30">
      <c r="C8" s="238"/>
      <c r="W8" s="241">
        <v>3</v>
      </c>
      <c r="X8" s="629" t="s">
        <v>995</v>
      </c>
      <c r="Y8" s="629"/>
      <c r="Z8" s="629"/>
      <c r="AA8" s="629"/>
      <c r="AB8" s="629"/>
      <c r="AC8" s="629"/>
      <c r="AD8" s="630"/>
    </row>
    <row r="9" spans="3:30">
      <c r="C9" s="238"/>
      <c r="W9" s="241">
        <v>4</v>
      </c>
      <c r="X9" s="629" t="s">
        <v>996</v>
      </c>
      <c r="Y9" s="629"/>
      <c r="Z9" s="629"/>
      <c r="AA9" s="629"/>
      <c r="AB9" s="629"/>
      <c r="AC9" s="629"/>
      <c r="AD9" s="630"/>
    </row>
    <row r="10" spans="3:30">
      <c r="C10" s="238"/>
      <c r="W10" s="241">
        <v>5</v>
      </c>
      <c r="X10" s="629" t="s">
        <v>997</v>
      </c>
      <c r="Y10" s="629"/>
      <c r="Z10" s="629"/>
      <c r="AA10" s="629"/>
      <c r="AB10" s="629"/>
      <c r="AC10" s="629"/>
      <c r="AD10" s="630"/>
    </row>
    <row r="11" spans="3:30">
      <c r="C11" s="238"/>
      <c r="W11" s="241">
        <v>6</v>
      </c>
      <c r="X11" s="629" t="s">
        <v>998</v>
      </c>
      <c r="Y11" s="629"/>
      <c r="Z11" s="629"/>
      <c r="AA11" s="629"/>
      <c r="AB11" s="629"/>
      <c r="AC11" s="629"/>
      <c r="AD11" s="630"/>
    </row>
    <row r="12" spans="3:30">
      <c r="C12" s="238"/>
      <c r="W12" s="241">
        <v>7</v>
      </c>
      <c r="X12" s="629" t="s">
        <v>999</v>
      </c>
      <c r="Y12" s="629"/>
      <c r="Z12" s="629"/>
      <c r="AA12" s="629"/>
      <c r="AB12" s="629"/>
      <c r="AC12" s="629"/>
      <c r="AD12" s="630"/>
    </row>
    <row r="13" spans="3:30" ht="12.75" customHeight="1">
      <c r="C13" s="238"/>
      <c r="W13" s="241">
        <v>8</v>
      </c>
      <c r="X13" s="629" t="s">
        <v>1000</v>
      </c>
      <c r="Y13" s="629"/>
      <c r="Z13" s="629"/>
      <c r="AA13" s="629"/>
      <c r="AB13" s="629"/>
      <c r="AC13" s="629"/>
      <c r="AD13" s="630"/>
    </row>
    <row r="14" spans="3:30">
      <c r="C14" s="238"/>
      <c r="W14" s="241">
        <v>9</v>
      </c>
      <c r="X14" s="629" t="s">
        <v>1001</v>
      </c>
      <c r="Y14" s="629"/>
      <c r="Z14" s="629"/>
      <c r="AA14" s="629"/>
      <c r="AB14" s="629"/>
      <c r="AC14" s="629"/>
      <c r="AD14" s="630"/>
    </row>
    <row r="15" spans="3:30">
      <c r="C15" s="238"/>
      <c r="W15" s="241">
        <v>10</v>
      </c>
      <c r="X15" s="629" t="s">
        <v>1010</v>
      </c>
      <c r="Y15" s="629"/>
      <c r="Z15" s="629"/>
      <c r="AA15" s="629"/>
      <c r="AB15" s="629"/>
      <c r="AC15" s="629"/>
      <c r="AD15" s="630"/>
    </row>
    <row r="16" spans="3:30">
      <c r="C16" s="238"/>
      <c r="W16" s="241">
        <v>11</v>
      </c>
      <c r="X16" s="629" t="s">
        <v>1455</v>
      </c>
      <c r="Y16" s="629"/>
      <c r="Z16" s="629"/>
      <c r="AA16" s="629"/>
      <c r="AB16" s="629"/>
      <c r="AC16" s="629"/>
      <c r="AD16" s="630"/>
    </row>
    <row r="17" spans="3:30">
      <c r="C17" s="238"/>
      <c r="S17" s="242"/>
      <c r="W17" s="241">
        <v>12</v>
      </c>
      <c r="X17" s="629" t="s">
        <v>1011</v>
      </c>
      <c r="Y17" s="629"/>
      <c r="Z17" s="629"/>
      <c r="AA17" s="629"/>
      <c r="AB17" s="629"/>
      <c r="AC17" s="629"/>
      <c r="AD17" s="630"/>
    </row>
    <row r="18" spans="3:30">
      <c r="C18" s="243"/>
      <c r="D18" s="244"/>
      <c r="E18" s="244"/>
      <c r="W18" s="241">
        <v>13</v>
      </c>
      <c r="X18" s="629"/>
      <c r="Y18" s="629"/>
      <c r="Z18" s="629"/>
      <c r="AA18" s="629"/>
      <c r="AB18" s="629"/>
      <c r="AC18" s="629"/>
      <c r="AD18" s="630"/>
    </row>
    <row r="19" spans="3:30">
      <c r="C19" s="238"/>
      <c r="W19" s="245"/>
      <c r="X19" s="676"/>
      <c r="Y19" s="676"/>
      <c r="Z19" s="676"/>
      <c r="AA19" s="676"/>
      <c r="AB19" s="676"/>
      <c r="AC19" s="676"/>
      <c r="AD19" s="677"/>
    </row>
    <row r="20" spans="3:30">
      <c r="C20" s="238"/>
      <c r="W20" s="665" t="s">
        <v>992</v>
      </c>
      <c r="X20" s="666"/>
      <c r="Y20" s="666"/>
      <c r="Z20" s="666"/>
      <c r="AA20" s="666"/>
      <c r="AB20" s="666"/>
      <c r="AC20" s="666"/>
      <c r="AD20" s="667"/>
    </row>
    <row r="21" spans="3:30">
      <c r="C21" s="238"/>
      <c r="W21" s="668" t="s">
        <v>985</v>
      </c>
      <c r="X21" s="669"/>
      <c r="Y21" s="669"/>
      <c r="Z21" s="670"/>
      <c r="AA21" s="671" t="s">
        <v>986</v>
      </c>
      <c r="AB21" s="672"/>
      <c r="AC21" s="672"/>
      <c r="AD21" s="673"/>
    </row>
    <row r="22" spans="3:30">
      <c r="C22" s="238"/>
      <c r="W22" s="663" t="s">
        <v>1624</v>
      </c>
      <c r="X22" s="664"/>
      <c r="Y22" s="480" t="s">
        <v>1058</v>
      </c>
      <c r="Z22" s="481">
        <v>2</v>
      </c>
      <c r="AA22" s="674"/>
      <c r="AB22" s="675"/>
      <c r="AC22" s="248"/>
      <c r="AD22" s="249"/>
    </row>
    <row r="23" spans="3:30">
      <c r="C23" s="238"/>
      <c r="W23" s="663" t="s">
        <v>1625</v>
      </c>
      <c r="X23" s="664"/>
      <c r="Y23" s="480" t="s">
        <v>1058</v>
      </c>
      <c r="Z23" s="481">
        <v>1</v>
      </c>
      <c r="AA23" s="661"/>
      <c r="AB23" s="662"/>
      <c r="AC23" s="248"/>
      <c r="AD23" s="249"/>
    </row>
    <row r="24" spans="3:30">
      <c r="C24" s="238"/>
      <c r="W24" s="649" t="s">
        <v>1626</v>
      </c>
      <c r="X24" s="650"/>
      <c r="Y24" s="480" t="s">
        <v>7</v>
      </c>
      <c r="Z24" s="481">
        <v>135</v>
      </c>
      <c r="AA24" s="659"/>
      <c r="AB24" s="660"/>
      <c r="AC24" s="248"/>
      <c r="AD24" s="249"/>
    </row>
    <row r="25" spans="3:30">
      <c r="C25" s="238"/>
      <c r="W25" s="478" t="s">
        <v>1627</v>
      </c>
      <c r="X25" s="479"/>
      <c r="Y25" s="480" t="s">
        <v>1058</v>
      </c>
      <c r="Z25" s="481">
        <v>1</v>
      </c>
      <c r="AA25" s="661"/>
      <c r="AB25" s="662"/>
      <c r="AC25" s="248"/>
      <c r="AD25" s="249"/>
    </row>
    <row r="26" spans="3:30">
      <c r="C26" s="238"/>
      <c r="W26" s="649"/>
      <c r="X26" s="650"/>
      <c r="Y26" s="480"/>
      <c r="Z26" s="481"/>
      <c r="AA26" s="661"/>
      <c r="AB26" s="662"/>
      <c r="AC26" s="248"/>
      <c r="AD26" s="249"/>
    </row>
    <row r="27" spans="3:30">
      <c r="C27" s="238"/>
      <c r="W27" s="649"/>
      <c r="X27" s="650"/>
      <c r="Y27" s="480"/>
      <c r="Z27" s="481"/>
      <c r="AA27" s="657"/>
      <c r="AB27" s="658"/>
      <c r="AC27" s="248"/>
      <c r="AD27" s="249"/>
    </row>
    <row r="28" spans="3:30">
      <c r="C28" s="238"/>
      <c r="W28" s="649"/>
      <c r="X28" s="650"/>
      <c r="Y28" s="480"/>
      <c r="Z28" s="481"/>
      <c r="AA28" s="657"/>
      <c r="AB28" s="658"/>
      <c r="AC28" s="248"/>
      <c r="AD28" s="249"/>
    </row>
    <row r="29" spans="3:30">
      <c r="C29" s="238"/>
      <c r="W29" s="649"/>
      <c r="X29" s="650"/>
      <c r="Y29" s="480"/>
      <c r="Z29" s="481"/>
      <c r="AA29" s="657"/>
      <c r="AB29" s="658"/>
      <c r="AC29" s="248"/>
      <c r="AD29" s="249"/>
    </row>
    <row r="30" spans="3:30" ht="11.25" customHeight="1">
      <c r="C30" s="238"/>
      <c r="W30" s="478"/>
      <c r="X30" s="479"/>
      <c r="Y30" s="480"/>
      <c r="Z30" s="481"/>
      <c r="AA30" s="657"/>
      <c r="AB30" s="658"/>
      <c r="AC30" s="248"/>
      <c r="AD30" s="249"/>
    </row>
    <row r="31" spans="3:30">
      <c r="C31" s="238"/>
      <c r="U31" s="250"/>
      <c r="W31" s="649"/>
      <c r="X31" s="650"/>
      <c r="Y31" s="480"/>
      <c r="Z31" s="481"/>
      <c r="AA31" s="657"/>
      <c r="AB31" s="658"/>
      <c r="AC31" s="248"/>
      <c r="AD31" s="249"/>
    </row>
    <row r="32" spans="3:30">
      <c r="C32" s="238"/>
      <c r="U32" s="250"/>
      <c r="W32" s="663"/>
      <c r="X32" s="664"/>
      <c r="Y32" s="246"/>
      <c r="Z32" s="481"/>
      <c r="AA32" s="657"/>
      <c r="AB32" s="658"/>
      <c r="AC32" s="248"/>
      <c r="AD32" s="249"/>
    </row>
    <row r="33" spans="3:30">
      <c r="C33" s="238"/>
      <c r="W33" s="649"/>
      <c r="X33" s="650"/>
      <c r="Y33" s="480"/>
      <c r="Z33" s="481"/>
      <c r="AA33" s="651"/>
      <c r="AB33" s="651"/>
      <c r="AC33" s="248"/>
      <c r="AD33" s="249"/>
    </row>
    <row r="34" spans="3:30">
      <c r="C34" s="238"/>
      <c r="W34" s="478"/>
      <c r="X34" s="479"/>
      <c r="Y34" s="246"/>
      <c r="Z34" s="481"/>
      <c r="AA34" s="651"/>
      <c r="AB34" s="651"/>
      <c r="AC34" s="248"/>
      <c r="AD34" s="249"/>
    </row>
    <row r="35" spans="3:30">
      <c r="C35" s="238"/>
      <c r="W35" s="649"/>
      <c r="X35" s="650"/>
      <c r="Y35" s="246"/>
      <c r="Z35" s="247"/>
      <c r="AA35" s="651"/>
      <c r="AB35" s="651"/>
      <c r="AC35" s="248"/>
      <c r="AD35" s="249"/>
    </row>
    <row r="36" spans="3:30">
      <c r="C36" s="238"/>
      <c r="W36" s="649"/>
      <c r="X36" s="650"/>
      <c r="Y36" s="480"/>
      <c r="Z36" s="481"/>
      <c r="AA36" s="651"/>
      <c r="AB36" s="651"/>
      <c r="AC36" s="248"/>
      <c r="AD36" s="249"/>
    </row>
    <row r="37" spans="3:30" ht="12.75" customHeight="1">
      <c r="C37" s="238"/>
      <c r="W37" s="652"/>
      <c r="X37" s="653"/>
      <c r="Y37" s="246"/>
      <c r="Z37" s="481"/>
      <c r="AA37" s="654"/>
      <c r="AB37" s="654"/>
      <c r="AC37" s="251"/>
      <c r="AD37" s="252"/>
    </row>
    <row r="38" spans="3:30" ht="12.75" customHeight="1">
      <c r="C38" s="238"/>
      <c r="W38" s="652"/>
      <c r="X38" s="653"/>
      <c r="Y38" s="253"/>
      <c r="Z38" s="247"/>
      <c r="AA38" s="655"/>
      <c r="AB38" s="656"/>
      <c r="AC38" s="251"/>
      <c r="AD38" s="252"/>
    </row>
    <row r="39" spans="3:30" ht="12" customHeight="1">
      <c r="C39" s="238"/>
      <c r="W39" s="652"/>
      <c r="X39" s="653"/>
      <c r="Y39" s="253"/>
      <c r="Z39" s="254"/>
      <c r="AA39" s="645"/>
      <c r="AB39" s="646"/>
      <c r="AC39" s="251"/>
      <c r="AD39" s="252"/>
    </row>
    <row r="40" spans="3:30" ht="12" customHeight="1">
      <c r="C40" s="238"/>
      <c r="W40" s="641"/>
      <c r="X40" s="642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43"/>
      <c r="X41" s="644"/>
      <c r="Y41" s="257"/>
      <c r="Z41" s="258"/>
      <c r="AA41" s="645"/>
      <c r="AB41" s="646"/>
      <c r="AC41" s="251"/>
      <c r="AD41" s="252"/>
    </row>
    <row r="42" spans="3:30" ht="12" customHeight="1">
      <c r="C42" s="238"/>
      <c r="W42" s="647" t="s">
        <v>1456</v>
      </c>
      <c r="X42" s="648"/>
      <c r="Y42" s="648"/>
      <c r="Z42" s="648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26" t="s">
        <v>11</v>
      </c>
      <c r="X44" s="627"/>
      <c r="Y44" s="629"/>
      <c r="Z44" s="629"/>
      <c r="AA44" s="629"/>
      <c r="AB44" s="629"/>
      <c r="AC44" s="629"/>
      <c r="AD44" s="630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26" t="s">
        <v>984</v>
      </c>
      <c r="X45" s="627"/>
      <c r="Y45" s="629">
        <v>1</v>
      </c>
      <c r="Z45" s="629"/>
      <c r="AA45" s="629"/>
      <c r="AB45" s="629" t="s">
        <v>12</v>
      </c>
      <c r="AC45" s="629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26" t="s">
        <v>15</v>
      </c>
      <c r="X46" s="627"/>
      <c r="Y46" s="640"/>
      <c r="Z46" s="640"/>
      <c r="AA46" s="640"/>
      <c r="AB46" s="629" t="s">
        <v>16</v>
      </c>
      <c r="AC46" s="629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34" t="s">
        <v>17</v>
      </c>
      <c r="X47" s="634"/>
      <c r="Y47" s="634"/>
      <c r="Z47" s="634"/>
      <c r="AA47" s="634"/>
      <c r="AB47" s="634"/>
      <c r="AC47" s="634"/>
      <c r="AD47" s="635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36" t="str">
        <f>RAB!G6</f>
        <v>T.NOTOSUKARJO</v>
      </c>
      <c r="X48" s="636"/>
      <c r="Y48" s="636"/>
      <c r="Z48" s="636"/>
      <c r="AA48" s="636"/>
      <c r="AB48" s="636"/>
      <c r="AC48" s="636"/>
      <c r="AD48" s="637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36"/>
      <c r="X49" s="636"/>
      <c r="Y49" s="636"/>
      <c r="Z49" s="636"/>
      <c r="AA49" s="636"/>
      <c r="AB49" s="636"/>
      <c r="AC49" s="636"/>
      <c r="AD49" s="637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36"/>
      <c r="X50" s="636"/>
      <c r="Y50" s="636"/>
      <c r="Z50" s="636"/>
      <c r="AA50" s="636"/>
      <c r="AB50" s="636"/>
      <c r="AC50" s="636"/>
      <c r="AD50" s="637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38"/>
      <c r="X51" s="638"/>
      <c r="Y51" s="638"/>
      <c r="Z51" s="638"/>
      <c r="AA51" s="638"/>
      <c r="AB51" s="638"/>
      <c r="AC51" s="638"/>
      <c r="AD51" s="639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26" t="s">
        <v>18</v>
      </c>
      <c r="X52" s="627"/>
      <c r="Y52" s="629" t="s">
        <v>1549</v>
      </c>
      <c r="Z52" s="629"/>
      <c r="AA52" s="629"/>
      <c r="AB52" s="629"/>
      <c r="AC52" s="629"/>
      <c r="AD52" s="630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26" t="s">
        <v>19</v>
      </c>
      <c r="X53" s="627"/>
      <c r="Y53" s="629" t="s">
        <v>1549</v>
      </c>
      <c r="Z53" s="629"/>
      <c r="AA53" s="629"/>
      <c r="AB53" s="629"/>
      <c r="AC53" s="629"/>
      <c r="AD53" s="630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26" t="s">
        <v>20</v>
      </c>
      <c r="X54" s="627"/>
      <c r="Y54" s="628" t="s">
        <v>1550</v>
      </c>
      <c r="Z54" s="628"/>
      <c r="AA54" s="628"/>
      <c r="AB54" s="629"/>
      <c r="AC54" s="629"/>
      <c r="AD54" s="630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31" t="s">
        <v>21</v>
      </c>
      <c r="X55" s="632"/>
      <c r="Y55" s="628" t="s">
        <v>1551</v>
      </c>
      <c r="Z55" s="628"/>
      <c r="AA55" s="628"/>
      <c r="AB55" s="628"/>
      <c r="AC55" s="628"/>
      <c r="AD55" s="633"/>
    </row>
  </sheetData>
  <mergeCells count="108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Q57" sqref="Q57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4" t="s">
        <v>1528</v>
      </c>
      <c r="E4" s="685"/>
      <c r="F4" s="685"/>
      <c r="G4" s="685"/>
      <c r="H4" s="685"/>
      <c r="I4" s="685"/>
      <c r="J4" s="685"/>
      <c r="K4" s="685"/>
      <c r="L4" s="685"/>
      <c r="M4" s="685"/>
      <c r="N4" s="685"/>
      <c r="O4" s="685"/>
      <c r="P4" s="685"/>
      <c r="Q4" s="685"/>
      <c r="R4" s="685"/>
      <c r="S4" s="685"/>
      <c r="T4" s="685"/>
      <c r="U4" s="685"/>
      <c r="V4" s="685"/>
      <c r="W4" s="685"/>
      <c r="X4" s="685"/>
      <c r="Y4" s="685"/>
      <c r="Z4" s="685"/>
      <c r="AA4" s="685"/>
      <c r="AB4" s="685"/>
      <c r="AC4" s="686"/>
      <c r="AD4" s="217"/>
      <c r="AE4" s="216"/>
      <c r="AF4" s="216"/>
    </row>
    <row r="5" spans="2:32" ht="13.5" customHeight="1">
      <c r="B5" s="215"/>
      <c r="C5" s="215"/>
      <c r="D5" s="687"/>
      <c r="E5" s="688"/>
      <c r="F5" s="688"/>
      <c r="G5" s="688"/>
      <c r="H5" s="688"/>
      <c r="I5" s="688"/>
      <c r="J5" s="688"/>
      <c r="K5" s="688"/>
      <c r="L5" s="688"/>
      <c r="M5" s="688"/>
      <c r="N5" s="688"/>
      <c r="O5" s="688"/>
      <c r="P5" s="688"/>
      <c r="Q5" s="688"/>
      <c r="R5" s="688"/>
      <c r="S5" s="688"/>
      <c r="T5" s="688"/>
      <c r="U5" s="688"/>
      <c r="V5" s="688"/>
      <c r="W5" s="688"/>
      <c r="X5" s="688"/>
      <c r="Y5" s="688"/>
      <c r="Z5" s="688"/>
      <c r="AA5" s="688"/>
      <c r="AB5" s="688"/>
      <c r="AC5" s="689"/>
      <c r="AD5" s="217"/>
      <c r="AE5" s="216"/>
      <c r="AF5" s="216"/>
    </row>
    <row r="6" spans="2:32" ht="12.75" customHeight="1">
      <c r="B6" s="215"/>
      <c r="C6" s="215"/>
      <c r="D6" s="687"/>
      <c r="E6" s="688"/>
      <c r="F6" s="688"/>
      <c r="G6" s="688"/>
      <c r="H6" s="688"/>
      <c r="I6" s="688"/>
      <c r="J6" s="688"/>
      <c r="K6" s="688"/>
      <c r="L6" s="688"/>
      <c r="M6" s="688"/>
      <c r="N6" s="688"/>
      <c r="O6" s="688"/>
      <c r="P6" s="688"/>
      <c r="Q6" s="688"/>
      <c r="R6" s="688"/>
      <c r="S6" s="688"/>
      <c r="T6" s="688"/>
      <c r="U6" s="688"/>
      <c r="V6" s="688"/>
      <c r="W6" s="688"/>
      <c r="X6" s="688"/>
      <c r="Y6" s="688"/>
      <c r="Z6" s="688"/>
      <c r="AA6" s="688"/>
      <c r="AB6" s="688"/>
      <c r="AC6" s="689"/>
      <c r="AE6" s="216"/>
      <c r="AF6" s="216"/>
    </row>
    <row r="7" spans="2:32" ht="12.75" customHeight="1" thickBot="1">
      <c r="B7" s="215"/>
      <c r="C7" s="215"/>
      <c r="D7" s="690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1"/>
      <c r="P7" s="691"/>
      <c r="Q7" s="691"/>
      <c r="R7" s="691"/>
      <c r="S7" s="691"/>
      <c r="T7" s="691"/>
      <c r="U7" s="691"/>
      <c r="V7" s="691"/>
      <c r="W7" s="691"/>
      <c r="X7" s="691"/>
      <c r="Y7" s="691"/>
      <c r="Z7" s="691"/>
      <c r="AA7" s="691"/>
      <c r="AB7" s="691"/>
      <c r="AC7" s="69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W33" sqref="W33:W34"/>
    </sheetView>
  </sheetViews>
  <sheetFormatPr defaultRowHeight="12.75"/>
  <cols>
    <col min="1" max="1" width="1.7109375" style="415" customWidth="1"/>
    <col min="2" max="2" width="10.7109375" style="415" customWidth="1"/>
    <col min="3" max="3" width="2.5703125" style="415" customWidth="1"/>
    <col min="4" max="20" width="9.140625" style="415"/>
    <col min="21" max="21" width="14.5703125" style="415" customWidth="1"/>
    <col min="22" max="22" width="3.140625" style="415" customWidth="1"/>
    <col min="23" max="26" width="9.140625" style="415"/>
    <col min="27" max="27" width="2.85546875" style="415" customWidth="1"/>
    <col min="28" max="30" width="4.7109375" style="415" customWidth="1"/>
    <col min="31" max="31" width="1.7109375" style="415" customWidth="1"/>
    <col min="32" max="16384" width="9.140625" style="41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88" t="s">
        <v>1527</v>
      </c>
      <c r="D3" s="688"/>
      <c r="E3" s="688"/>
      <c r="F3" s="688"/>
      <c r="G3" s="688"/>
      <c r="H3" s="688"/>
      <c r="I3" s="688"/>
      <c r="J3" s="688"/>
      <c r="K3" s="688"/>
      <c r="L3" s="688"/>
      <c r="M3" s="688"/>
      <c r="N3" s="688"/>
      <c r="O3" s="688"/>
      <c r="P3" s="688"/>
      <c r="Q3" s="688"/>
      <c r="R3" s="688"/>
      <c r="S3" s="688"/>
      <c r="T3" s="688"/>
      <c r="U3" s="688"/>
      <c r="V3" s="688"/>
      <c r="W3" s="182"/>
      <c r="X3" s="426"/>
      <c r="Y3" s="426"/>
      <c r="Z3" s="426"/>
      <c r="AA3" s="426"/>
      <c r="AB3" s="426"/>
      <c r="AC3" s="416"/>
    </row>
    <row r="4" spans="1:29" ht="18.75" customHeight="1">
      <c r="A4" s="181"/>
      <c r="C4" s="688"/>
      <c r="D4" s="688"/>
      <c r="E4" s="688"/>
      <c r="F4" s="688"/>
      <c r="G4" s="688"/>
      <c r="H4" s="688"/>
      <c r="I4" s="688"/>
      <c r="J4" s="688"/>
      <c r="K4" s="688"/>
      <c r="L4" s="688"/>
      <c r="M4" s="688"/>
      <c r="N4" s="688"/>
      <c r="O4" s="688"/>
      <c r="P4" s="688"/>
      <c r="Q4" s="688"/>
      <c r="R4" s="688"/>
      <c r="S4" s="688"/>
      <c r="T4" s="688"/>
      <c r="U4" s="688"/>
      <c r="V4" s="688"/>
      <c r="W4" s="182"/>
      <c r="X4" s="426"/>
      <c r="Y4" s="426"/>
      <c r="Z4" s="426"/>
      <c r="AA4" s="426"/>
      <c r="AB4" s="426"/>
      <c r="AC4" s="416"/>
    </row>
    <row r="5" spans="1:29" ht="12.75" customHeight="1">
      <c r="A5" s="181"/>
      <c r="C5" s="417"/>
      <c r="W5" s="182"/>
    </row>
    <row r="6" spans="1:29" ht="12.75" customHeight="1">
      <c r="A6" s="181"/>
      <c r="C6" s="693" t="s">
        <v>1623</v>
      </c>
      <c r="D6" s="694"/>
      <c r="E6" s="694"/>
      <c r="F6" s="694"/>
      <c r="G6" s="694"/>
      <c r="H6" s="694"/>
      <c r="I6" s="694"/>
      <c r="J6" s="694"/>
      <c r="K6" s="694"/>
      <c r="L6" s="694"/>
      <c r="M6" s="694"/>
      <c r="W6" s="182"/>
      <c r="Y6" s="418"/>
      <c r="Z6" s="418"/>
      <c r="AA6" s="418"/>
      <c r="AB6" s="419"/>
      <c r="AC6" s="419"/>
    </row>
    <row r="7" spans="1:29" ht="18" customHeight="1">
      <c r="A7" s="181"/>
      <c r="C7" s="694"/>
      <c r="D7" s="694"/>
      <c r="E7" s="694"/>
      <c r="F7" s="694"/>
      <c r="G7" s="694"/>
      <c r="H7" s="694"/>
      <c r="I7" s="694"/>
      <c r="J7" s="694"/>
      <c r="K7" s="694"/>
      <c r="L7" s="694"/>
      <c r="M7" s="694"/>
      <c r="W7" s="182"/>
      <c r="Y7" s="418"/>
      <c r="Z7" s="418"/>
      <c r="AA7" s="418"/>
      <c r="AB7" s="419"/>
      <c r="AC7" s="41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1"/>
      <c r="S54" s="421"/>
      <c r="T54" s="421"/>
      <c r="U54" s="422"/>
      <c r="V54" s="422"/>
      <c r="W54" s="183"/>
      <c r="X54" s="422"/>
      <c r="Y54" s="422"/>
      <c r="Z54" s="422"/>
      <c r="AA54" s="422"/>
      <c r="AB54" s="422"/>
      <c r="AC54" s="422"/>
      <c r="AD54" s="42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7"/>
      <c r="S55" s="428"/>
      <c r="T55" s="428"/>
      <c r="U55" s="186"/>
      <c r="V55" s="187"/>
      <c r="W55" s="188"/>
      <c r="X55" s="422"/>
      <c r="Y55" s="422"/>
      <c r="Z55" s="422"/>
      <c r="AA55" s="423"/>
      <c r="AB55" s="423"/>
      <c r="AC55" s="423"/>
      <c r="AD55" s="423"/>
    </row>
    <row r="56" spans="1:30">
      <c r="U56" s="422"/>
      <c r="V56" s="423"/>
      <c r="W56" s="422"/>
      <c r="X56" s="422"/>
      <c r="Y56" s="422"/>
      <c r="Z56" s="422"/>
      <c r="AA56" s="423"/>
      <c r="AB56" s="422"/>
      <c r="AC56" s="422"/>
      <c r="AD56" s="422"/>
    </row>
    <row r="57" spans="1:30">
      <c r="U57" s="422"/>
      <c r="V57" s="423"/>
      <c r="W57" s="422"/>
      <c r="X57" s="422"/>
      <c r="Y57" s="422"/>
      <c r="Z57" s="422"/>
      <c r="AA57" s="422"/>
      <c r="AB57" s="422"/>
      <c r="AC57" s="422"/>
      <c r="AD57" s="422"/>
    </row>
    <row r="58" spans="1:30">
      <c r="U58" s="422"/>
      <c r="V58" s="423"/>
      <c r="W58" s="422"/>
      <c r="X58" s="422"/>
      <c r="Y58" s="422"/>
      <c r="Z58" s="422"/>
      <c r="AA58" s="422"/>
      <c r="AB58" s="422"/>
      <c r="AC58" s="422"/>
      <c r="AD58" s="422"/>
    </row>
    <row r="59" spans="1:30">
      <c r="U59" s="422"/>
      <c r="V59" s="423"/>
      <c r="W59" s="422"/>
      <c r="X59" s="422"/>
      <c r="Y59" s="422"/>
      <c r="Z59" s="422"/>
      <c r="AA59" s="422"/>
      <c r="AB59" s="422"/>
      <c r="AC59" s="422"/>
      <c r="AD59" s="422"/>
    </row>
    <row r="60" spans="1:30">
      <c r="U60" s="422"/>
      <c r="V60" s="423"/>
      <c r="W60" s="422"/>
      <c r="X60" s="422"/>
      <c r="Y60" s="422"/>
      <c r="Z60" s="422"/>
      <c r="AA60" s="423"/>
      <c r="AB60" s="422"/>
      <c r="AC60" s="422"/>
      <c r="AD60" s="422"/>
    </row>
    <row r="61" spans="1:30">
      <c r="U61" s="422"/>
      <c r="V61" s="423"/>
      <c r="W61" s="422"/>
      <c r="X61" s="422"/>
      <c r="Y61" s="422"/>
      <c r="Z61" s="422"/>
      <c r="AA61" s="422"/>
      <c r="AB61" s="422"/>
      <c r="AC61" s="422"/>
      <c r="AD61" s="422"/>
    </row>
    <row r="62" spans="1:30">
      <c r="U62" s="422"/>
      <c r="V62" s="423"/>
      <c r="W62" s="422"/>
      <c r="X62" s="422"/>
      <c r="Y62" s="422"/>
      <c r="Z62" s="422"/>
      <c r="AA62" s="422"/>
      <c r="AB62" s="422"/>
      <c r="AC62" s="422"/>
      <c r="AD62" s="422"/>
    </row>
    <row r="63" spans="1:30">
      <c r="U63" s="422"/>
      <c r="V63" s="423"/>
      <c r="W63" s="422"/>
      <c r="X63" s="422"/>
      <c r="Y63" s="422"/>
      <c r="Z63" s="422"/>
      <c r="AA63" s="422"/>
      <c r="AB63" s="422"/>
      <c r="AC63" s="422"/>
      <c r="AD63" s="422"/>
    </row>
    <row r="64" spans="1:30">
      <c r="U64" s="422"/>
      <c r="V64" s="423"/>
      <c r="W64" s="422"/>
      <c r="X64" s="422"/>
      <c r="Y64" s="422"/>
      <c r="Z64" s="422"/>
      <c r="AA64" s="422"/>
      <c r="AB64" s="422"/>
      <c r="AC64" s="422"/>
      <c r="AD64" s="422"/>
    </row>
    <row r="65" spans="5:30">
      <c r="U65" s="422"/>
      <c r="V65" s="423"/>
      <c r="W65" s="422"/>
      <c r="X65" s="422"/>
      <c r="Y65" s="422"/>
      <c r="Z65" s="422"/>
      <c r="AA65" s="422"/>
      <c r="AB65" s="422"/>
      <c r="AC65" s="422"/>
      <c r="AD65" s="422"/>
    </row>
    <row r="66" spans="5:30" ht="6" customHeight="1"/>
    <row r="73" spans="5:30">
      <c r="M73" s="424"/>
    </row>
    <row r="74" spans="5:30" ht="15" customHeight="1">
      <c r="E74" s="425"/>
      <c r="M74" s="424"/>
    </row>
    <row r="75" spans="5:30" ht="15" customHeight="1">
      <c r="E75" s="425"/>
      <c r="M75" s="424"/>
    </row>
    <row r="76" spans="5:30" ht="15" customHeight="1">
      <c r="E76" s="425"/>
      <c r="M76" s="424"/>
    </row>
    <row r="77" spans="5:30" ht="15" customHeight="1">
      <c r="E77" s="425"/>
      <c r="M77" s="424"/>
    </row>
    <row r="78" spans="5:30" ht="15" customHeight="1">
      <c r="E78" s="425"/>
      <c r="M78" s="424"/>
    </row>
    <row r="79" spans="5:30" ht="15" customHeight="1">
      <c r="E79" s="425"/>
      <c r="M79" s="424"/>
    </row>
    <row r="80" spans="5:30" ht="15" customHeight="1">
      <c r="E80" s="425"/>
      <c r="M80" s="424"/>
    </row>
    <row r="81" spans="5:13" ht="15" customHeight="1">
      <c r="E81" s="425"/>
      <c r="M81" s="424"/>
    </row>
    <row r="82" spans="5:13" ht="15" customHeight="1">
      <c r="E82" s="425"/>
      <c r="M82" s="424"/>
    </row>
    <row r="83" spans="5:13" ht="15" customHeight="1">
      <c r="E83" s="425"/>
      <c r="M83" s="424"/>
    </row>
    <row r="84" spans="5:13" ht="15" customHeight="1">
      <c r="E84" s="425"/>
      <c r="M84" s="424"/>
    </row>
    <row r="85" spans="5:13" ht="15" customHeight="1">
      <c r="E85" s="425"/>
      <c r="M85" s="424"/>
    </row>
    <row r="86" spans="5:13" ht="15" customHeight="1">
      <c r="E86" s="425"/>
      <c r="M86" s="424"/>
    </row>
    <row r="87" spans="5:13" ht="15" customHeight="1">
      <c r="E87" s="425"/>
      <c r="M87" s="424"/>
    </row>
    <row r="88" spans="5:13" ht="15" customHeight="1">
      <c r="E88" s="425"/>
      <c r="M88" s="424"/>
    </row>
    <row r="89" spans="5:13" ht="15" customHeight="1">
      <c r="E89" s="425"/>
      <c r="M89" s="424"/>
    </row>
    <row r="90" spans="5:13" ht="15" customHeight="1">
      <c r="E90" s="425"/>
      <c r="M90" s="424"/>
    </row>
    <row r="91" spans="5:13" ht="15" customHeight="1">
      <c r="E91" s="425"/>
      <c r="M91" s="424"/>
    </row>
    <row r="92" spans="5:13" ht="15" customHeight="1">
      <c r="E92" s="425"/>
      <c r="M92" s="424"/>
    </row>
    <row r="93" spans="5:13" ht="15" customHeight="1">
      <c r="E93" s="425"/>
      <c r="M93" s="424"/>
    </row>
    <row r="94" spans="5:13" ht="15" customHeight="1">
      <c r="E94" s="425"/>
      <c r="M94" s="424"/>
    </row>
    <row r="95" spans="5:13" ht="15" customHeight="1">
      <c r="E95" s="425"/>
      <c r="M95" s="424"/>
    </row>
    <row r="96" spans="5:13" ht="15" customHeight="1">
      <c r="E96" s="425"/>
    </row>
    <row r="97" spans="5:5" ht="15" customHeight="1">
      <c r="E97" s="425"/>
    </row>
    <row r="98" spans="5:5" ht="15" customHeight="1">
      <c r="E98" s="425"/>
    </row>
    <row r="99" spans="5:5" ht="15" customHeight="1">
      <c r="E99" s="425"/>
    </row>
    <row r="100" spans="5:5" ht="15" customHeight="1">
      <c r="E100" s="425"/>
    </row>
    <row r="101" spans="5:5" ht="15" customHeight="1">
      <c r="E101" s="425"/>
    </row>
    <row r="102" spans="5:5" ht="15" customHeight="1">
      <c r="E102" s="425"/>
    </row>
    <row r="103" spans="5:5" ht="15" customHeight="1">
      <c r="E103" s="425"/>
    </row>
    <row r="104" spans="5:5" ht="15" customHeight="1">
      <c r="E104" s="425"/>
    </row>
    <row r="105" spans="5:5" ht="15" customHeight="1">
      <c r="E105" s="425"/>
    </row>
    <row r="106" spans="5:5" ht="15" customHeight="1">
      <c r="E106" s="425"/>
    </row>
    <row r="107" spans="5:5" ht="15" customHeight="1">
      <c r="E107" s="425"/>
    </row>
    <row r="108" spans="5:5" ht="15" customHeight="1">
      <c r="E108" s="425"/>
    </row>
    <row r="109" spans="5:5" ht="15" customHeight="1">
      <c r="E109" s="425"/>
    </row>
    <row r="110" spans="5:5" ht="15" customHeight="1">
      <c r="E110" s="425"/>
    </row>
    <row r="111" spans="5:5" ht="15" customHeight="1">
      <c r="E111" s="425"/>
    </row>
    <row r="112" spans="5:5" ht="15" customHeight="1">
      <c r="E112" s="425"/>
    </row>
    <row r="113" spans="5:5" ht="15" customHeight="1">
      <c r="E113" s="425"/>
    </row>
    <row r="114" spans="5:5" ht="15" customHeight="1">
      <c r="E114" s="425"/>
    </row>
    <row r="115" spans="5:5" ht="15" customHeight="1">
      <c r="E115" s="425"/>
    </row>
    <row r="116" spans="5:5" ht="15" customHeight="1">
      <c r="E116" s="425"/>
    </row>
    <row r="117" spans="5:5" ht="15" customHeight="1">
      <c r="E117" s="425"/>
    </row>
    <row r="118" spans="5:5" ht="15" customHeight="1">
      <c r="E118" s="425"/>
    </row>
    <row r="119" spans="5:5" ht="15" customHeight="1">
      <c r="E119" s="425"/>
    </row>
    <row r="120" spans="5:5">
      <c r="E120" s="42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7">
        <v>1</v>
      </c>
    </row>
    <row r="2" spans="1:11" ht="48" customHeight="1">
      <c r="A2" s="447">
        <v>3</v>
      </c>
    </row>
    <row r="4" spans="1:11" ht="48" customHeight="1">
      <c r="C4" s="447">
        <v>1</v>
      </c>
    </row>
    <row r="5" spans="1:11" ht="48" customHeight="1">
      <c r="C5" s="447">
        <v>3</v>
      </c>
    </row>
    <row r="7" spans="1:11" ht="48" customHeight="1">
      <c r="E7" s="447">
        <v>1</v>
      </c>
    </row>
    <row r="8" spans="1:11" ht="48" customHeight="1">
      <c r="E8" s="447">
        <v>3</v>
      </c>
    </row>
    <row r="10" spans="1:11" ht="48" customHeight="1">
      <c r="G10" s="447">
        <v>3</v>
      </c>
    </row>
    <row r="11" spans="1:11" ht="48" customHeight="1">
      <c r="G11" s="447">
        <v>1</v>
      </c>
    </row>
    <row r="13" spans="1:11" ht="48" customHeight="1">
      <c r="I13" s="447">
        <v>3</v>
      </c>
    </row>
    <row r="14" spans="1:11" ht="48" customHeight="1">
      <c r="I14" s="447">
        <v>1</v>
      </c>
    </row>
    <row r="16" spans="1:11" ht="48" customHeight="1">
      <c r="K16" s="447">
        <v>3</v>
      </c>
    </row>
    <row r="17" spans="11:21" ht="48" customHeight="1">
      <c r="K17" s="447">
        <v>1</v>
      </c>
    </row>
    <row r="19" spans="11:21" ht="48" customHeight="1">
      <c r="M19" s="447">
        <v>3</v>
      </c>
    </row>
    <row r="20" spans="11:21" ht="48" customHeight="1">
      <c r="M20" s="447">
        <v>1</v>
      </c>
    </row>
    <row r="22" spans="11:21" ht="48" customHeight="1">
      <c r="O22" s="447">
        <v>3</v>
      </c>
    </row>
    <row r="23" spans="11:21" ht="48" customHeight="1">
      <c r="O23" s="447">
        <v>1</v>
      </c>
    </row>
    <row r="25" spans="11:21" ht="57" customHeight="1">
      <c r="Q25" s="447">
        <v>3</v>
      </c>
    </row>
    <row r="26" spans="11:21" ht="57" customHeight="1">
      <c r="Q26" s="447">
        <v>1</v>
      </c>
    </row>
    <row r="28" spans="11:21" ht="57" customHeight="1">
      <c r="S28" s="447">
        <v>3</v>
      </c>
    </row>
    <row r="29" spans="11:21" ht="57" customHeight="1">
      <c r="S29" s="447">
        <v>1</v>
      </c>
    </row>
    <row r="31" spans="11:21" ht="57" customHeight="1">
      <c r="U31" s="447">
        <v>3</v>
      </c>
    </row>
    <row r="32" spans="11:21" ht="57" customHeight="1">
      <c r="U32" s="44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2024-05-28T06:59:06Z</dcterms:modified>
</cp:coreProperties>
</file>