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666F2370-B85B-4A60-8852-167320D9DDCA}" xr6:coauthVersionLast="47" xr6:coauthVersionMax="47" xr10:uidLastSave="{00000000-0000-0000-0000-000000000000}"/>
  <bookViews>
    <workbookView xWindow="-120" yWindow="-120" windowWidth="29040" windowHeight="1572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6" i="11" l="1"/>
  <c r="F65" i="11"/>
  <c r="F64" i="11"/>
  <c r="F63" i="11"/>
  <c r="F58" i="11"/>
  <c r="F57" i="11"/>
  <c r="F56" i="11"/>
  <c r="F55" i="11"/>
  <c r="F54" i="11"/>
  <c r="D54" i="11"/>
  <c r="J54" i="11" s="1"/>
  <c r="E54" i="11"/>
  <c r="G54" i="11"/>
  <c r="D55" i="11"/>
  <c r="J55" i="11" s="1"/>
  <c r="E55" i="11"/>
  <c r="G55" i="11"/>
  <c r="D56" i="11"/>
  <c r="H56" i="11" s="1"/>
  <c r="E56" i="11"/>
  <c r="G56" i="11"/>
  <c r="D57" i="11"/>
  <c r="H57" i="11" s="1"/>
  <c r="E57" i="11"/>
  <c r="G57" i="11"/>
  <c r="D58" i="11"/>
  <c r="H58" i="11" s="1"/>
  <c r="E58" i="11"/>
  <c r="G58" i="11"/>
  <c r="F51" i="11"/>
  <c r="F50" i="11"/>
  <c r="F49" i="11"/>
  <c r="F48" i="11"/>
  <c r="F47" i="11"/>
  <c r="F46" i="11"/>
  <c r="F45" i="11"/>
  <c r="F44" i="11"/>
  <c r="F43" i="11"/>
  <c r="F40" i="11"/>
  <c r="F39" i="11"/>
  <c r="F38" i="11"/>
  <c r="F37" i="11"/>
  <c r="F36" i="11"/>
  <c r="F35" i="11"/>
  <c r="F34" i="11"/>
  <c r="F33" i="11"/>
  <c r="F32" i="11"/>
  <c r="F31" i="11"/>
  <c r="F29" i="11"/>
  <c r="D27" i="11"/>
  <c r="J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J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J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H39" i="11" s="1"/>
  <c r="E39" i="11"/>
  <c r="G39" i="11"/>
  <c r="D40" i="11"/>
  <c r="E40" i="11"/>
  <c r="G40" i="11"/>
  <c r="D41" i="11"/>
  <c r="H41" i="11" s="1"/>
  <c r="E41" i="11"/>
  <c r="G41" i="11"/>
  <c r="D42" i="11"/>
  <c r="J42" i="11" s="1"/>
  <c r="E42" i="11"/>
  <c r="G42" i="11"/>
  <c r="D43" i="11"/>
  <c r="H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H51" i="11" s="1"/>
  <c r="E51" i="11"/>
  <c r="G51" i="11"/>
  <c r="D52" i="11"/>
  <c r="J52" i="11" s="1"/>
  <c r="E52" i="11"/>
  <c r="G52" i="11"/>
  <c r="D53" i="11"/>
  <c r="H53" i="11" s="1"/>
  <c r="E53" i="11"/>
  <c r="G53" i="11"/>
  <c r="D60" i="11"/>
  <c r="H60" i="11" s="1"/>
  <c r="E60" i="11"/>
  <c r="G60" i="11"/>
  <c r="D61" i="11"/>
  <c r="J61" i="11" s="1"/>
  <c r="E61" i="11"/>
  <c r="G61" i="11"/>
  <c r="F68" i="11"/>
  <c r="I58" i="11" l="1"/>
  <c r="H54" i="11"/>
  <c r="J57" i="11"/>
  <c r="J56" i="11"/>
  <c r="I54" i="11"/>
  <c r="J58" i="11"/>
  <c r="K58" i="11" s="1"/>
  <c r="I57" i="11"/>
  <c r="K57" i="11" s="1"/>
  <c r="I56" i="11"/>
  <c r="K56" i="11" s="1"/>
  <c r="I55" i="11"/>
  <c r="H55" i="11"/>
  <c r="J39" i="11"/>
  <c r="I61" i="11"/>
  <c r="J51" i="11"/>
  <c r="J43" i="11"/>
  <c r="J37" i="11"/>
  <c r="I36" i="11"/>
  <c r="I51" i="11"/>
  <c r="K51" i="11" s="1"/>
  <c r="J45" i="11"/>
  <c r="I43" i="11"/>
  <c r="I42" i="11"/>
  <c r="J41" i="11"/>
  <c r="I47" i="11"/>
  <c r="I39" i="11"/>
  <c r="K39" i="11" s="1"/>
  <c r="I31" i="11"/>
  <c r="I30" i="11"/>
  <c r="J40" i="11"/>
  <c r="H29" i="11"/>
  <c r="I27" i="11"/>
  <c r="J46" i="11"/>
  <c r="J49" i="11"/>
  <c r="I46" i="11"/>
  <c r="I37" i="11"/>
  <c r="J47" i="11"/>
  <c r="I45" i="11"/>
  <c r="I44" i="11"/>
  <c r="I35" i="11"/>
  <c r="H34" i="11"/>
  <c r="J33" i="11"/>
  <c r="H27" i="11"/>
  <c r="I34" i="11"/>
  <c r="H61" i="11"/>
  <c r="J60" i="11"/>
  <c r="J53" i="11"/>
  <c r="J50" i="11"/>
  <c r="I38" i="11"/>
  <c r="J38" i="11"/>
  <c r="I41" i="11"/>
  <c r="I40" i="11"/>
  <c r="H35" i="11"/>
  <c r="I33" i="11"/>
  <c r="K33" i="11" s="1"/>
  <c r="I32" i="11"/>
  <c r="H30" i="11"/>
  <c r="I60" i="11"/>
  <c r="I50" i="11"/>
  <c r="H42" i="11"/>
  <c r="I53" i="11"/>
  <c r="I52" i="11"/>
  <c r="I49" i="11"/>
  <c r="I48" i="11"/>
  <c r="H31" i="11"/>
  <c r="I29" i="11"/>
  <c r="I28" i="11"/>
  <c r="H52" i="11"/>
  <c r="H48" i="11"/>
  <c r="H44" i="11"/>
  <c r="H40" i="11"/>
  <c r="H36" i="11"/>
  <c r="H32" i="11"/>
  <c r="H28" i="11"/>
  <c r="F24" i="11"/>
  <c r="F23" i="11"/>
  <c r="F22" i="11"/>
  <c r="F21" i="11"/>
  <c r="F20" i="11"/>
  <c r="D18" i="11"/>
  <c r="J18" i="11" s="1"/>
  <c r="E18" i="11"/>
  <c r="G18" i="11"/>
  <c r="D19" i="11"/>
  <c r="J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D23" i="11"/>
  <c r="J23" i="11" s="1"/>
  <c r="E23" i="11"/>
  <c r="G23" i="11"/>
  <c r="D24" i="11"/>
  <c r="E24" i="11"/>
  <c r="G24" i="11"/>
  <c r="K47" i="11" l="1"/>
  <c r="K30" i="11"/>
  <c r="K29" i="11"/>
  <c r="K60" i="11"/>
  <c r="K37" i="11"/>
  <c r="K54" i="11"/>
  <c r="K28" i="11"/>
  <c r="K32" i="11"/>
  <c r="K61" i="11"/>
  <c r="K43" i="11"/>
  <c r="K55" i="11"/>
  <c r="K36" i="11"/>
  <c r="K45" i="11"/>
  <c r="K52" i="11"/>
  <c r="K41" i="11"/>
  <c r="K48" i="11"/>
  <c r="K50" i="11"/>
  <c r="K40" i="11"/>
  <c r="K35" i="11"/>
  <c r="K34" i="11"/>
  <c r="K44" i="11"/>
  <c r="K42" i="11"/>
  <c r="K31" i="11"/>
  <c r="K27" i="11"/>
  <c r="K46" i="11"/>
  <c r="K53" i="11"/>
  <c r="K49" i="11"/>
  <c r="K38" i="11"/>
  <c r="I19" i="11"/>
  <c r="I23" i="11"/>
  <c r="I18" i="11"/>
  <c r="H18" i="11"/>
  <c r="H23" i="11"/>
  <c r="I22" i="11"/>
  <c r="J21" i="11"/>
  <c r="H19" i="11"/>
  <c r="I21" i="11"/>
  <c r="J24" i="11"/>
  <c r="I24" i="11"/>
  <c r="I20" i="11"/>
  <c r="H24" i="11"/>
  <c r="J22" i="11"/>
  <c r="H20" i="11"/>
  <c r="F75" i="11"/>
  <c r="F74" i="11"/>
  <c r="F73" i="11"/>
  <c r="F72" i="11"/>
  <c r="F71" i="11"/>
  <c r="F70" i="11"/>
  <c r="F69" i="11"/>
  <c r="K19" i="11" l="1"/>
  <c r="K18" i="11"/>
  <c r="K22" i="11"/>
  <c r="K23" i="11"/>
  <c r="K21" i="11"/>
  <c r="K24" i="11"/>
  <c r="K20" i="11"/>
  <c r="G67" i="11" l="1"/>
  <c r="G68" i="11"/>
  <c r="G69" i="11"/>
  <c r="G70" i="11"/>
  <c r="G71" i="11"/>
  <c r="G72" i="11"/>
  <c r="G73" i="11"/>
  <c r="G74" i="11"/>
  <c r="G75" i="11"/>
  <c r="G76" i="11"/>
  <c r="G77" i="11"/>
  <c r="G78" i="11"/>
  <c r="G79" i="11"/>
  <c r="D67" i="11"/>
  <c r="H67" i="11" s="1"/>
  <c r="E67" i="11"/>
  <c r="D68" i="11"/>
  <c r="J68" i="11" s="1"/>
  <c r="E68" i="11"/>
  <c r="D69" i="11"/>
  <c r="E69" i="11"/>
  <c r="D70" i="11"/>
  <c r="H70" i="11" s="1"/>
  <c r="E70" i="11"/>
  <c r="D71" i="11"/>
  <c r="H71" i="11" s="1"/>
  <c r="E71" i="11"/>
  <c r="D72" i="11"/>
  <c r="J72" i="11" s="1"/>
  <c r="E72" i="11"/>
  <c r="D73" i="11"/>
  <c r="E73" i="11"/>
  <c r="D74" i="11"/>
  <c r="H74" i="11" s="1"/>
  <c r="E74" i="11"/>
  <c r="D75" i="11"/>
  <c r="H75" i="11" s="1"/>
  <c r="E75" i="11"/>
  <c r="D76" i="11"/>
  <c r="J76" i="11" s="1"/>
  <c r="E76" i="11"/>
  <c r="D77" i="11"/>
  <c r="J77" i="11" s="1"/>
  <c r="E77" i="11"/>
  <c r="D78" i="11"/>
  <c r="I78" i="11" s="1"/>
  <c r="E78" i="11"/>
  <c r="D79" i="11"/>
  <c r="H79" i="11" s="1"/>
  <c r="E79" i="11"/>
  <c r="D26" i="11"/>
  <c r="J26" i="11" s="1"/>
  <c r="E26" i="11"/>
  <c r="G26" i="11"/>
  <c r="I73" i="11" l="1"/>
  <c r="I69" i="11"/>
  <c r="I75" i="11"/>
  <c r="J67" i="11"/>
  <c r="H78" i="11"/>
  <c r="J71" i="11"/>
  <c r="H69" i="11"/>
  <c r="I67" i="11"/>
  <c r="J75" i="11"/>
  <c r="H73" i="11"/>
  <c r="I71" i="11"/>
  <c r="I77" i="11"/>
  <c r="I76" i="11"/>
  <c r="I72" i="11"/>
  <c r="I68" i="11"/>
  <c r="J79" i="11"/>
  <c r="H77" i="11"/>
  <c r="H76" i="11"/>
  <c r="J74" i="11"/>
  <c r="H72" i="11"/>
  <c r="J70" i="11"/>
  <c r="H68" i="11"/>
  <c r="I79" i="11"/>
  <c r="J78" i="11"/>
  <c r="I74" i="11"/>
  <c r="J73" i="11"/>
  <c r="I70" i="11"/>
  <c r="J69" i="11"/>
  <c r="I26" i="11"/>
  <c r="H26" i="11"/>
  <c r="K76" i="11" l="1"/>
  <c r="K71" i="11"/>
  <c r="K73" i="11"/>
  <c r="K70" i="11"/>
  <c r="K79" i="11"/>
  <c r="K68" i="11"/>
  <c r="K77" i="11"/>
  <c r="K75" i="11"/>
  <c r="K74" i="11"/>
  <c r="K69" i="11"/>
  <c r="K67" i="11"/>
  <c r="K78" i="11"/>
  <c r="K72" i="11"/>
  <c r="K26" i="11"/>
  <c r="D62" i="11" l="1"/>
  <c r="D63" i="11"/>
  <c r="D64" i="11"/>
  <c r="D65" i="11"/>
  <c r="D66" i="11"/>
  <c r="D17" i="11"/>
  <c r="H17" i="11" s="1"/>
  <c r="E17" i="11"/>
  <c r="G17" i="11"/>
  <c r="E7" i="64"/>
  <c r="D15" i="11"/>
  <c r="J15" i="11" s="1"/>
  <c r="E15" i="11"/>
  <c r="G15" i="11"/>
  <c r="D16" i="11"/>
  <c r="J16" i="11" s="1"/>
  <c r="E16" i="11"/>
  <c r="G16" i="11"/>
  <c r="J17" i="11" l="1"/>
  <c r="I17" i="11"/>
  <c r="I15" i="11"/>
  <c r="H15" i="11"/>
  <c r="I16" i="11"/>
  <c r="H16" i="11"/>
  <c r="K17" i="11" l="1"/>
  <c r="K15" i="11"/>
  <c r="K16" i="11"/>
  <c r="G6" i="11" l="1"/>
  <c r="E62" i="11"/>
  <c r="G62" i="11"/>
  <c r="J63" i="11"/>
  <c r="E63" i="11"/>
  <c r="G63" i="11"/>
  <c r="J64" i="11"/>
  <c r="E64" i="11"/>
  <c r="G64" i="11"/>
  <c r="E65" i="11"/>
  <c r="G65" i="11"/>
  <c r="H66" i="11"/>
  <c r="E66" i="11"/>
  <c r="G66" i="11"/>
  <c r="D20" i="60"/>
  <c r="H62" i="11" l="1"/>
  <c r="H65" i="11"/>
  <c r="J66" i="11"/>
  <c r="J65" i="11"/>
  <c r="I63" i="11"/>
  <c r="H63" i="11"/>
  <c r="J62" i="11"/>
  <c r="I65" i="11"/>
  <c r="H64" i="11"/>
  <c r="I64" i="11"/>
  <c r="I66" i="11"/>
  <c r="I62" i="11"/>
  <c r="D14" i="11"/>
  <c r="J14" i="11" s="1"/>
  <c r="E14" i="11"/>
  <c r="G14" i="11"/>
  <c r="K19" i="60"/>
  <c r="D19" i="60"/>
  <c r="K63" i="11" l="1"/>
  <c r="K65" i="11"/>
  <c r="K66" i="11"/>
  <c r="K62" i="11"/>
  <c r="K64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8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0" i="11"/>
  <c r="D81" i="11"/>
  <c r="H81" i="11" s="1"/>
  <c r="E8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8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1" i="11"/>
  <c r="I81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81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F225" i="29" s="1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 s="1"/>
  <c r="F58" i="39"/>
  <c r="E58" i="39"/>
  <c r="F60" i="39" s="1"/>
  <c r="H83" i="11"/>
  <c r="H84" i="11" s="1"/>
  <c r="I83" i="11"/>
  <c r="I84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5" i="11"/>
  <c r="I85" i="11"/>
  <c r="F364" i="29"/>
  <c r="F69" i="39"/>
  <c r="F72" i="39"/>
  <c r="F367" i="29"/>
  <c r="J80" i="11"/>
  <c r="K80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83" i="11" l="1"/>
  <c r="K84" i="11" s="1"/>
  <c r="K85" i="11" s="1"/>
  <c r="B86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3" i="11"/>
  <c r="J8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 s="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27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<sst xmlns="http://schemas.openxmlformats.org/spreadsheetml/2006/main" count="4744" uniqueCount="1632">
  <si>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</si>
  <si>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</si>
  <si>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</si>
  <si>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</si>
  <si>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</si>
  <si>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</si>
  <si>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</si>
  <si>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</si>
  <si>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</si>
  <si>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</si>
  <si>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</si>
  <si>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</si>
  <si>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</si>
  <si>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</si>
  <si>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</si>
  <si>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</si>
  <si>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</si>
  <si>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</si>
  <si>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</si>
  <si>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</si>
  <si>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</si>
  <si>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</si>
  <si>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</si>
  <si>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</si>
  <si>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</si>
  <si>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</si>
  <si>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</si>
  <si>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</si>
  <si>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</si>
  <si>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</si>
  <si>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</si>
  <si>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</si>
  <si>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</si>
  <si>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</si>
  <si>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</si>
  <si>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</si>
  <si>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</si>
  <si>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</si>
  <si>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</si>
  <si>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</si>
  <si>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</si>
  <si>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</si>
  <si>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</si>
  <si>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</si>
  <si>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</si>
  <si>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</si>
  <si>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</si>
  <si>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</si>
  <si>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</si>
  <si>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</si>
  <si>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</si>
  <si>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</si>
  <si>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</si>
  <si>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</si>
  <si>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</si>
  <si>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</si>
  <si>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</si>
  <si>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</si>
  <si>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</si>
  <si>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</si>
  <si>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</si>
  <si>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</si>
  <si>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</si>
  <si>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</si>
  <si>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</si>
  <si>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</si>
  <si>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</si>
  <si>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</si>
  <si>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</si>
  <si>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</si>
  <si>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</si>
  <si>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</si>
  <si>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</si>
  <si>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</si>
  <si>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</si>
  <si>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</si>
  <si>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</si>
  <si>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</si>
  <si>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</si>
  <si>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</si>
  <si>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</si>
  <si>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</si>
  <si>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</si>
  <si>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</si>
  <si>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</si>
  <si>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</si>
  <si>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</si>
  <si>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</si>
  <si>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</si>
  <si>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</si>
  <si>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</si>
  <si>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</si>
  <si>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</si>
  <si>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</si>
  <si>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</si>
  <si>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</si>
  <si>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</si>
  <si>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</si>
  <si>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</si>
  <si>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</si>
  <si>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</si>
  <si>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</si>
  <si>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</si>
  <si>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</si>
  <si>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</si>
  <si>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</si>
  <si>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</si>
  <si>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</si>
  <si>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</si>
  <si>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</si>
  <si>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</si>
  <si>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</si>
  <si>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</si>
  <si>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</si>
  <si>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</si>
  <si>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</si>
  <si>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</si>
  <si>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</si>
  <si>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</si>
  <si>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</si>
  <si>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</si>
  <si>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</si>
  <si>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</si>
  <si>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</si>
  <si>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</si>
  <si>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</si>
  <si>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</si>
  <si>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</si>
  <si>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</si>
  <si>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</si>
  <si>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</si>
  <si>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</si>
  <si>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</si>
  <si>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</si>
  <si>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</si>
  <si>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</si>
  <si>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</si>
  <si>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</si>
  <si>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</si>
  <si>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</si>
  <si>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</si>
  <si>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</si>
  <si>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</si>
  <si>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</si>
  <si>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</si>
  <si>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</si>
  <si>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</si>
  <si>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</si>
  <si>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</si>
  <si>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</si>
  <si>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</si>
  <si>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</si>
  <si>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</si>
  <si>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</si>
  <si>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</si>
  <si>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</si>
  <si>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</si>
  <si>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</si>
  <si>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</si>
  <si>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</si>
  <si>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</si>
  <si>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</si>
  <si>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</si>
  <si>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</si>
  <si>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</si>
  <si>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</si>
  <si>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</si>
  <si>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</si>
  <si>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</si>
  <si>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</si>
  <si>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</si>
  <si>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</si>
  <si>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</si>
  <si>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</si>
  <si>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</si>
  <si>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</si>
  <si>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</si>
  <si>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</si>
  <si>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</si>
  <si>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</si>
  <si>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</si>
  <si>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</si>
  <si>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</si>
  <si>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</si>
  <si>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</si>
  <si>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</si>
  <si>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</si>
  <si>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</si>
  <si>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</si>
  <si>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</si>
  <si>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</si>
  <si>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</si>
  <si>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</si>
  <si>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</si>
  <si>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</si>
  <si>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</si>
  <si>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</si>
  <si>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</si>
  <si>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</si>
  <si>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</si>
  <si>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</si>
  <si>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</si>
  <si>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</si>
  <si>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</si>
  <si>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</si>
  <si>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</si>
  <si>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</si>
  <si>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</si>
  <si>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</si>
  <si>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</si>
  <si>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</si>
  <si>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</si>
  <si>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</si>
  <si>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</si>
  <si>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</si>
  <si>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</si>
  <si>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</si>
  <si>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</si>
  <si>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</si>
  <si>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</si>
  <si>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</si>
  <si>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</si>
  <si>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</si>
  <si>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</si>
  <si>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</si>
  <si>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</si>
  <si>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</si>
  <si>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</si>
  <si>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</si>
  <si>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</si>
  <si>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</si>
  <si>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</si>
  <si>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</si>
  <si>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</si>
  <si>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</si>
  <si>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</si>
  <si>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</si>
  <si>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</si>
  <si>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</si>
  <si>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</si>
  <si>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</si>
  <si>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</si>
  <si>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</si>
  <si>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</si>
  <si>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</si>
  <si>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</si>
  <si>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</si>
  <si>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</si>
  <si>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</si>
  <si>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</si>
  <si>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</si>
  <si>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</si>
  <si>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</si>
  <si>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</si>
  <si>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</si>
  <si>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</si>
  <si>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</si>
  <si>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</si>
  <si>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</si>
  <si>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</si>
  <si>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</si>
  <si>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</si>
  <si>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</si>
  <si>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</si>
  <si>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</si>
  <si>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</si>
  <si>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</si>
  <si>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</si>
  <si>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</si>
  <si>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</si>
  <si>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</si>
  <si>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</si>
  <si>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</si>
  <si>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</si>
  <si>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</si>
  <si>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</si>
  <si>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</si>
  <si>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</si>
  <si>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</si>
  <si>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</si>
  <si>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</si>
  <si>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</si>
  <si>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</si>
  <si>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</si>
  <si>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</si>
  <si>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</si>
  <si>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</si>
  <si>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</si>
  <si>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</si>
  <si>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</si>
  <si>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</si>
  <si>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</si>
  <si>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</si>
  <si>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</si>
  <si>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</si>
  <si>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</si>
  <si>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</si>
  <si>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</si>
  <si>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</si>
  <si>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</si>
  <si>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</si>
  <si>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</si>
  <si>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</si>
  <si>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</si>
  <si>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</si>
  <si>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</si>
  <si>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</si>
  <si>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</si>
  <si>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</si>
  <si>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</si>
  <si>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</si>
  <si>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</si>
  <si>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</si>
  <si>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</si>
  <si>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</si>
  <si>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</si>
  <si>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</si>
  <si>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</si>
  <si>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</si>
  <si>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</si>
  <si>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</si>
  <si>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</si>
  <si>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</si>
  <si>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</si>
  <si>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</si>
  <si>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</si>
  <si>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</si>
  <si>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</si>
  <si>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</si>
  <si>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</si>
  <si>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</si>
  <si>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</si>
  <si>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</si>
  <si>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</si>
  <si>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</si>
  <si>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</si>
  <si>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</si>
  <si>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</si>
  <si>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</si>
  <si>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</si>
  <si>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</si>
  <si>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</si>
  <si>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</si>
  <si>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</si>
  <si>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</si>
  <si>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</si>
  <si>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</si>
  <si>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</si>
  <si>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</si>
  <si>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</si>
  <si>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</si>
  <si>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</si>
  <si>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</si>
  <si>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</si>
  <si>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</si>
  <si>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</si>
  <si>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</si>
  <si>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</si>
  <si>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</si>
  <si>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</si>
  <si>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</si>
  <si>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</si>
  <si>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</si>
  <si>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</si>
  <si>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</si>
  <si>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</si>
  <si>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</si>
  <si>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</si>
  <si>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</si>
  <si>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</si>
  <si>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</si>
  <si>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</si>
  <si>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</si>
  <si>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</si>
  <si>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</si>
  <si>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</si>
  <si>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</si>
  <si>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</si>
  <si>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</si>
  <si>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</si>
  <si>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</si>
  <si>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</si>
  <si>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</si>
  <si>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</si>
  <si>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</si>
  <si>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</si>
  <si>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</si>
  <si>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</si>
  <si>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</si>
  <si>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</si>
  <si>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</si>
  <si>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</si>
  <si>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</si>
  <si>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</si>
  <si>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</si>
  <si>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</si>
  <si>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</si>
  <si>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</si>
  <si>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</si>
  <si>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</si>
  <si>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</si>
  <si>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</si>
  <si>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</si>
  <si>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</si>
  <si>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</si>
  <si>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</si>
  <si>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</si>
  <si>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</si>
  <si>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</si>
  <si>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</si>
  <si>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</si>
  <si>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</si>
  <si>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</si>
  <si>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</si>
  <si>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</si>
  <si>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</si>
  <si>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</si>
  <si>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</si>
  <si>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</si>
  <si>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</si>
  <si>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</si>
  <si>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</si>
  <si>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</si>
  <si>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</si>
  <si>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</si>
  <si>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</si>
  <si>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</si>
  <si>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</si>
  <si>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</si>
  <si>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</si>
  <si>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</si>
  <si>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</si>
  <si>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</si>
  <si>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</si>
  <si>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</si>
  <si>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</si>
  <si>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</si>
  <si>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</si>
  <si>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</si>
  <si>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</si>
  <si>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</si>
  <si>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</si>
  <si>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</si>
  <si>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</si>
  <si>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</si>
  <si>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</si>
  <si>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</si>
  <si>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</si>
  <si>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</si>
  <si>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</si>
  <si>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</si>
  <si>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</si>
  <si>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</si>
  <si>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</si>
  <si>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</si>
  <si>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</si>
  <si>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</si>
  <si>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</si>
  <si>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</si>
  <si>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</si>
  <si>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</si>
  <si>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</si>
  <si>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</si>
  <si>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</si>
  <si>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</si>
  <si>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</si>
  <si>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</si>
  <si>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</si>
  <si>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</si>
  <si>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</si>
  <si>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</si>
  <si>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</si>
  <si>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</si>
  <si>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</si>
  <si>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</si>
  <si>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</si>
  <si>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</si>
  <si>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</si>
  <si>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</si>
  <si>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</si>
  <si>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</si>
  <si>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</si>
  <si>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</si>
  <si>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</si>
  <si>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</si>
  <si>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</si>
  <si>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</si>
  <si>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</si>
  <si>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</si>
  <si>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</si>
  <si>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</si>
  <si>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</si>
  <si>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</si>
  <si>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</si>
  <si>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</si>
  <si>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</si>
  <si>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</si>
  <si>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</si>
  <si>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</si>
  <si>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</si>
  <si>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</si>
  <si>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</si>
  <si>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</si>
  <si>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</si>
  <si>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</si>
  <si>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</si>
  <si>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</si>
  <si>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</si>
  <si>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</si>
  <si>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</si>
  <si>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</si>
  <si>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</si>
  <si>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</si>
  <si>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</si>
  <si>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</si>
  <si>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</si>
  <si>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</si>
  <si>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</si>
  <si>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</si>
  <si>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</si>
  <si>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</si>
  <si>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</si>
  <si>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</si>
  <si>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</si>
  <si>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</si>
  <si>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</si>
  <si>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</si>
  <si>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</si>
  <si>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</si>
  <si>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</si>
  <si>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</si>
  <si>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</si>
  <si>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</si>
  <si>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</si>
  <si>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</si>
  <si>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</si>
  <si>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</si>
  <si>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</si>
  <si>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</si>
  <si>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</si>
  <si>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</si>
  <si>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</si>
  <si>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</si>
  <si>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</si>
  <si>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</si>
  <si>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</si>
  <si>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</si>
  <si>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</si>
  <si>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</si>
  <si>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</si>
  <si>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</si>
  <si>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</si>
  <si>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</si>
  <si>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</si>
  <si>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</si>
  <si>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</si>
  <si>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</si>
  <si>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</si>
  <si>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</si>
  <si>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</si>
  <si>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</si>
  <si>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</si>
  <si>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</si>
  <si>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</si>
  <si>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</si>
  <si>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</si>
  <si>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</si>
  <si>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</si>
  <si>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</si>
  <si>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</si>
  <si>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</si>
  <si>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</si>
  <si>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</si>
  <si>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</si>
  <si>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</si>
  <si>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</si>
  <si>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</si>
  <si>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</si>
  <si>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</si>
  <si>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</si>
  <si>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</si>
  <si>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</si>
  <si>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</si>
  <si>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</si>
  <si>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</si>
  <si>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</si>
  <si>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</si>
  <si>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</si>
  <si>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</si>
  <si>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</si>
  <si>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</si>
  <si>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</si>
  <si>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</si>
  <si>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</si>
  <si>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</si>
  <si>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</si>
  <si>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</si>
  <si>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</si>
  <si>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</si>
  <si>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</si>
  <si>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</si>
  <si>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</si>
  <si>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</si>
  <si>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</si>
  <si>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</si>
  <si>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</si>
  <si>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</si>
  <si>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</si>
  <si>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</si>
  <si>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</si>
  <si>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</si>
  <si>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</si>
  <si>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</si>
  <si>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</si>
  <si>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</si>
  <si>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</si>
  <si>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</si>
  <si>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</si>
  <si>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</si>
  <si>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</si>
  <si>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</si>
  <si>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</si>
  <si>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</si>
  <si>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</si>
  <si>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</si>
  <si>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</si>
  <si>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</si>
  <si>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</si>
  <si>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</si>
  <si>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</si>
  <si>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</si>
  <si>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</si>
  <si>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</si>
  <si>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</si>
  <si>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</si>
  <si>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</si>
  <si>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</si>
  <si>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</si>
  <si>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</si>
  <si>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</si>
  <si>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</si>
  <si>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</si>
  <si>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</si>
  <si>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</si>
  <si>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</si>
  <si>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</si>
  <si>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</si>
  <si>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</si>
  <si>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</si>
  <si>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</si>
  <si>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</si>
  <si>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</si>
  <si>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</si>
  <si>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</si>
  <si>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</si>
  <si>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</si>
  <si>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</si>
  <si>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</si>
  <si>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</si>
  <si>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</si>
  <si>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</si>
  <si>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</si>
  <si>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</si>
  <si>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</si>
  <si>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</si>
  <si>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</si>
  <si>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</si>
  <si>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</si>
  <si>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</si>
  <si>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</si>
  <si>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</si>
  <si>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</si>
  <si>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</si>
  <si>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</si>
  <si>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</si>
  <si>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</si>
  <si>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</si>
  <si>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</si>
  <si>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</si>
  <si>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</si>
  <si>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</si>
  <si>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</si>
  <si>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</si>
  <si>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</si>
  <si>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</si>
  <si>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</si>
  <si>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</si>
  <si>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</si>
  <si>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</si>
  <si>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</si>
  <si>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</si>
  <si>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</si>
  <si>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</si>
  <si>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</si>
  <si>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</si>
  <si>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</si>
  <si>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</si>
  <si>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</si>
  <si>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</si>
  <si>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</si>
  <si>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</si>
  <si>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</si>
  <si>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</si>
  <si>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</si>
  <si>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</si>
  <si>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</si>
  <si>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</si>
  <si>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</si>
  <si>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</si>
  <si>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</si>
  <si>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</si>
  <si>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</si>
  <si>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</si>
  <si>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</si>
  <si>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</si>
  <si>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</si>
  <si>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</si>
  <si>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</si>
  <si>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</si>
  <si>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</si>
  <si>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</si>
  <si>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</si>
  <si>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</si>
  <si>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</si>
  <si>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</si>
  <si>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</si>
  <si>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</si>
  <si>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</si>
  <si>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</si>
  <si>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</si>
  <si>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</si>
  <si>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</si>
  <si>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</si>
  <si>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</si>
  <si>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</si>
  <si>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</si>
  <si>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</si>
  <si>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</si>
  <si>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</si>
  <si>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</si>
  <si>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</si>
  <si>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</si>
  <si>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</si>
  <si>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</si>
  <si>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</si>
  <si>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</si>
  <si>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</si>
  <si>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</si>
  <si>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</si>
  <si>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</si>
  <si>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</si>
  <si>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</si>
  <si>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</si>
  <si>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</si>
  <si>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</si>
  <si>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</si>
  <si>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</si>
  <si>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</si>
  <si>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</si>
  <si>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</si>
  <si>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</si>
  <si>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</si>
  <si>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</si>
  <si>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</si>
  <si>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</si>
  <si>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</si>
  <si>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</si>
  <si>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</si>
  <si>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</si>
  <si>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</si>
  <si>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</si>
  <si>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</si>
  <si>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</si>
  <si>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</si>
  <si>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</si>
  <si>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</si>
  <si>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</si>
  <si>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</si>
  <si>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</si>
  <si>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</si>
  <si>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</si>
  <si>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</si>
  <si>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</si>
  <si>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</si>
  <si>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</si>
  <si>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</si>
  <si>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</si>
  <si>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</si>
  <si>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</si>
  <si>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</si>
  <si>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</si>
  <si>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</si>
  <si>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</si>
  <si>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</si>
  <si>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</si>
  <si>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</si>
  <si>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</si>
  <si>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</si>
  <si>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</si>
  <si>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</si>
  <si>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</si>
  <si>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</si>
  <si>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</si>
  <si>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</si>
  <si>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</si>
  <si>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</si>
  <si>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</si>
  <si>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</si>
  <si>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</si>
  <si>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</si>
  <si>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</si>
  <si>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</si>
  <si>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</si>
  <si>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</si>
  <si>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</si>
  <si>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</si>
  <si>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</si>
  <si>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</si>
  <si>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</si>
  <si>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</si>
  <si>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</si>
  <si>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</si>
  <si>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</si>
  <si>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</si>
  <si>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</si>
  <si>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</si>
  <si>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</si>
  <si>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</si>
  <si>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</si>
  <si>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</si>
  <si>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</si>
  <si>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</si>
  <si>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</si>
  <si>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</si>
  <si>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</si>
  <si>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</si>
  <si>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</si>
  <si>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</si>
  <si>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</si>
  <si>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</si>
  <si>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</si>
  <si>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</si>
  <si>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</si>
  <si>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</si>
  <si>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</si>
  <si>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</si>
  <si>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</si>
  <si>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</si>
  <si>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</si>
  <si>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</si>
  <si>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</si>
  <si>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</si>
  <si>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</si>
  <si>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</si>
  <si>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</si>
  <si>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</si>
  <si>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</si>
  <si>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</si>
  <si>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</si>
  <si>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</si>
  <si>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</si>
  <si>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</si>
  <si>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</si>
  <si>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</si>
  <si>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</si>
  <si>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</si>
  <si>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</si>
  <si>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</si>
  <si>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</si>
  <si>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</si>
  <si>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</si>
  <si>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</si>
  <si>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</si>
  <si>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</si>
  <si>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</si>
  <si>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</si>
  <si>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</si>
  <si>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</si>
  <si>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</si>
  <si>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</si>
  <si>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</si>
  <si>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</si>
  <si>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</si>
  <si>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</si>
  <si>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</si>
  <si>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</si>
  <si>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</si>
  <si>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</si>
  <si>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</si>
  <si>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</si>
  <si>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</si>
  <si>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</si>
  <si>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</si>
  <si>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</si>
  <si>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</si>
  <si>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</si>
  <si>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</si>
  <si>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</si>
  <si>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</si>
  <si>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</si>
  <si>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</si>
  <si>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</si>
  <si>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</si>
  <si>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</si>
  <si>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</si>
  <si>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</si>
  <si>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</si>
  <si>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</si>
  <si>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</si>
  <si>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</si>
  <si>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</si>
  <si>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</si>
  <si>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</si>
  <si>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</si>
  <si>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</si>
  <si>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</si>
  <si>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</si>
  <si>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</si>
  <si>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</si>
  <si>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</si>
  <si>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</si>
  <si>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</si>
  <si>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</si>
  <si>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</si>
  <si>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</si>
  <si>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</si>
  <si>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</si>
  <si>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</si>
  <si>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</si>
  <si>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</si>
  <si>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</si>
  <si>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</si>
  <si>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</si>
  <si>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</si>
  <si>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</si>
  <si>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</si>
  <si>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</si>
  <si>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</si>
  <si>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</si>
  <si>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</si>
  <si>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</si>
  <si>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</si>
  <si>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</si>
  <si>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</si>
  <si>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</si>
  <si>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</si>
  <si>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</si>
  <si>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</si>
  <si>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</si>
  <si>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</si>
  <si>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</si>
  <si>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</si>
  <si>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</si>
  <si>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</si>
  <si>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</si>
  <si>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</si>
  <si>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</si>
  <si>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</si>
  <si>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</si>
  <si>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</si>
  <si>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</si>
  <si>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</si>
  <si>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</si>
  <si>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</si>
  <si>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</si>
  <si>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</si>
  <si>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</si>
  <si>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</si>
  <si>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</si>
  <si>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</si>
  <si>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</si>
  <si>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</si>
  <si>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</si>
  <si>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</si>
  <si>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</si>
  <si>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</si>
  <si>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</si>
  <si>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</si>
  <si>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</si>
  <si>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</si>
  <si>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</si>
  <si>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</si>
  <si>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</si>
  <si>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</si>
  <si>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</si>
  <si>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</si>
  <si>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</si>
  <si>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</si>
  <si>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</si>
  <si>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</si>
  <si>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</si>
  <si>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</si>
  <si>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</si>
  <si>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</si>
  <si>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</si>
  <si>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</si>
  <si>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</si>
  <si>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</si>
  <si>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</si>
  <si>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</si>
  <si>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</si>
  <si>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</si>
  <si>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</si>
  <si>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</si>
  <si>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</si>
  <si>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</si>
  <si>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</si>
  <si>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</si>
  <si>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</si>
  <si>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</si>
  <si>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</si>
  <si>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</si>
  <si>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</si>
  <si>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</si>
  <si>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</si>
  <si>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</si>
  <si>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</si>
  <si>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</si>
  <si>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</si>
  <si>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</si>
  <si>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</si>
  <si>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</si>
  <si>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</si>
  <si>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</si>
  <si>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</si>
  <si>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</si>
  <si>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</si>
  <si>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</si>
  <si>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</si>
  <si>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</si>
  <si>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</si>
  <si>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</si>
  <si>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</si>
  <si>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</si>
  <si>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</si>
  <si>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</si>
  <si>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</si>
  <si>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</si>
  <si>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</si>
  <si>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</si>
  <si>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</si>
  <si>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</si>
  <si>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</si>
  <si>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</si>
  <si>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</si>
  <si>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</si>
  <si>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</si>
  <si>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</si>
  <si>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</si>
  <si>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</si>
  <si>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</si>
  <si>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</si>
  <si>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</si>
  <si>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</si>
  <si>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</si>
  <si>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</si>
  <si>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</si>
  <si>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</si>
  <si>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</si>
  <si>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</si>
  <si>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</si>
  <si>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</si>
  <si>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</si>
  <si>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</si>
  <si>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</si>
  <si>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</si>
  <si>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</si>
  <si>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</si>
  <si>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</si>
  <si>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</si>
  <si>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</si>
  <si>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</si>
  <si>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</si>
  <si>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</si>
  <si>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</si>
  <si>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</si>
  <si>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</si>
  <si>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</si>
  <si>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</si>
  <si>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</si>
  <si>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</si>
  <si>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</si>
  <si>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</si>
  <si>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</si>
  <si>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</si>
  <si>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</si>
  <si>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</si>
  <si>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</si>
  <si>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</si>
  <si>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</si>
  <si>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</si>
  <si>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</si>
  <si>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</si>
  <si>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</si>
  <si>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</si>
  <si>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</si>
  <si>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</si>
  <si>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</si>
  <si>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</si>
  <si>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</si>
  <si>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</si>
  <si>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</si>
  <si>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</si>
  <si>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</si>
  <si>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</si>
  <si>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</si>
  <si>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</si>
  <si>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</si>
  <si>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</si>
  <si>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</si>
  <si>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</si>
  <si>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</si>
  <si>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</si>
  <si>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</si>
  <si>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</si>
  <si>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</si>
  <si>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</si>
  <si>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</si>
  <si>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</si>
  <si>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</si>
  <si>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</si>
  <si>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</si>
  <si>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</si>
  <si>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</si>
  <si>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</si>
  <si>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</si>
  <si>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</si>
  <si>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</si>
  <si>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</si>
  <si>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</si>
  <si>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</si>
  <si>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</si>
  <si>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</si>
  <si>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</si>
  <si>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</si>
  <si>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</si>
  <si>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</si>
  <si>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</si>
  <si>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</si>
  <si>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</si>
  <si>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</si>
  <si>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</si>
  <si>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</si>
  <si>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</si>
  <si>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</si>
  <si>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</si>
  <si>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</si>
  <si>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</si>
  <si>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</si>
  <si>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</si>
  <si>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</si>
  <si>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</si>
  <si>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</si>
  <si>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</si>
  <si>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</si>
  <si>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</si>
  <si>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</si>
  <si>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</si>
  <si>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</si>
  <si>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</si>
  <si>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</si>
  <si>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</si>
  <si>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</si>
  <si>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</si>
  <si>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</si>
  <si>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</si>
  <si>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</si>
  <si>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</si>
  <si>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</si>
  <si>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</si>
  <si>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</si>
  <si>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</si>
  <si>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</si>
  <si>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</si>
  <si>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</si>
  <si>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</si>
  <si>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</si>
  <si>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</si>
  <si>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</si>
  <si>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</si>
  <si>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</si>
  <si>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</si>
  <si>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</si>
  <si>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</si>
  <si>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</si>
  <si>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</si>
  <si>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</si>
  <si>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</si>
  <si>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</si>
  <si>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</si>
  <si>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</si>
  <si>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</si>
  <si>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</si>
  <si>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</si>
  <si>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</si>
  <si>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</si>
  <si>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</si>
  <si>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</si>
  <si>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</si>
  <si>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</si>
  <si>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</si>
  <si>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</si>
  <si>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</si>
  <si>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</si>
  <si>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</si>
  <si>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</si>
  <si>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</si>
  <si>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</si>
  <si>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</si>
  <si>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</si>
  <si>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</si>
  <si>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</si>
  <si>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</si>
  <si>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</si>
  <si>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</si>
  <si>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</si>
  <si>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</si>
  <si>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</si>
  <si>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</si>
  <si>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</si>
  <si>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</si>
  <si>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</si>
  <si>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</si>
  <si>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</si>
  <si>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</si>
  <si>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</si>
  <si>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</si>
  <si>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</si>
  <si>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</si>
  <si>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</si>
  <si>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</si>
  <si>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</si>
  <si>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</si>
  <si>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</si>
  <si>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</si>
  <si>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</si>
  <si>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</si>
  <si>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</si>
  <si>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</si>
  <si>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</si>
  <si>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</si>
  <si>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</si>
  <si>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</si>
  <si>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</si>
  <si>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</si>
  <si>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</si>
  <si>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</si>
  <si>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</si>
  <si>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</si>
  <si>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</si>
  <si>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</si>
  <si>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</si>
  <si>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</si>
  <si>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</si>
  <si>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</si>
  <si>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</si>
  <si>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</si>
  <si>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</si>
  <si>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</si>
  <si>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</si>
  <si>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</si>
  <si>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</si>
  <si>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</si>
  <si>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</si>
  <si>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</si>
  <si>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</si>
  <si>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</si>
  <si>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</si>
  <si>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</si>
  <si>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</si>
  <si>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</si>
  <si>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</si>
  <si>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</si>
  <si>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</si>
  <si>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</si>
  <si>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</si>
  <si>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</si>
  <si>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</si>
  <si>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</si>
  <si>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</si>
  <si>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</si>
  <si>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</si>
  <si>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</si>
  <si>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</si>
  <si>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</si>
  <si>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</si>
  <si>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</si>
  <si>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</si>
  <si>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</si>
  <si>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</si>
  <si>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</si>
  <si>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</si>
  <si>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</si>
  <si>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</si>
  <si>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</si>
  <si>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</si>
  <si>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</si>
  <si>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</si>
  <si>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</si>
  <si>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</si>
  <si>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</si>
  <si>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</si>
  <si>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</si>
  <si>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</si>
  <si>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</si>
  <si>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</si>
  <si>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</si>
  <si>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</si>
  <si>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</si>
  <si>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</si>
  <si>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</si>
  <si>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</si>
  <si>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</si>
  <si>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</si>
  <si>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</si>
  <si>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</si>
  <si>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</si>
  <si>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</si>
  <si>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</si>
  <si>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</si>
  <si>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</si>
  <si>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</si>
  <si>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</si>
  <si>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</si>
  <si>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</si>
  <si>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</si>
  <si>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</si>
  <si>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</si>
  <si>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</si>
  <si>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</si>
  <si>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</si>
  <si>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</si>
  <si>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</si>
  <si>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</si>
  <si>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</si>
  <si>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</si>
  <si>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</si>
  <si>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</si>
  <si>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</si>
  <si>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</si>
  <si>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</si>
  <si>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</si>
  <si>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</si>
  <si>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</si>
  <si>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</si>
  <si>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</si>
  <si>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</si>
  <si>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</si>
  <si>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</si>
  <si>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</si>
  <si>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</si>
  <si>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</si>
  <si>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</si>
  <si>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</si>
  <si>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</si>
  <si>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</si>
  <si>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</si>
  <si>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</si>
  <si>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</si>
  <si>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</si>
  <si>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</si>
  <si>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</si>
  <si>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</si>
  <si>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</si>
  <si>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</si>
  <si>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</si>
  <si>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</si>
  <si>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</si>
  <si>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</si>
  <si>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</si>
  <si>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</si>
  <si>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</si>
  <si>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</si>
  <si>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</si>
  <si>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</si>
  <si>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</si>
  <si>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</si>
  <si>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</si>
  <si>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</si>
  <si>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</si>
  <si>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</si>
  <si>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</si>
  <si>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</si>
  <si>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</si>
  <si>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</si>
  <si>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</si>
  <si>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</si>
  <si>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</si>
  <si>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</si>
  <si>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</si>
  <si>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</si>
  <si>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</si>
  <si>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</si>
  <si>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</si>
  <si>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</si>
  <si>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</si>
  <si>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</si>
  <si>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</si>
  <si>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</si>
  <si>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</si>
  <si>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</si>
  <si>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</si>
  <si>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</si>
  <si>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</si>
  <si>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</si>
  <si>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</si>
  <si>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</si>
  <si>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</si>
  <si>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</si>
  <si>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</si>
  <si>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</si>
  <si>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</si>
  <si>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</si>
  <si>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</si>
  <si>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</si>
  <si>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</si>
  <si>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</si>
  <si>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</si>
  <si>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</si>
  <si>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</si>
  <si>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</si>
  <si>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</si>
  <si>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</si>
  <si>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</si>
  <si>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</si>
  <si>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</si>
  <si>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</si>
  <si>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</si>
  <si>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</si>
  <si>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</si>
  <si>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</si>
  <si>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</si>
  <si>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</si>
  <si>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</si>
  <si>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</si>
  <si>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</si>
  <si>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</si>
  <si>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</si>
  <si>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</si>
  <si>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</si>
  <si>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</si>
  <si>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</si>
  <si>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</si>
  <si>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</si>
  <si>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</si>
  <si>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</si>
  <si>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</si>
  <si>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</si>
  <si>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</si>
  <si>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</si>
  <si>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</si>
  <si>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</si>
  <si>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</si>
  <si>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</si>
  <si>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</si>
  <si>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</si>
  <si>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</si>
  <si>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</si>
  <si>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</si>
  <si>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</si>
  <si>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</si>
  <si>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</si>
  <si>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</si>
  <si>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</si>
  <si>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</si>
  <si>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</si>
  <si>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</si>
  <si>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</si>
  <si>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</si>
  <si>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</si>
  <si>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</si>
  <si>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</si>
  <si>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</si>
  <si>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</si>
  <si>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</si>
  <si>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</si>
  <si>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</si>
  <si>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</si>
  <si>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</si>
  <si>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</si>
  <si>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</si>
  <si>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</si>
  <si>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</si>
  <si>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</si>
  <si>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</si>
  <si>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</si>
  <si>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</si>
  <si>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</si>
  <si>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</si>
  <si>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</si>
  <si>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</si>
  <si>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</si>
  <si>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</si>
  <si>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</si>
  <si>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</si>
  <si>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</si>
  <si>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</si>
  <si>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</si>
  <si>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</si>
  <si>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</si>
  <si>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</si>
  <si>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</si>
  <si>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</si>
  <si>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</si>
  <si>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</si>
  <si>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</si>
  <si>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</si>
  <si>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</si>
  <si>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</si>
  <si>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</si>
  <si>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</si>
  <si>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</si>
  <si>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</si>
  <si>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</si>
  <si>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</si>
  <si>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</si>
  <si>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</si>
  <si>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</si>
  <si>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</si>
  <si>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</si>
  <si>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</si>
  <si>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</si>
  <si>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</si>
  <si>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</si>
  <si>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</si>
  <si>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</si>
  <si>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</si>
  <si>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</si>
  <si>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</si>
  <si>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</si>
  <si>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</si>
  <si>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</si>
  <si>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</si>
  <si>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</si>
  <si>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</si>
  <si>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</si>
  <si>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</si>
  <si>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</si>
  <si>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</si>
  <si>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</si>
  <si>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</si>
  <si>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</si>
  <si>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</si>
  <si>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</si>
  <si>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</si>
  <si>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</si>
  <si>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</si>
  <si>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</si>
  <si>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</si>
  <si>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</si>
  <si>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</si>
  <si>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</si>
  <si>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</si>
  <si>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</si>
  <si>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</si>
  <si>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</si>
  <si>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</si>
  <si>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</si>
  <si>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</si>
  <si>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</si>
  <si>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</si>
  <si>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</si>
  <si>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</si>
  <si>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</si>
  <si>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</si>
  <si>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</si>
  <si>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</si>
  <si>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</si>
  <si>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</si>
  <si>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</si>
  <si>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</si>
  <si>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</si>
  <si>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</si>
  <si>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</si>
  <si>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</si>
  <si>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</si>
  <si>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</si>
  <si>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</si>
  <si>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</si>
  <si>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</si>
  <si>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</si>
  <si>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</si>
  <si>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</si>
  <si>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</si>
  <si>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</si>
  <si>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</si>
  <si>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</si>
  <si>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</si>
  <si>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</si>
  <si>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</si>
  <si>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</si>
  <si>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</si>
  <si>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</si>
  <si>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</si>
  <si>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</si>
  <si>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</si>
  <si>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</si>
  <si>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</si>
  <si>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</si>
  <si>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</si>
  <si>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</si>
  <si>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</si>
  <si>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</si>
  <si>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</si>
  <si>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</si>
  <si>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</si>
  <si>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</si>
  <si>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</si>
  <si>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</si>
  <si>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</si>
  <si>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</si>
  <si>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</si>
  <si>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</si>
  <si>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</si>
  <si>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</si>
  <si>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</si>
  <si>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</si>
  <si>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</si>
  <si>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</si>
  <si>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JARINGAN 3 PHASE</t>
  </si>
  <si>
    <t>CJ6-T</t>
  </si>
  <si>
    <t>Pemasangan APP 1 Fasa Di Bangunan</t>
  </si>
  <si>
    <t>R3</t>
  </si>
  <si>
    <t>KOORDINAT :-6.798804, 110.643519</t>
  </si>
  <si>
    <t>Trafo 1 Fasa CSP 50 KVA (G105, G106, G136)</t>
  </si>
  <si>
    <t xml:space="preserve">Jumper Wire : </t>
  </si>
  <si>
    <t>CM2-11M</t>
  </si>
  <si>
    <t>Stainless Steel Strap 20 X 0.7 mm</t>
  </si>
  <si>
    <t>CM5-9</t>
  </si>
  <si>
    <t>Daya 5.500 VA</t>
  </si>
  <si>
    <t>DS. KENDUREN KEC. WEDUNG</t>
  </si>
  <si>
    <t>TSEL COE112 DS KENDUREN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</si>
</sst>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5" fillId="0" borderId="0"/>
    <xf numFmtId="165" fontId="22" fillId="0" borderId="0" applyFont="0" applyFill="0" applyBorder="0" applyAlignment="0" applyProtection="0"/>
    <xf numFmtId="0" fontId="5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166" fontId="22" fillId="0" borderId="0" applyFont="0" applyFill="0" applyBorder="0" applyAlignment="0" applyProtection="0"/>
  </cellStyleXfs>
  <cellXfs count="715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8" fontId="142" fillId="40" borderId="87" xfId="2672" applyNumberFormat="1" applyFont="1" applyFill="1" applyBorder="1" applyAlignment="1" applyProtection="1">
      <alignment horizontal="right" vertical="center"/>
      <protection locked="0"/>
    </xf>
    <xf numFmtId="168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7" fontId="121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5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5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95</xdr:row>
      <xdr:rowOff>81642</xdr:rowOff>
    </xdr:from>
    <xdr:to>
      <xdr:col>12</xdr:col>
      <xdr:colOff>41108</xdr:colOff>
      <xdr:row>98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198783</xdr:colOff>
      <xdr:row>23</xdr:row>
      <xdr:rowOff>44725</xdr:rowOff>
    </xdr:from>
    <xdr:to>
      <xdr:col>7</xdr:col>
      <xdr:colOff>218662</xdr:colOff>
      <xdr:row>35</xdr:row>
      <xdr:rowOff>33129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4177F46A-CF62-463F-9012-B747E02FC194}"/>
            </a:ext>
          </a:extLst>
        </xdr:cNvPr>
        <xdr:cNvCxnSpPr/>
      </xdr:nvCxnSpPr>
      <xdr:spPr>
        <a:xfrm flipH="1">
          <a:off x="2418522" y="3523421"/>
          <a:ext cx="19879" cy="1769165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372718</xdr:colOff>
      <xdr:row>10</xdr:row>
      <xdr:rowOff>82825</xdr:rowOff>
    </xdr:from>
    <xdr:to>
      <xdr:col>9</xdr:col>
      <xdr:colOff>8284</xdr:colOff>
      <xdr:row>34</xdr:row>
      <xdr:rowOff>94612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D5A4F90-3F07-466C-B69B-C7693B74A172}"/>
            </a:ext>
          </a:extLst>
        </xdr:cNvPr>
        <xdr:cNvCxnSpPr/>
      </xdr:nvCxnSpPr>
      <xdr:spPr>
        <a:xfrm flipH="1">
          <a:off x="2973457" y="1606825"/>
          <a:ext cx="16566" cy="3598157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5351" y="822484"/>
          <a:ext cx="1486253" cy="182975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7</xdr:col>
      <xdr:colOff>173935</xdr:colOff>
      <xdr:row>23</xdr:row>
      <xdr:rowOff>94203</xdr:rowOff>
    </xdr:from>
    <xdr:to>
      <xdr:col>19</xdr:col>
      <xdr:colOff>157006</xdr:colOff>
      <xdr:row>23</xdr:row>
      <xdr:rowOff>99391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40ECCFE-BE37-162B-22FC-56E5686B009B}"/>
            </a:ext>
          </a:extLst>
        </xdr:cNvPr>
        <xdr:cNvCxnSpPr/>
      </xdr:nvCxnSpPr>
      <xdr:spPr>
        <a:xfrm flipV="1">
          <a:off x="2393674" y="3572899"/>
          <a:ext cx="4555071" cy="5188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176438</xdr:colOff>
      <xdr:row>24</xdr:row>
      <xdr:rowOff>26166</xdr:rowOff>
    </xdr:from>
    <xdr:to>
      <xdr:col>9</xdr:col>
      <xdr:colOff>301666</xdr:colOff>
      <xdr:row>25</xdr:row>
      <xdr:rowOff>30480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E3C34C9-7BF9-464B-8010-00DF46E76788}"/>
            </a:ext>
          </a:extLst>
        </xdr:cNvPr>
        <xdr:cNvGrpSpPr/>
      </xdr:nvGrpSpPr>
      <xdr:grpSpPr>
        <a:xfrm rot="21333083">
          <a:off x="3157203" y="3791342"/>
          <a:ext cx="125228" cy="1611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E4E0AD08-10F5-2648-956C-EB6C95FC60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12D83122-F0CF-24E6-8BF2-B692018E124D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EC1BF22F-2D67-AD8B-11A5-FB33715E515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153592</xdr:colOff>
      <xdr:row>17</xdr:row>
      <xdr:rowOff>118639</xdr:rowOff>
    </xdr:from>
    <xdr:to>
      <xdr:col>9</xdr:col>
      <xdr:colOff>278820</xdr:colOff>
      <xdr:row>18</xdr:row>
      <xdr:rowOff>118175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65C94FE8-1BD8-4CE3-9F11-B932ED3887CD}"/>
            </a:ext>
          </a:extLst>
        </xdr:cNvPr>
        <xdr:cNvGrpSpPr/>
      </xdr:nvGrpSpPr>
      <xdr:grpSpPr>
        <a:xfrm rot="21333083">
          <a:off x="3134357" y="2785639"/>
          <a:ext cx="125228" cy="15641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C61A8B10-BBB3-87D9-175B-9262CAEBD0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2A5CDFC3-FDF8-46C0-9D5F-D40267C3B527}"/>
              </a:ext>
            </a:extLst>
          </xdr:cNvPr>
          <xdr:cNvCxnSpPr>
            <a:stCxn id="37" idx="1"/>
            <a:endCxn id="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38D5EF8A-CCCD-884C-F862-655A3A09529D}"/>
              </a:ext>
            </a:extLst>
          </xdr:cNvPr>
          <xdr:cNvCxnSpPr>
            <a:stCxn id="37" idx="3"/>
            <a:endCxn id="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209661</xdr:colOff>
      <xdr:row>13</xdr:row>
      <xdr:rowOff>141136</xdr:rowOff>
    </xdr:from>
    <xdr:to>
      <xdr:col>10</xdr:col>
      <xdr:colOff>30895</xdr:colOff>
      <xdr:row>16</xdr:row>
      <xdr:rowOff>85386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C29818D8-BF4E-4833-A16D-38568193945F}"/>
            </a:ext>
          </a:extLst>
        </xdr:cNvPr>
        <xdr:cNvSpPr/>
      </xdr:nvSpPr>
      <xdr:spPr>
        <a:xfrm rot="5400000">
          <a:off x="3096761" y="2223601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10</xdr:col>
      <xdr:colOff>348187</xdr:colOff>
      <xdr:row>23</xdr:row>
      <xdr:rowOff>22936</xdr:rowOff>
    </xdr:from>
    <xdr:to>
      <xdr:col>13</xdr:col>
      <xdr:colOff>311553</xdr:colOff>
      <xdr:row>24</xdr:row>
      <xdr:rowOff>74224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B22FF862-4C1F-4F8C-90B5-7AE141124DBD}"/>
            </a:ext>
          </a:extLst>
        </xdr:cNvPr>
        <xdr:cNvSpPr/>
      </xdr:nvSpPr>
      <xdr:spPr>
        <a:xfrm>
          <a:off x="3710926" y="3501632"/>
          <a:ext cx="1106366" cy="200375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LVTC 2 </a:t>
          </a:r>
          <a:r>
            <a:rPr lang="en-ID" sz="800" b="1" baseline="0">
              <a:solidFill>
                <a:schemeClr val="tx1"/>
              </a:solidFill>
            </a:rPr>
            <a:t>X 70 MM +N</a:t>
          </a:r>
          <a:endParaRPr lang="en-ID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125066</xdr:colOff>
      <xdr:row>15</xdr:row>
      <xdr:rowOff>16565</xdr:rowOff>
    </xdr:from>
    <xdr:to>
      <xdr:col>14</xdr:col>
      <xdr:colOff>256762</xdr:colOff>
      <xdr:row>22</xdr:row>
      <xdr:rowOff>74543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>
          <a:off x="3487805" y="2302565"/>
          <a:ext cx="1655696" cy="1101587"/>
        </a:xfrm>
        <a:prstGeom prst="rect">
          <a:avLst/>
        </a:prstGeom>
        <a:solidFill>
          <a:schemeClr val="bg1"/>
        </a:solidFill>
        <a:ln w="952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2">
                  <a:lumMod val="75000"/>
                </a:schemeClr>
              </a:solidFill>
            </a:rPr>
            <a:t>BALAIDESA KENDUREN</a:t>
          </a:r>
        </a:p>
      </xdr:txBody>
    </xdr:sp>
    <xdr:clientData/>
  </xdr:twoCellAnchor>
  <xdr:twoCellAnchor>
    <xdr:from>
      <xdr:col>6</xdr:col>
      <xdr:colOff>304800</xdr:colOff>
      <xdr:row>10</xdr:row>
      <xdr:rowOff>71167</xdr:rowOff>
    </xdr:from>
    <xdr:to>
      <xdr:col>8</xdr:col>
      <xdr:colOff>266700</xdr:colOff>
      <xdr:row>16</xdr:row>
      <xdr:rowOff>82826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C3F62C44-AB6D-401D-B0D9-099EFF766C7D}"/>
            </a:ext>
          </a:extLst>
        </xdr:cNvPr>
        <xdr:cNvSpPr txBox="1"/>
      </xdr:nvSpPr>
      <xdr:spPr>
        <a:xfrm>
          <a:off x="2143539" y="1595167"/>
          <a:ext cx="723900" cy="922746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800" b="0" u="none" baseline="0">
            <a:solidFill>
              <a:schemeClr val="tx2">
                <a:lumMod val="7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800" b="0" u="none" baseline="0">
              <a:solidFill>
                <a:schemeClr val="tx2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800" b="0" u="none" baseline="0">
              <a:solidFill>
                <a:schemeClr val="tx2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CG-105</a:t>
          </a:r>
          <a:b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CM5-6</a:t>
          </a:r>
          <a:b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ctr"/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175125</xdr:colOff>
      <xdr:row>10</xdr:row>
      <xdr:rowOff>16565</xdr:rowOff>
    </xdr:from>
    <xdr:to>
      <xdr:col>9</xdr:col>
      <xdr:colOff>190500</xdr:colOff>
      <xdr:row>24</xdr:row>
      <xdr:rowOff>100941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8F235489-8F64-4083-BE7D-C23071FBA48A}"/>
            </a:ext>
          </a:extLst>
        </xdr:cNvPr>
        <xdr:cNvCxnSpPr/>
      </xdr:nvCxnSpPr>
      <xdr:spPr>
        <a:xfrm flipV="1">
          <a:off x="3156864" y="1540565"/>
          <a:ext cx="15375" cy="2188159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245001</xdr:colOff>
      <xdr:row>25</xdr:row>
      <xdr:rowOff>30249</xdr:rowOff>
    </xdr:from>
    <xdr:to>
      <xdr:col>16</xdr:col>
      <xdr:colOff>99391</xdr:colOff>
      <xdr:row>25</xdr:row>
      <xdr:rowOff>57978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F851FF60-E662-44EB-A84E-74F6F742FE29}"/>
            </a:ext>
          </a:extLst>
        </xdr:cNvPr>
        <xdr:cNvCxnSpPr>
          <a:endCxn id="32" idx="4"/>
        </xdr:cNvCxnSpPr>
      </xdr:nvCxnSpPr>
      <xdr:spPr>
        <a:xfrm flipH="1" flipV="1">
          <a:off x="3226740" y="3807119"/>
          <a:ext cx="2521390" cy="27729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165188</xdr:colOff>
      <xdr:row>12</xdr:row>
      <xdr:rowOff>5995</xdr:rowOff>
    </xdr:from>
    <xdr:to>
      <xdr:col>9</xdr:col>
      <xdr:colOff>290416</xdr:colOff>
      <xdr:row>12</xdr:row>
      <xdr:rowOff>154618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932D1A25-828A-44D8-B539-F41B4A1D1719}"/>
            </a:ext>
          </a:extLst>
        </xdr:cNvPr>
        <xdr:cNvGrpSpPr/>
      </xdr:nvGrpSpPr>
      <xdr:grpSpPr>
        <a:xfrm rot="21333083">
          <a:off x="3145953" y="1888583"/>
          <a:ext cx="125228" cy="14862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12213881-A26C-BE17-0C20-6BEE7575B3A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AD880DF-A247-281D-D348-9EB04400E977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EE26F5B8-352A-C171-0A8E-F00773686D77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378534</xdr:colOff>
      <xdr:row>24</xdr:row>
      <xdr:rowOff>95739</xdr:rowOff>
    </xdr:from>
    <xdr:to>
      <xdr:col>12</xdr:col>
      <xdr:colOff>122762</xdr:colOff>
      <xdr:row>25</xdr:row>
      <xdr:rowOff>100053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1FD657FA-C6EC-44A0-A9CD-7C7677BE6680}"/>
            </a:ext>
          </a:extLst>
        </xdr:cNvPr>
        <xdr:cNvGrpSpPr/>
      </xdr:nvGrpSpPr>
      <xdr:grpSpPr>
        <a:xfrm rot="21333083">
          <a:off x="4121299" y="3860915"/>
          <a:ext cx="125228" cy="1611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71E3B569-DCDF-4A38-9740-00A8ED3EB1A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1A5EBB03-E9AC-A08A-A48D-42F91E4F0985}"/>
              </a:ext>
            </a:extLst>
          </xdr:cNvPr>
          <xdr:cNvCxnSpPr>
            <a:stCxn id="25" idx="1"/>
            <a:endCxn id="2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8E069AE4-C746-F727-3654-171783137037}"/>
              </a:ext>
            </a:extLst>
          </xdr:cNvPr>
          <xdr:cNvCxnSpPr>
            <a:stCxn id="25" idx="3"/>
            <a:endCxn id="2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299021</xdr:colOff>
      <xdr:row>24</xdr:row>
      <xdr:rowOff>82485</xdr:rowOff>
    </xdr:from>
    <xdr:to>
      <xdr:col>15</xdr:col>
      <xdr:colOff>43249</xdr:colOff>
      <xdr:row>25</xdr:row>
      <xdr:rowOff>86799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C31DB7AF-D5ED-47FC-BFB7-CD0E86196348}"/>
            </a:ext>
          </a:extLst>
        </xdr:cNvPr>
        <xdr:cNvGrpSpPr/>
      </xdr:nvGrpSpPr>
      <xdr:grpSpPr>
        <a:xfrm rot="21333083">
          <a:off x="5184786" y="3847661"/>
          <a:ext cx="125228" cy="16119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6" name="Oval 55">
            <a:extLst>
              <a:ext uri="{FF2B5EF4-FFF2-40B4-BE49-F238E27FC236}">
                <a16:creationId xmlns:a16="http://schemas.microsoft.com/office/drawing/2014/main" id="{4023A7F8-E459-69B7-BAD9-C3813A90C0C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0A7C77ED-6F22-1066-BDA8-372424669C77}"/>
              </a:ext>
            </a:extLst>
          </xdr:cNvPr>
          <xdr:cNvCxnSpPr>
            <a:stCxn id="56" idx="1"/>
            <a:endCxn id="5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5DD83B53-1042-45E2-2D79-DD44BAC050AC}"/>
              </a:ext>
            </a:extLst>
          </xdr:cNvPr>
          <xdr:cNvCxnSpPr>
            <a:stCxn id="56" idx="3"/>
            <a:endCxn id="5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261264</xdr:colOff>
      <xdr:row>9</xdr:row>
      <xdr:rowOff>53008</xdr:rowOff>
    </xdr:from>
    <xdr:to>
      <xdr:col>9</xdr:col>
      <xdr:colOff>276639</xdr:colOff>
      <xdr:row>23</xdr:row>
      <xdr:rowOff>137384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3A39E815-5F4B-4E62-B835-1085C2BCF19D}"/>
            </a:ext>
          </a:extLst>
        </xdr:cNvPr>
        <xdr:cNvCxnSpPr/>
      </xdr:nvCxnSpPr>
      <xdr:spPr>
        <a:xfrm flipV="1">
          <a:off x="3243003" y="1427921"/>
          <a:ext cx="15375" cy="2188159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278987</xdr:colOff>
      <xdr:row>24</xdr:row>
      <xdr:rowOff>45360</xdr:rowOff>
    </xdr:from>
    <xdr:to>
      <xdr:col>16</xdr:col>
      <xdr:colOff>185530</xdr:colOff>
      <xdr:row>24</xdr:row>
      <xdr:rowOff>94421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5CC7AB5C-8028-4B1F-BCE7-AA5358CCBD82}"/>
            </a:ext>
          </a:extLst>
        </xdr:cNvPr>
        <xdr:cNvCxnSpPr>
          <a:endCxn id="32" idx="7"/>
        </xdr:cNvCxnSpPr>
      </xdr:nvCxnSpPr>
      <xdr:spPr>
        <a:xfrm flipH="1" flipV="1">
          <a:off x="3260726" y="3673143"/>
          <a:ext cx="2573543" cy="4906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196408</xdr:colOff>
      <xdr:row>20</xdr:row>
      <xdr:rowOff>3645</xdr:rowOff>
    </xdr:from>
    <xdr:to>
      <xdr:col>10</xdr:col>
      <xdr:colOff>17642</xdr:colOff>
      <xdr:row>22</xdr:row>
      <xdr:rowOff>96982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BD2F1D64-CF03-4B6E-9E1A-627503AA2250}"/>
            </a:ext>
          </a:extLst>
        </xdr:cNvPr>
        <xdr:cNvSpPr/>
      </xdr:nvSpPr>
      <xdr:spPr>
        <a:xfrm rot="5400000">
          <a:off x="3083508" y="3129719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10</xdr:col>
      <xdr:colOff>129930</xdr:colOff>
      <xdr:row>23</xdr:row>
      <xdr:rowOff>101597</xdr:rowOff>
    </xdr:from>
    <xdr:to>
      <xdr:col>11</xdr:col>
      <xdr:colOff>140441</xdr:colOff>
      <xdr:row>25</xdr:row>
      <xdr:rowOff>5657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76A2D8ED-1158-4D09-A721-02A2704EC7EE}"/>
            </a:ext>
          </a:extLst>
        </xdr:cNvPr>
        <xdr:cNvSpPr/>
      </xdr:nvSpPr>
      <xdr:spPr>
        <a:xfrm>
          <a:off x="3492669" y="3580293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12</xdr:col>
      <xdr:colOff>340309</xdr:colOff>
      <xdr:row>23</xdr:row>
      <xdr:rowOff>121475</xdr:rowOff>
    </xdr:from>
    <xdr:to>
      <xdr:col>13</xdr:col>
      <xdr:colOff>350820</xdr:colOff>
      <xdr:row>25</xdr:row>
      <xdr:rowOff>25535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37365A83-7104-4415-BB63-A50176635DE3}"/>
            </a:ext>
          </a:extLst>
        </xdr:cNvPr>
        <xdr:cNvSpPr/>
      </xdr:nvSpPr>
      <xdr:spPr>
        <a:xfrm>
          <a:off x="4465048" y="3600171"/>
          <a:ext cx="391511" cy="202234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248478</xdr:colOff>
      <xdr:row>25</xdr:row>
      <xdr:rowOff>41413</xdr:rowOff>
    </xdr:from>
    <xdr:to>
      <xdr:col>12</xdr:col>
      <xdr:colOff>16566</xdr:colOff>
      <xdr:row>26</xdr:row>
      <xdr:rowOff>74544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487765CB-BFC5-4007-A352-A765464D5A64}"/>
            </a:ext>
          </a:extLst>
        </xdr:cNvPr>
        <xdr:cNvSpPr/>
      </xdr:nvSpPr>
      <xdr:spPr>
        <a:xfrm>
          <a:off x="3992217" y="3818283"/>
          <a:ext cx="149088" cy="18221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376031</xdr:colOff>
      <xdr:row>11</xdr:row>
      <xdr:rowOff>119270</xdr:rowOff>
    </xdr:from>
    <xdr:to>
      <xdr:col>9</xdr:col>
      <xdr:colOff>144119</xdr:colOff>
      <xdr:row>12</xdr:row>
      <xdr:rowOff>152401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221922AD-9499-4734-99C9-3D0C8033BE2E}"/>
            </a:ext>
          </a:extLst>
        </xdr:cNvPr>
        <xdr:cNvSpPr/>
      </xdr:nvSpPr>
      <xdr:spPr>
        <a:xfrm>
          <a:off x="2976770" y="1792357"/>
          <a:ext cx="149088" cy="182218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240195</xdr:colOff>
      <xdr:row>15</xdr:row>
      <xdr:rowOff>33129</xdr:rowOff>
    </xdr:from>
    <xdr:to>
      <xdr:col>14</xdr:col>
      <xdr:colOff>231913</xdr:colOff>
      <xdr:row>17</xdr:row>
      <xdr:rowOff>60270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87B0D8A-7E22-4728-A7B0-431B5703E603}"/>
            </a:ext>
          </a:extLst>
        </xdr:cNvPr>
        <xdr:cNvSpPr txBox="1"/>
      </xdr:nvSpPr>
      <xdr:spPr>
        <a:xfrm>
          <a:off x="4745934" y="2319129"/>
          <a:ext cx="372718" cy="32531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BTS</a:t>
          </a:r>
        </a:p>
      </xdr:txBody>
    </xdr:sp>
    <xdr:clientData/>
  </xdr:twoCellAnchor>
  <xdr:twoCellAnchor>
    <xdr:from>
      <xdr:col>14</xdr:col>
      <xdr:colOff>231913</xdr:colOff>
      <xdr:row>16</xdr:row>
      <xdr:rowOff>46700</xdr:rowOff>
    </xdr:from>
    <xdr:to>
      <xdr:col>14</xdr:col>
      <xdr:colOff>355686</xdr:colOff>
      <xdr:row>24</xdr:row>
      <xdr:rowOff>82716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D7CB2839-8816-4CB0-A5F7-D986B3C34EB2}"/>
            </a:ext>
          </a:extLst>
        </xdr:cNvPr>
        <xdr:cNvCxnSpPr>
          <a:stCxn id="56" idx="0"/>
          <a:endCxn id="70" idx="3"/>
        </xdr:cNvCxnSpPr>
      </xdr:nvCxnSpPr>
      <xdr:spPr>
        <a:xfrm flipH="1" flipV="1">
          <a:off x="5118652" y="2481787"/>
          <a:ext cx="123773" cy="12287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190501</xdr:colOff>
      <xdr:row>16</xdr:row>
      <xdr:rowOff>24849</xdr:rowOff>
    </xdr:from>
    <xdr:to>
      <xdr:col>14</xdr:col>
      <xdr:colOff>323023</xdr:colOff>
      <xdr:row>17</xdr:row>
      <xdr:rowOff>41414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77859740-4303-4B55-B554-B59E362FBCDD}"/>
            </a:ext>
          </a:extLst>
        </xdr:cNvPr>
        <xdr:cNvSpPr txBox="1"/>
      </xdr:nvSpPr>
      <xdr:spPr>
        <a:xfrm>
          <a:off x="5077240" y="2459936"/>
          <a:ext cx="132522" cy="165652"/>
        </a:xfrm>
        <a:prstGeom prst="rect">
          <a:avLst/>
        </a:prstGeom>
        <a:solidFill>
          <a:srgbClr val="FF0000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198783</xdr:colOff>
      <xdr:row>40</xdr:row>
      <xdr:rowOff>41413</xdr:rowOff>
    </xdr:from>
    <xdr:to>
      <xdr:col>21</xdr:col>
      <xdr:colOff>24848</xdr:colOff>
      <xdr:row>50</xdr:row>
      <xdr:rowOff>24848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73D2EB8F-225C-4DB1-B163-EF07F70E0C74}"/>
            </a:ext>
          </a:extLst>
        </xdr:cNvPr>
        <xdr:cNvSpPr/>
      </xdr:nvSpPr>
      <xdr:spPr>
        <a:xfrm>
          <a:off x="6228522" y="6079435"/>
          <a:ext cx="1350065" cy="1490870"/>
        </a:xfrm>
        <a:prstGeom prst="rect">
          <a:avLst/>
        </a:prstGeom>
        <a:solidFill>
          <a:schemeClr val="bg1"/>
        </a:solidFill>
        <a:ln w="952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800" b="1">
              <a:solidFill>
                <a:schemeClr val="tx2">
                  <a:lumMod val="75000"/>
                </a:schemeClr>
              </a:solidFill>
            </a:rPr>
            <a:t>BEBAN TRAFO :</a:t>
          </a:r>
          <a:br>
            <a:rPr lang="en-ID" sz="800" b="1">
              <a:solidFill>
                <a:schemeClr val="tx2">
                  <a:lumMod val="75000"/>
                </a:schemeClr>
              </a:solidFill>
            </a:rPr>
          </a:br>
          <a:r>
            <a:rPr lang="en-ID" sz="800" b="1">
              <a:solidFill>
                <a:schemeClr val="tx2">
                  <a:lumMod val="75000"/>
                </a:schemeClr>
              </a:solidFill>
            </a:rPr>
            <a:t>MALAM : </a:t>
          </a:r>
          <a:br>
            <a:rPr lang="en-ID" sz="800" b="1">
              <a:solidFill>
                <a:schemeClr val="tx2">
                  <a:lumMod val="75000"/>
                </a:schemeClr>
              </a:solidFill>
            </a:rPr>
          </a:br>
          <a:r>
            <a:rPr lang="en-ID" sz="800" b="1">
              <a:solidFill>
                <a:schemeClr val="tx2">
                  <a:lumMod val="75000"/>
                </a:schemeClr>
              </a:solidFill>
            </a:rPr>
            <a:t>X1 : 103</a:t>
          </a:r>
          <a:br>
            <a:rPr lang="en-ID" sz="800" b="1">
              <a:solidFill>
                <a:schemeClr val="tx2">
                  <a:lumMod val="75000"/>
                </a:schemeClr>
              </a:solidFill>
            </a:rPr>
          </a:br>
          <a:r>
            <a:rPr lang="en-ID" sz="800" b="1">
              <a:solidFill>
                <a:schemeClr val="tx2">
                  <a:lumMod val="75000"/>
                </a:schemeClr>
              </a:solidFill>
            </a:rPr>
            <a:t>X2 : 93</a:t>
          </a:r>
          <a:br>
            <a:rPr lang="en-ID" sz="800" b="1">
              <a:solidFill>
                <a:schemeClr val="tx2">
                  <a:lumMod val="75000"/>
                </a:schemeClr>
              </a:solidFill>
            </a:rPr>
          </a:br>
          <a:br>
            <a:rPr lang="en-ID" sz="800" b="1">
              <a:solidFill>
                <a:schemeClr val="tx2">
                  <a:lumMod val="75000"/>
                </a:schemeClr>
              </a:solidFill>
            </a:rPr>
          </a:br>
          <a:r>
            <a:rPr lang="en-ID" sz="800" b="1">
              <a:solidFill>
                <a:schemeClr val="tx2">
                  <a:lumMod val="75000"/>
                </a:schemeClr>
              </a:solidFill>
            </a:rPr>
            <a:t>PELANGGAN</a:t>
          </a:r>
          <a:r>
            <a:rPr lang="en-ID" sz="800" b="1" baseline="0">
              <a:solidFill>
                <a:schemeClr val="tx2">
                  <a:lumMod val="75000"/>
                </a:schemeClr>
              </a:solidFill>
            </a:rPr>
            <a:t> : </a:t>
          </a:r>
          <a:br>
            <a:rPr lang="en-ID" sz="800" b="1">
              <a:solidFill>
                <a:schemeClr val="tx2">
                  <a:lumMod val="75000"/>
                </a:schemeClr>
              </a:solidFill>
            </a:rPr>
          </a:br>
          <a:r>
            <a:rPr lang="en-ID" sz="800" b="1">
              <a:solidFill>
                <a:schemeClr val="tx2">
                  <a:lumMod val="75000"/>
                </a:schemeClr>
              </a:solidFill>
            </a:rPr>
            <a:t>KANTOR</a:t>
          </a:r>
          <a:r>
            <a:rPr lang="en-ID" sz="800" b="1" baseline="0">
              <a:solidFill>
                <a:schemeClr val="tx2">
                  <a:lumMod val="75000"/>
                </a:schemeClr>
              </a:solidFill>
            </a:rPr>
            <a:t> BALAIDESA : 7.7</a:t>
          </a:r>
          <a:br>
            <a:rPr lang="en-ID" sz="800" b="1" baseline="0">
              <a:solidFill>
                <a:schemeClr val="tx2">
                  <a:lumMod val="75000"/>
                </a:schemeClr>
              </a:solidFill>
            </a:rPr>
          </a:br>
          <a:r>
            <a:rPr lang="en-ID" sz="800" b="1" baseline="0">
              <a:solidFill>
                <a:schemeClr val="tx2">
                  <a:lumMod val="75000"/>
                </a:schemeClr>
              </a:solidFill>
            </a:rPr>
            <a:t>GEDUNG SERBA GUNA : 3.5</a:t>
          </a:r>
          <a:br>
            <a:rPr lang="en-ID" sz="800" b="1" baseline="0">
              <a:solidFill>
                <a:schemeClr val="tx2">
                  <a:lumMod val="75000"/>
                </a:schemeClr>
              </a:solidFill>
            </a:rPr>
          </a:br>
          <a:r>
            <a:rPr lang="en-ID" sz="800" b="1" baseline="0">
              <a:solidFill>
                <a:schemeClr val="tx2">
                  <a:lumMod val="75000"/>
                </a:schemeClr>
              </a:solidFill>
            </a:rPr>
            <a:t>PJU DESA</a:t>
          </a:r>
          <a:br>
            <a:rPr lang="en-ID" sz="800" b="1" baseline="0">
              <a:solidFill>
                <a:schemeClr val="tx2">
                  <a:lumMod val="75000"/>
                </a:schemeClr>
              </a:solidFill>
            </a:rPr>
          </a:br>
          <a:r>
            <a:rPr lang="en-ID" sz="800" b="1" baseline="0">
              <a:solidFill>
                <a:schemeClr val="tx2">
                  <a:lumMod val="75000"/>
                </a:schemeClr>
              </a:solidFill>
            </a:rPr>
            <a:t>SD 1 : 2.2</a:t>
          </a:r>
          <a:br>
            <a:rPr lang="en-ID" sz="800" b="1" baseline="0">
              <a:solidFill>
                <a:schemeClr val="tx2">
                  <a:lumMod val="75000"/>
                </a:schemeClr>
              </a:solidFill>
            </a:rPr>
          </a:br>
          <a:r>
            <a:rPr lang="en-ID" sz="800" b="1" baseline="0">
              <a:solidFill>
                <a:schemeClr val="tx2">
                  <a:lumMod val="75000"/>
                </a:schemeClr>
              </a:solidFill>
            </a:rPr>
            <a:t>MI  : 2.2</a:t>
          </a:r>
          <a:br>
            <a:rPr lang="en-ID" sz="800" b="1" baseline="0">
              <a:solidFill>
                <a:schemeClr val="tx2">
                  <a:lumMod val="75000"/>
                </a:schemeClr>
              </a:solidFill>
            </a:rPr>
          </a:br>
          <a:br>
            <a:rPr lang="en-ID" sz="800" b="1" baseline="0">
              <a:solidFill>
                <a:schemeClr val="tx2">
                  <a:lumMod val="75000"/>
                </a:schemeClr>
              </a:solidFill>
            </a:rPr>
          </a:br>
          <a:br>
            <a:rPr lang="en-ID" sz="800" b="1">
              <a:solidFill>
                <a:schemeClr val="tx2">
                  <a:lumMod val="75000"/>
                </a:schemeClr>
              </a:solidFill>
            </a:rPr>
          </a:br>
          <a:endParaRPr lang="en-ID" sz="8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462644</xdr:colOff>
      <xdr:row>10</xdr:row>
      <xdr:rowOff>4757</xdr:rowOff>
    </xdr:from>
    <xdr:to>
      <xdr:col>18</xdr:col>
      <xdr:colOff>489858</xdr:colOff>
      <xdr:row>50</xdr:row>
      <xdr:rowOff>111562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A80D64-1552-40D9-61A2-B62E13371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81894" y="1787293"/>
          <a:ext cx="8599714" cy="6638233"/>
        </a:xfrm>
        <a:prstGeom prst="rect">
          <a:avLst/>
        </a:prstGeom>
      </xdr:spPr>
    </xdr:pic>
    <xdr:clientData/>
  </xdr:twoCellAnchor>
  <xdr:twoCellAnchor>
    <xdr:from>
      <xdr:col>4</xdr:col>
      <xdr:colOff>462644</xdr:colOff>
      <xdr:row>10</xdr:row>
      <xdr:rowOff>4757</xdr:rowOff>
    </xdr:from>
    <xdr:to>
      <xdr:col>5</xdr:col>
      <xdr:colOff>61488</xdr:colOff>
      <xdr:row>10</xdr:row>
      <xdr:rowOff>90674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E77F898-4F08-44DF-A058-8B8F3476A2BE}"/>
            </a:ext>
          </a:extLst>
        </xdr:cNvPr>
        <xdr:cNvCxnSpPr/>
      </xdr:nvCxnSpPr>
      <xdr:spPr>
        <a:xfrm flipV="1">
          <a:off x="2081894" y="1787293"/>
          <a:ext cx="211165" cy="8591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204107</xdr:colOff>
      <xdr:row>14</xdr:row>
      <xdr:rowOff>54428</xdr:rowOff>
    </xdr:from>
    <xdr:to>
      <xdr:col>11</xdr:col>
      <xdr:colOff>592165</xdr:colOff>
      <xdr:row>23</xdr:row>
      <xdr:rowOff>40822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78C2B0D-696A-49F7-ABDD-D07992249F3D}"/>
            </a:ext>
          </a:extLst>
        </xdr:cNvPr>
        <xdr:cNvCxnSpPr/>
      </xdr:nvCxnSpPr>
      <xdr:spPr>
        <a:xfrm>
          <a:off x="5497286" y="2490107"/>
          <a:ext cx="1000379" cy="145596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MASTER"/>
      <sheetName val="FORM-B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>
        <row r="120">
          <cell r="H120">
            <v>9000</v>
          </cell>
        </row>
      </sheetData>
      <sheetData sheetId="224">
        <row r="120">
          <cell r="H120">
            <v>9000</v>
          </cell>
        </row>
      </sheetData>
      <sheetData sheetId="225">
        <row r="120">
          <cell r="H120">
            <v>9000</v>
          </cell>
        </row>
      </sheetData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Sudah Berjalan"/>
      <sheetName val="Resume"/>
      <sheetName val="D2. ANALISA HS INSHAR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  <sheetName val="HB BARU"/>
      <sheetName val="Resume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  <sheetName val="bant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8" t="s">
        <v>1134</v>
      </c>
      <c r="C4" s="518"/>
      <c r="D4" s="518"/>
      <c r="E4" s="518"/>
      <c r="F4" s="518"/>
      <c r="G4" s="518"/>
      <c r="H4" s="51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9" t="s">
        <v>0</v>
      </c>
      <c r="C7" s="519" t="s">
        <v>1</v>
      </c>
      <c r="D7" s="520" t="s">
        <v>42</v>
      </c>
      <c r="E7" s="520" t="s">
        <v>43</v>
      </c>
      <c r="F7" s="520" t="s">
        <v>1135</v>
      </c>
      <c r="G7" s="521" t="s">
        <v>41</v>
      </c>
      <c r="H7" s="517" t="s">
        <v>1042</v>
      </c>
      <c r="I7" s="517" t="s">
        <v>1137</v>
      </c>
      <c r="J7" s="517" t="s">
        <v>1026</v>
      </c>
      <c r="K7" s="511" t="s">
        <v>1024</v>
      </c>
      <c r="L7" s="512"/>
    </row>
    <row r="8" spans="1:12" ht="15" customHeight="1">
      <c r="B8" s="519"/>
      <c r="C8" s="519"/>
      <c r="D8" s="520"/>
      <c r="E8" s="520"/>
      <c r="F8" s="520"/>
      <c r="G8" s="521"/>
      <c r="H8" s="517"/>
      <c r="I8" s="517"/>
      <c r="J8" s="517"/>
      <c r="K8" s="513"/>
      <c r="L8" s="514"/>
    </row>
    <row r="9" spans="1:12" ht="15" customHeight="1">
      <c r="B9" s="519"/>
      <c r="C9" s="519"/>
      <c r="D9" s="520"/>
      <c r="E9" s="520"/>
      <c r="F9" s="520"/>
      <c r="G9" s="521"/>
      <c r="H9" s="517"/>
      <c r="I9" s="517"/>
      <c r="J9" s="517"/>
      <c r="K9" s="515"/>
      <c r="L9" s="51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2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SUMIFS(RAB!$F$14:$F$79,RAB!$C$14:$C$79,C714)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SUMIFS(RAB!$F$14:$F$79,RAB!$C$14:$C$79,C715)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SUMIFS(RAB!$F$14:$F$79,RAB!$C$14:$C$79,C716)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SUMIFS(RAB!$F$14:$F$79,RAB!$C$14:$C$79,C717)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SUMIFS(RAB!$F$14:$F$79,RAB!$C$14:$C$79,C718)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SUMIFS(RAB!$F$14:$F$79,RAB!$C$14:$C$79,C719)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SUMIFS(RAB!$F$14:$F$79,RAB!$C$14:$C$79,C720)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SUMIFS(RAB!$F$14:$F$79,RAB!$C$14:$C$79,C721)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SUMIFS(RAB!$F$14:$F$79,RAB!$C$14:$C$79,C722)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SUMIFS(RAB!$F$14:$F$79,RAB!$C$14:$C$79,C723)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SUMIFS(RAB!$F$14:$F$79,RAB!$C$14:$C$79,C724)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SUMIFS(RAB!$F$14:$F$79,RAB!$C$14:$C$79,C725)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SUMIFS(RAB!$F$14:$F$79,RAB!$C$14:$C$79,C726)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SUMIFS(RAB!$F$14:$F$79,RAB!$C$14:$C$79,C727)</f>
        <v>1</v>
      </c>
      <c r="E727" s="26">
        <f t="shared" ca="1" si="33"/>
        <v>1</v>
      </c>
      <c r="F727" s="26">
        <f ca="1">IF(D727=0,0,SUM($E$713:E727))</f>
        <v>2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SUMIFS(RAB!$F$14:$F$79,RAB!$C$14:$C$79,C728)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SUMIFS(RAB!$F$14:$F$79,RAB!$C$14:$C$79,C729)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SUMIFS(RAB!$F$14:$F$79,RAB!$C$14:$C$79,C730)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SUMIFS(RAB!$F$14:$F$79,RAB!$C$14:$C$79,C731)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SUMIFS(RAB!$F$14:$F$79,RAB!$C$14:$C$79,C732)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SUMIFS(RAB!$F$14:$F$79,RAB!$C$14:$C$79,C733)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SUMIFS(RAB!$F$14:$F$79,RAB!$C$14:$C$79,C734)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SUMIFS(RAB!$F$14:$F$79,RAB!$C$14:$C$79,C735)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SUMIFS(RAB!$F$14:$F$79,RAB!$C$14:$C$79,C736)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SUMIFS(RAB!$F$14:$F$79,RAB!$C$14:$C$79,C737)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SUMIFS(RAB!$F$14:$F$79,RAB!$C$14:$C$79,C738)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SUMIFS(RAB!$F$14:$F$79,RAB!$C$14:$C$79,C739)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SUMIFS(RAB!$F$14:$F$79,RAB!$C$14:$C$79,C740)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SUMIFS(RAB!$F$14:$F$79,RAB!$C$14:$C$79,C741)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SUMIFS(RAB!$F$14:$F$79,RAB!$C$14:$C$79,C742)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SUMIFS(RAB!$F$14:$F$79,RAB!$C$14:$C$79,C743)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SUMIFS(RAB!$F$14:$F$79,RAB!$C$14:$C$79,C744)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SUMIFS(RAB!$F$14:$F$79,RAB!$C$14:$C$79,C745)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SUMIFS(RAB!$F$14:$F$79,RAB!$C$14:$C$79,C746)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SUMIFS(RAB!$F$14:$F$79,RAB!$C$14:$C$79,C747)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SUMIFS(RAB!$F$14:$F$79,RAB!$C$14:$C$79,C748)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SUMIFS(RAB!$F$14:$F$79,RAB!$C$14:$C$79,C749)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SUMIFS(RAB!$F$14:$F$79,RAB!$C$14:$C$79,C750)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SUMIFS(RAB!$F$14:$F$79,RAB!$C$14:$C$79,C751)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SUMIFS(RAB!$F$14:$F$79,RAB!$C$14:$C$79,C752)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SUMIFS(RAB!$F$14:$F$79,RAB!$C$14:$C$79,C753)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SUMIFS(RAB!$F$14:$F$79,RAB!$C$14:$C$79,C754)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SUMIFS(RAB!$F$14:$F$79,RAB!$C$14:$C$79,C755)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SUMIFS(RAB!$F$14:$F$79,RAB!$C$14:$C$79,C756)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SUMIFS(RAB!$F$14:$F$79,RAB!$C$14:$C$79,C757)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SUMIFS(RAB!$F$14:$F$79,RAB!$C$14:$C$79,C758)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SUMIFS(RAB!$F$14:$F$79,RAB!$C$14:$C$79,C759)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SUMIFS(RAB!$F$14:$F$79,RAB!$C$14:$C$79,C760)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SUMIFS(RAB!$F$14:$F$79,RAB!$C$14:$C$79,C761)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SUMIFS(RAB!$F$14:$F$79,RAB!$C$14:$C$79,C762)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SUMIFS(RAB!$F$14:$F$79,RAB!$C$14:$C$79,C763)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SUMIFS(RAB!$F$14:$F$79,RAB!$C$14:$C$79,C764)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SUMIFS(RAB!$F$14:$F$79,RAB!$C$14:$C$79,C765)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SUMIFS(RAB!$F$14:$F$79,RAB!$C$14:$C$79,C766)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SUMIFS(RAB!$F$14:$F$79,RAB!$C$14:$C$79,C767)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SUMIFS(RAB!$F$14:$F$79,RAB!$C$14:$C$79,C768)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SUMIFS(RAB!$F$14:$F$79,RAB!$C$14:$C$79,C769)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SUMIFS(RAB!$F$14:$F$79,RAB!$C$14:$C$79,C770)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SUMIFS(RAB!$F$14:$F$79,RAB!$C$14:$C$79,C771)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SUMIFS(RAB!$F$14:$F$79,RAB!$C$14:$C$79,C772)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SUMIFS(RAB!$F$14:$F$79,RAB!$C$14:$C$79,C773)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SUMIFS(RAB!$F$14:$F$79,RAB!$C$14:$C$79,C774)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SUMIFS(RAB!$F$14:$F$79,RAB!$C$14:$C$79,C775)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SUMIFS(RAB!$F$14:$F$79,RAB!$C$14:$C$79,C776)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SUMIFS(RAB!$F$14:$F$79,RAB!$C$14:$C$79,C777)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SUMIFS(RAB!$F$14:$F$79,RAB!$C$14:$C$79,C778)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SUMIFS(RAB!$F$14:$F$79,RAB!$C$14:$C$79,C779)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SUMIFS(RAB!$F$14:$F$79,RAB!$C$14:$C$79,C780)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SUMIFS(RAB!$F$14:$F$79,RAB!$C$14:$C$79,C781)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SUMIFS(RAB!$F$14:$F$79,RAB!$C$14:$C$79,C782)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SUMIFS(RAB!$F$14:$F$79,RAB!$C$14:$C$79,C783)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SUMIFS(RAB!$F$14:$F$79,RAB!$C$14:$C$79,C784)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SUMIFS(RAB!$F$14:$F$79,RAB!$C$14:$C$79,C785)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SUMIFS(RAB!$F$14:$F$79,RAB!$C$14:$C$79,C786)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SUMIFS(RAB!$F$14:$F$79,RAB!$C$14:$C$79,C787)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SUMIFS(RAB!$F$14:$F$79,RAB!$C$14:$C$79,C788)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SUMIFS(RAB!$F$14:$F$79,RAB!$C$14:$C$79,C789)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SUMIFS(RAB!$F$14:$F$79,RAB!$C$14:$C$79,C790)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SUMIFS(RAB!$F$14:$F$79,RAB!$C$14:$C$79,C791)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SUMIFS(RAB!$F$14:$F$79,RAB!$C$14:$C$79,C792)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SUMIFS(RAB!$F$14:$F$79,RAB!$C$14:$C$79,C793)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SUMIFS(RAB!$F$14:$F$79,RAB!$C$14:$C$79,C794)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SUMIFS(RAB!$F$14:$F$79,RAB!$C$14:$C$79,C795)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SUMIFS(RAB!$F$14:$F$79,RAB!$C$14:$C$79,C796)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SUMIFS(RAB!$F$14:$F$79,RAB!$C$14:$C$79,C797)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SUMIFS(RAB!$F$14:$F$79,RAB!$C$14:$C$79,C798)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SUMIFS(RAB!$F$14:$F$79,RAB!$C$14:$C$79,C799)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SUMIFS(RAB!$F$14:$F$79,RAB!$C$14:$C$79,C800)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SUMIFS(RAB!$F$14:$F$79,RAB!$C$14:$C$79,C801)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SUMIFS(RAB!$F$14:$F$79,RAB!$C$14:$C$79,C802)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SUMIFS(RAB!$F$14:$F$79,RAB!$C$14:$C$79,C803)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SUMIFS(RAB!$F$14:$F$79,RAB!$C$14:$C$79,C804)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SUMIFS(RAB!$F$14:$F$79,RAB!$C$14:$C$79,C805)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SUMIFS(RAB!$F$14:$F$79,RAB!$C$14:$C$79,C806)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SUMIFS(RAB!$F$14:$F$79,RAB!$C$14:$C$79,C807)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SUMIFS(RAB!$F$14:$F$79,RAB!$C$14:$C$79,C808)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SUMIFS(RAB!$F$14:$F$79,RAB!$C$14:$C$79,C809)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SUMIFS(RAB!$F$14:$F$79,RAB!$C$14:$C$79,C810)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SUMIFS(RAB!$F$14:$F$79,RAB!$C$14:$C$79,C811)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SUMIFS(RAB!$F$14:$F$79,RAB!$C$14:$C$79,C812)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SUMIFS(RAB!$F$14:$F$79,RAB!$C$14:$C$79,C813)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SUMIFS(RAB!$F$14:$F$79,RAB!$C$14:$C$79,C814)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SUMIFS(RAB!$F$14:$F$79,RAB!$C$14:$C$79,C815)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SUMIFS(RAB!$F$14:$F$79,RAB!$C$14:$C$79,C816)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SUMIFS(RAB!$F$14:$F$79,RAB!$C$14:$C$79,C817)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SUMIFS(RAB!$F$14:$F$79,RAB!$C$14:$C$79,C818)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SUMIFS(RAB!$F$14:$F$79,RAB!$C$14:$C$79,C819)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SUMIFS(RAB!$F$14:$F$79,RAB!$C$14:$C$79,C820)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SUMIFS(RAB!$F$14:$F$79,RAB!$C$14:$C$79,C821)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SUMIFS(RAB!$F$14:$F$79,RAB!$C$14:$C$79,C822)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SUMIFS(RAB!$F$14:$F$79,RAB!$C$14:$C$79,C823)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SUMIFS(RAB!$F$14:$F$79,RAB!$C$14:$C$79,C824)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SUMIFS(RAB!$F$14:$F$79,RAB!$C$14:$C$79,C825)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SUMIFS(RAB!$F$14:$F$79,RAB!$C$14:$C$79,C826)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SUMIFS(RAB!$F$14:$F$79,RAB!$C$14:$C$79,C827)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SUMIFS(RAB!$F$14:$F$79,RAB!$C$14:$C$79,C828)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SUMIFS(RAB!$F$14:$F$79,RAB!$C$14:$C$79,C829)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SUMIFS(RAB!$F$14:$F$79,RAB!$C$14:$C$79,C830)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SUMIFS(RAB!$F$14:$F$79,RAB!$C$14:$C$79,C831)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SUMIFS(RAB!$F$14:$F$79,RAB!$C$14:$C$79,C832)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SUMIFS(RAB!$F$14:$F$79,RAB!$C$14:$C$79,C833)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SUMIFS(RAB!$F$14:$F$79,RAB!$C$14:$C$79,C834)</f>
        <v>2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SUMIFS(RAB!$F$14:$F$79,RAB!$C$14:$C$79,C835)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SUMIFS(RAB!$F$14:$F$79,RAB!$C$14:$C$79,C836)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SUMIFS(RAB!$F$14:$F$79,RAB!$C$14:$C$79,C837)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SUMIFS(RAB!$F$14:$F$79,RAB!$C$14:$C$79,C838)</f>
        <v>35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SUMIFS(RAB!$F$14:$F$79,RAB!$C$14:$C$79,C839)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SUMIFS(RAB!$F$14:$F$79,RAB!$C$14:$C$79,C840)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SUMIFS(RAB!$F$14:$F$79,RAB!$C$14:$C$79,C841)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SUMIFS(RAB!$F$14:$F$79,RAB!$C$14:$C$79,C842)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SUMIFS(RAB!$F$14:$F$79,RAB!$C$14:$C$79,C843)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SUMIFS(RAB!$F$14:$F$79,RAB!$C$14:$C$79,C844)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SUMIFS(RAB!$F$14:$F$79,RAB!$C$14:$C$79,C845)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SUMIFS(RAB!$F$14:$F$79,RAB!$C$14:$C$79,C846)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SUMIFS(RAB!$F$14:$F$79,RAB!$C$14:$C$79,C847)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SUMIFS(RAB!$F$14:$F$79,RAB!$C$14:$C$79,C848)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SUMIFS(RAB!$F$14:$F$79,RAB!$C$14:$C$79,C849)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SUMIFS(RAB!$F$14:$F$79,RAB!$C$14:$C$79,C850)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SUMIFS(RAB!$F$14:$F$79,RAB!$C$14:$C$79,C851)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SUMIFS(RAB!$F$14:$F$79,RAB!$C$14:$C$79,C852)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SUMIFS(RAB!$F$14:$F$79,RAB!$C$14:$C$79,C853)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SUMIFS(RAB!$F$14:$F$79,RAB!$C$14:$C$79,C854)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SUMIFS(RAB!$F$14:$F$79,RAB!$C$14:$C$79,C855)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SUMIFS(RAB!$F$14:$F$79,RAB!$C$14:$C$79,C856)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SUMIFS(RAB!$F$14:$F$79,RAB!$C$14:$C$79,C857)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SUMIFS(RAB!$F$14:$F$79,RAB!$C$14:$C$79,C858)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SUMIFS(RAB!$F$14:$F$79,RAB!$C$14:$C$79,C859)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SUMIFS(RAB!$F$14:$F$79,RAB!$C$14:$C$79,C860)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SUMIFS(RAB!$F$14:$F$79,RAB!$C$14:$C$79,C861)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SUMIFS(RAB!$F$14:$F$79,RAB!$C$14:$C$79,C862)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SUMIFS(RAB!$F$14:$F$79,RAB!$C$14:$C$79,C863)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SUMIFS(RAB!$F$14:$F$79,RAB!$C$14:$C$79,C864)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SUMIFS(RAB!$F$14:$F$79,RAB!$C$14:$C$79,C865)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SUMIFS(RAB!$F$14:$F$79,RAB!$C$14:$C$79,C866)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SUMIFS(RAB!$F$14:$F$79,RAB!$C$14:$C$79,C867)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SUMIFS(RAB!$F$14:$F$79,RAB!$C$14:$C$79,C868)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SUMIFS(RAB!$F$14:$F$79,RAB!$C$14:$C$79,C869)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SUMIFS(RAB!$F$14:$F$79,RAB!$C$14:$C$79,C870)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SUMIFS(RAB!$F$14:$F$79,RAB!$C$14:$C$79,C871)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SUMIFS(RAB!$F$14:$F$79,RAB!$C$14:$C$79,C872)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SUMIFS(RAB!$F$14:$F$79,RAB!$C$14:$C$79,C873)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SUMIFS(RAB!$F$14:$F$79,RAB!$C$14:$C$79,C874)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SUMIFS(RAB!$F$14:$F$79,RAB!$C$14:$C$79,C875)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SUMIFS(RAB!$F$14:$F$79,RAB!$C$14:$C$79,C876)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SUMIFS(RAB!$F$14:$F$79,RAB!$C$14:$C$79,C877)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SUMIFS(RAB!$F$14:$F$79,RAB!$C$14:$C$79,C878)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SUMIFS(RAB!$F$14:$F$79,RAB!$C$14:$C$79,C879)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SUMIFS(RAB!$F$14:$F$79,RAB!$C$14:$C$79,C880)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SUMIFS(RAB!$F$14:$F$79,RAB!$C$14:$C$79,C881)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SUMIFS(RAB!$F$14:$F$79,RAB!$C$14:$C$79,C882)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SUMIFS(RAB!$F$14:$F$79,RAB!$C$14:$C$79,C883)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SUMIFS(RAB!$F$14:$F$79,RAB!$C$14:$C$79,C884)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SUMIFS(RAB!$F$14:$F$79,RAB!$C$14:$C$79,C885)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SUMIFS(RAB!$F$14:$F$79,RAB!$C$14:$C$79,C886)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SUMIFS(RAB!$F$14:$F$79,RAB!$C$14:$C$79,C887)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SUMIFS(RAB!$F$14:$F$79,RAB!$C$14:$C$79,C888)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SUMIFS(RAB!$F$14:$F$79,RAB!$C$14:$C$79,C889)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SUMIFS(RAB!$F$14:$F$79,RAB!$C$14:$C$79,C890)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SUMIFS(RAB!$F$14:$F$79,RAB!$C$14:$C$79,C891)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SUMIFS(RAB!$F$14:$F$79,RAB!$C$14:$C$79,C892)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SUMIFS(RAB!$F$14:$F$79,RAB!$C$14:$C$79,C893)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SUMIFS(RAB!$F$14:$F$79,RAB!$C$14:$C$79,C894)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SUMIFS(RAB!$F$14:$F$79,RAB!$C$14:$C$79,C895)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SUMIFS(RAB!$F$14:$F$79,RAB!$C$14:$C$79,C896)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SUMIFS(RAB!$F$14:$F$79,RAB!$C$14:$C$79,C897)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SUMIFS(RAB!$F$14:$F$79,RAB!$C$14:$C$79,C898)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SUMIFS(RAB!$F$14:$F$79,RAB!$C$14:$C$79,C899)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SUMIFS(RAB!$F$14:$F$79,RAB!$C$14:$C$79,C900)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SUMIFS(RAB!$F$14:$F$79,RAB!$C$14:$C$79,C901)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SUMIFS(RAB!$F$14:$F$79,RAB!$C$14:$C$79,C902)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SUMIFS(RAB!$F$14:$F$79,RAB!$C$14:$C$79,C903)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SUMIFS(RAB!$F$14:$F$79,RAB!$C$14:$C$79,C904)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SUMIFS(RAB!$F$14:$F$79,RAB!$C$14:$C$79,C905)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SUMIFS(RAB!$F$14:$F$79,RAB!$C$14:$C$79,C906)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SUMIFS(RAB!$F$14:$F$79,RAB!$C$14:$C$79,C907)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SUMIFS(RAB!$F$14:$F$79,RAB!$C$14:$C$79,C908)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SUMIFS(RAB!$F$14:$F$79,RAB!$C$14:$C$79,C909)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SUMIFS(RAB!$F$14:$F$79,RAB!$C$14:$C$79,C910)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SUMIFS(RAB!$F$14:$F$79,RAB!$C$14:$C$79,C911)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SUMIFS(RAB!$F$14:$F$79,RAB!$C$14:$C$79,C912)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SUMIFS(RAB!$F$14:$F$79,RAB!$C$14:$C$79,C913)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SUMIFS(RAB!$F$14:$F$79,RAB!$C$14:$C$79,C914)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SUMIFS(RAB!$F$14:$F$79,RAB!$C$14:$C$79,C915)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SUMIFS(RAB!$F$14:$F$79,RAB!$C$14:$C$79,C916)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SUMIFS(RAB!$F$14:$F$79,RAB!$C$14:$C$79,C917)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SUMIFS(RAB!$F$14:$F$79,RAB!$C$14:$C$79,C918)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SUMIFS(RAB!$F$14:$F$79,RAB!$C$14:$C$79,C919)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SUMIFS(RAB!$F$14:$F$79,RAB!$C$14:$C$79,C920)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SUMIFS(RAB!$F$14:$F$79,RAB!$C$14:$C$79,C921)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SUMIFS(RAB!$F$14:$F$79,RAB!$C$14:$C$79,C922)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SUMIFS(RAB!$F$14:$F$79,RAB!$C$14:$C$79,C923)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SUMIFS(RAB!$F$14:$F$79,RAB!$C$14:$C$79,C924)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SUMIFS(RAB!$F$14:$F$79,RAB!$C$14:$C$79,C925)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SUMIFS(RAB!$F$14:$F$79,RAB!$C$14:$C$79,C926)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SUMIFS(RAB!$F$14:$F$79,RAB!$C$14:$C$79,C927)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SUMIFS(RAB!$F$14:$F$79,RAB!$C$14:$C$79,C928)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SUMIFS(RAB!$F$14:$F$79,RAB!$C$14:$C$79,C929)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SUMIFS(RAB!$F$14:$F$79,RAB!$C$14:$C$79,C930)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SUMIFS(RAB!$F$14:$F$79,RAB!$C$14:$C$79,C931)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SUMIFS(RAB!$F$14:$F$79,RAB!$C$14:$C$79,C932)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SUMIFS(RAB!$F$14:$F$79,RAB!$C$14:$C$79,C933)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SUMIFS(RAB!$F$14:$F$79,RAB!$C$14:$C$79,C934)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SUMIFS(RAB!$F$14:$F$79,RAB!$C$14:$C$79,C935)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SUMIFS(RAB!$F$14:$F$79,RAB!$C$14:$C$79,C936)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SUMIFS(RAB!$F$14:$F$79,RAB!$C$14:$C$79,C937)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SUMIFS(RAB!$F$14:$F$79,RAB!$C$14:$C$79,C938)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SUMIFS(RAB!$F$14:$F$79,RAB!$C$14:$C$79,C939)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SUMIFS(RAB!$F$14:$F$79,RAB!$C$14:$C$79,C940)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SUMIFS(RAB!$F$14:$F$79,RAB!$C$14:$C$79,C941)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SUMIFS(RAB!$F$14:$F$79,RAB!$C$14:$C$79,C942)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SUMIFS(RAB!$F$14:$F$79,RAB!$C$14:$C$79,C943)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SUMIFS(RAB!$F$14:$F$79,RAB!$C$14:$C$79,C944)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SUMIFS(RAB!$F$14:$F$79,RAB!$C$14:$C$79,C945)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SUMIFS(RAB!$F$14:$F$79,RAB!$C$14:$C$79,C946)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SUMIFS(RAB!$F$14:$F$79,RAB!$C$14:$C$79,C947)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SUMIFS(RAB!$F$14:$F$79,RAB!$C$14:$C$79,C948)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SUMIFS(RAB!$F$14:$F$79,RAB!$C$14:$C$79,C949)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SUMIFS(RAB!$F$14:$F$79,RAB!$C$14:$C$79,C950)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SUMIFS(RAB!$F$14:$F$79,RAB!$C$14:$C$79,C951)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SUMIFS(RAB!$F$14:$F$79,RAB!$C$14:$C$79,C952)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SUMIFS(RAB!$F$14:$F$79,RAB!$C$14:$C$79,C953)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SUMIFS(RAB!$F$14:$F$79,RAB!$C$14:$C$79,C954)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SUMIFS(RAB!$F$14:$F$79,RAB!$C$14:$C$79,C955)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SUMIFS(RAB!$F$14:$F$79,RAB!$C$14:$C$79,C956)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SUMIFS(RAB!$F$14:$F$79,RAB!$C$14:$C$79,C957)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SUMIFS(RAB!$F$14:$F$79,RAB!$C$14:$C$79,C958)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SUMIFS(RAB!$F$14:$F$79,RAB!$C$14:$C$79,C959)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SUMIFS(RAB!$F$14:$F$79,RAB!$C$14:$C$79,C960)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SUMIFS(RAB!$F$14:$F$79,RAB!$C$14:$C$79,C961)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SUMIFS(RAB!$F$14:$F$79,RAB!$C$14:$C$79,C962)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SUMIFS(RAB!$F$14:$F$79,RAB!$C$14:$C$79,C963)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SUMIFS(RAB!$F$14:$F$79,RAB!$C$14:$C$79,C964)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SUMIFS(RAB!$F$14:$F$79,RAB!$C$14:$C$79,C965)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SUMIFS(RAB!$F$14:$F$79,RAB!$C$14:$C$79,C966)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SUMIFS(RAB!$F$14:$F$79,RAB!$C$14:$C$79,C967)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SUMIFS(RAB!$F$14:$F$79,RAB!$C$14:$C$79,C968)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SUMIFS(RAB!$F$14:$F$79,RAB!$C$14:$C$79,C969)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SUMIFS(RAB!$F$14:$F$79,RAB!$C$14:$C$79,C970)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SUMIFS(RAB!$F$14:$F$79,RAB!$C$14:$C$79,C971)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SUMIFS(RAB!$F$14:$F$79,RAB!$C$14:$C$79,C972)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SUMIFS(RAB!$F$14:$F$79,RAB!$C$14:$C$79,C973)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SUMIFS(RAB!$F$14:$F$79,RAB!$C$14:$C$79,C974)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SUMIFS(RAB!$F$14:$F$79,RAB!$C$14:$C$79,C975)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SUMIFS(RAB!$F$14:$F$79,RAB!$C$14:$C$79,C976)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SUMIFS(RAB!$F$14:$F$79,RAB!$C$14:$C$79,C977)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SUMIFS(RAB!$F$14:$F$79,RAB!$C$14:$C$79,C978)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SUMIFS(RAB!$F$14:$F$79,RAB!$C$14:$C$79,C979)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SUMIFS(RAB!$F$14:$F$79,RAB!$C$14:$C$79,C980)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SUMIFS(RAB!$F$14:$F$79,RAB!$C$14:$C$79,C981)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SUMIFS(RAB!$F$14:$F$79,RAB!$C$14:$C$79,C982)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SUMIFS(RAB!$F$14:$F$79,RAB!$C$14:$C$79,C983)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SUMIFS(RAB!$F$14:$F$79,RAB!$C$14:$C$79,C984)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SUMIFS(RAB!$F$14:$F$79,RAB!$C$14:$C$79,C985)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SUMIFS(RAB!$F$14:$F$79,RAB!$C$14:$C$79,C986)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SUMIFS(RAB!$F$14:$F$79,RAB!$C$14:$C$79,C987)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SUMIFS(RAB!$F$14:$F$79,RAB!$C$14:$C$79,C988)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SUMIFS(RAB!$F$14:$F$79,RAB!$C$14:$C$79,C989)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SUMIFS(RAB!$F$14:$F$79,RAB!$C$14:$C$79,C990)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SUMIFS(RAB!$F$14:$F$79,RAB!$C$14:$C$79,C991)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SUMIFS(RAB!$F$14:$F$79,RAB!$C$14:$C$79,C992)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SUMIFS(RAB!$F$14:$F$79,RAB!$C$14:$C$79,C993)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SUMIFS(RAB!$F$14:$F$79,RAB!$C$14:$C$79,C994)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SUMIFS(RAB!$F$14:$F$79,RAB!$C$14:$C$79,C995)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SUMIFS(RAB!$F$14:$F$79,RAB!$C$14:$C$79,C996)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SUMIFS(RAB!$F$14:$F$79,RAB!$C$14:$C$79,C997)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SUMIFS(RAB!$F$14:$F$79,RAB!$C$14:$C$79,C998)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SUMIFS(RAB!$F$14:$F$79,RAB!$C$14:$C$79,C999)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SUMIFS(RAB!$F$14:$F$79,RAB!$C$14:$C$79,C1000)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SUMIFS(RAB!$F$14:$F$79,RAB!$C$14:$C$79,C1001)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SUMIFS(RAB!$F$14:$F$79,RAB!$C$14:$C$79,C1002)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SUMIFS(RAB!$F$14:$F$79,RAB!$C$14:$C$79,C1003)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SUMIFS(RAB!$F$14:$F$79,RAB!$C$14:$C$79,C1004)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SUMIFS(RAB!$F$14:$F$79,RAB!$C$14:$C$79,C1005)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SUMIFS(RAB!$F$14:$F$79,RAB!$C$14:$C$79,C1006)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SUMIFS(RAB!$F$14:$F$79,RAB!$C$14:$C$79,C1007)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SUMIFS(RAB!$F$14:$F$79,RAB!$C$14:$C$79,C1008)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SUMIFS(RAB!$F$14:$F$79,RAB!$C$14:$C$79,C1009)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SUMIFS(RAB!$F$14:$F$79,RAB!$C$14:$C$79,C1010)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SUMIFS(RAB!$F$14:$F$79,RAB!$C$14:$C$79,C1011)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SUMIFS(RAB!$F$14:$F$79,RAB!$C$14:$C$79,C1012)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SUMIFS(RAB!$F$14:$F$79,RAB!$C$14:$C$79,C1013)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SUMIFS(RAB!$F$14:$F$79,RAB!$C$14:$C$79,C1014)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SUMIFS(RAB!$F$14:$F$79,RAB!$C$14:$C$79,C1015)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SUMIFS(RAB!$F$14:$F$79,RAB!$C$14:$C$79,C1016)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SUMIFS(RAB!$F$14:$F$79,RAB!$C$14:$C$79,C1017)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SUMIFS(RAB!$F$14:$F$79,RAB!$C$14:$C$79,C1018)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SUMIFS(RAB!$F$14:$F$79,RAB!$C$14:$C$79,C1019)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SUMIFS(RAB!$F$14:$F$79,RAB!$C$14:$C$79,C1020)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SUMIFS(RAB!$F$14:$F$79,RAB!$C$14:$C$79,C1021)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SUMIFS(RAB!$F$14:$F$79,RAB!$C$14:$C$79,C1022)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SUMIFS(RAB!$F$14:$F$79,RAB!$C$14:$C$79,C1023)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SUMIFS(RAB!$F$14:$F$79,RAB!$C$14:$C$79,C1024)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SUMIFS(RAB!$F$14:$F$79,RAB!$C$14:$C$79,C1025)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SUMIFS(RAB!$F$14:$F$79,RAB!$C$14:$C$79,C1026)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SUMIFS(RAB!$F$14:$F$79,RAB!$C$14:$C$79,C1027)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SUMIFS(RAB!$F$14:$F$79,RAB!$C$14:$C$79,C1028)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SUMIFS(RAB!$F$14:$F$79,RAB!$C$14:$C$79,C1029)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SUMIFS(RAB!$F$14:$F$79,RAB!$C$14:$C$79,C1030)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SUMIFS(RAB!$F$14:$F$79,RAB!$C$14:$C$79,C1031)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SUMIFS(RAB!$F$14:$F$79,RAB!$C$14:$C$79,C1032)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SUMIFS(RAB!$F$14:$F$79,RAB!$C$14:$C$79,C1033)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SUMIFS(RAB!$F$14:$F$79,RAB!$C$14:$C$79,C1034)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SUMIFS(RAB!$F$14:$F$79,RAB!$C$14:$C$79,C1035)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SUMIFS(RAB!$F$14:$F$79,RAB!$C$14:$C$79,C1036)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SUMIFS(RAB!$F$14:$F$79,RAB!$C$14:$C$79,C1037)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SUMIFS(RAB!$F$14:$F$79,RAB!$C$14:$C$79,C1038)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SUMIFS(RAB!$F$14:$F$79,RAB!$C$14:$C$79,C1039)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SUMIFS(RAB!$F$14:$F$79,RAB!$C$14:$C$79,C1040)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SUMIFS(RAB!$F$14:$F$79,RAB!$C$14:$C$79,C1041)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SUMIFS(RAB!$F$14:$F$79,RAB!$C$14:$C$79,C1042)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SUMIFS(RAB!$F$14:$F$79,RAB!$C$14:$C$79,C1043)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SUMIFS(RAB!$F$14:$F$79,RAB!$C$14:$C$79,C1044)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SUMIFS(RAB!$F$14:$F$79,RAB!$C$14:$C$79,C1045)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SUMIFS(RAB!$F$14:$F$79,RAB!$C$14:$C$79,C1046)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SUMIFS(RAB!$F$14:$F$79,RAB!$C$14:$C$79,C1047)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SUMIFS(RAB!$F$14:$F$79,RAB!$C$14:$C$79,C1048)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SUMIFS(RAB!$F$14:$F$79,RAB!$C$14:$C$79,C1049)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SUMIFS(RAB!$F$14:$F$79,RAB!$C$14:$C$79,C1050)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SUMIFS(RAB!$F$14:$F$79,RAB!$C$14:$C$79,C1051)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SUMIFS(RAB!$F$14:$F$79,RAB!$C$14:$C$79,C1052)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SUMIFS(RAB!$F$14:$F$79,RAB!$C$14:$C$79,C1053)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SUMIFS(RAB!$F$14:$F$79,RAB!$C$14:$C$79,C1054)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SUMIFS(RAB!$F$14:$F$79,RAB!$C$14:$C$79,C1055)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SUMIFS(RAB!$F$14:$F$79,RAB!$C$14:$C$79,C1056)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SUMIFS(RAB!$F$14:$F$79,RAB!$C$14:$C$79,C1057)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SUMIFS(RAB!$F$14:$F$79,RAB!$C$14:$C$79,C1058)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SUMIFS(RAB!$F$14:$F$79,RAB!$C$14:$C$79,C1059)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SUMIFS(RAB!$F$14:$F$79,RAB!$C$14:$C$79,C1060)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SUMIFS(RAB!$F$14:$F$79,RAB!$C$14:$C$79,C1061)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SUMIFS(RAB!$F$14:$F$79,RAB!$C$14:$C$79,C1062)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SUMIFS(RAB!$F$14:$F$79,RAB!$C$14:$C$79,C1063)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SUMIFS(RAB!$F$14:$F$79,RAB!$C$14:$C$79,C1064)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SUMIFS(RAB!$F$14:$F$79,RAB!$C$14:$C$79,C1065)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SUMIFS(RAB!$F$14:$F$79,RAB!$C$14:$C$79,C1066)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SUMIFS(RAB!$F$14:$F$79,RAB!$C$14:$C$79,C1067)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SUMIFS(RAB!$F$14:$F$79,RAB!$C$14:$C$79,C1068)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SUMIFS(RAB!$F$14:$F$79,RAB!$C$14:$C$79,C1069)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SUMIFS(RAB!$F$14:$F$79,RAB!$C$14:$C$79,C1070)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SUMIFS(RAB!$F$14:$F$79,RAB!$C$14:$C$79,C1071)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SUMIFS(RAB!$F$14:$F$79,RAB!$C$14:$C$79,C1072)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SUMIFS(RAB!$F$14:$F$79,RAB!$C$14:$C$79,C1073)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SUMIFS(RAB!$F$14:$F$79,RAB!$C$14:$C$79,C1074)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SUMIFS(RAB!$F$14:$F$79,RAB!$C$14:$C$79,C1075)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SUMIFS(RAB!$F$14:$F$79,RAB!$C$14:$C$79,C1076)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SUMIFS(RAB!$F$14:$F$79,RAB!$C$14:$C$79,C1077)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SUMIFS(RAB!$F$14:$F$79,RAB!$C$14:$C$79,C1078)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SUMIFS(RAB!$F$14:$F$79,RAB!$C$14:$C$79,C1079)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SUMIFS(RAB!$F$14:$F$79,RAB!$C$14:$C$79,C1080)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SUMIFS(RAB!$F$14:$F$79,RAB!$C$14:$C$79,C1081)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SUMIFS(RAB!$F$14:$F$79,RAB!$C$14:$C$79,C1082)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SUMIFS(RAB!$F$14:$F$79,RAB!$C$14:$C$79,C1083)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SUMIFS(RAB!$F$14:$F$79,RAB!$C$14:$C$79,C1084)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SUMIFS(RAB!$F$14:$F$79,RAB!$C$14:$C$79,C1085)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SUMIFS(RAB!$F$14:$F$79,RAB!$C$14:$C$79,C1086)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SUMIFS(RAB!$F$14:$F$79,RAB!$C$14:$C$79,C1087)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SUMIFS(RAB!$F$14:$F$79,RAB!$C$14:$C$79,C1088)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SUMIFS(RAB!$F$14:$F$79,RAB!$C$14:$C$79,C1089)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SUMIFS(RAB!$F$14:$F$79,RAB!$C$14:$C$79,C1090)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SUMIFS(RAB!$F$14:$F$79,RAB!$C$14:$C$79,C1091)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SUMIFS(RAB!$F$14:$F$79,RAB!$C$14:$C$79,C1092)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SUMIFS(RAB!$F$14:$F$79,RAB!$C$14:$C$79,C1093)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SUMIFS(RAB!$F$14:$F$79,RAB!$C$14:$C$79,C1094)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SUMIFS(RAB!$F$14:$F$79,RAB!$C$14:$C$79,C1095)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SUMIFS(RAB!$F$14:$F$79,RAB!$C$14:$C$79,C1096)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SUMIFS(RAB!$F$14:$F$79,RAB!$C$14:$C$79,C1097)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SUMIFS(RAB!$F$14:$F$79,RAB!$C$14:$C$79,C1098)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SUMIFS(RAB!$F$14:$F$79,RAB!$C$14:$C$79,C1099)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SUMIFS(RAB!$F$14:$F$79,RAB!$C$14:$C$79,C1100)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SUMIFS(RAB!$F$14:$F$79,RAB!$C$14:$C$79,C1101)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SUMIFS(RAB!$F$14:$F$79,RAB!$C$14:$C$79,C1102)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SUMIFS(RAB!$F$14:$F$79,RAB!$C$14:$C$79,C1103)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SUMIFS(RAB!$F$14:$F$79,RAB!$C$14:$C$79,C1104)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SUMIFS(RAB!$F$14:$F$79,RAB!$C$14:$C$79,C1105)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SUMIFS(RAB!$F$14:$F$79,RAB!$C$14:$C$79,C1106)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SUMIFS(RAB!$F$14:$F$79,RAB!$C$14:$C$79,C1107)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SUMIFS(RAB!$F$14:$F$79,RAB!$C$14:$C$79,C1108)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SUMIFS(RAB!$F$14:$F$79,RAB!$C$14:$C$79,C1109)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SUMIFS(RAB!$F$14:$F$79,RAB!$C$14:$C$79,C1110)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SUMIFS(RAB!$F$14:$F$79,RAB!$C$14:$C$79,C1111)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SUMIFS(RAB!$F$14:$F$79,RAB!$C$14:$C$79,C1112)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SUMIFS(RAB!$F$14:$F$79,RAB!$C$14:$C$79,C1113)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SUMIFS(RAB!$F$14:$F$79,RAB!$C$14:$C$79,C1114)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SUMIFS(RAB!$F$14:$F$79,RAB!$C$14:$C$79,C1115)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SUMIFS(RAB!$F$14:$F$79,RAB!$C$14:$C$79,C1116)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SUMIFS(RAB!$F$14:$F$79,RAB!$C$14:$C$79,C1117)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SUMIFS(RAB!$F$14:$F$79,RAB!$C$14:$C$79,C1118)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SUMIFS(RAB!$F$14:$F$79,RAB!$C$14:$C$79,C1119)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SUMIFS(RAB!$F$14:$F$79,RAB!$C$14:$C$79,C1120)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SUMIFS(RAB!$F$14:$F$79,RAB!$C$14:$C$79,C1121)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SUMIFS(RAB!$F$14:$F$79,RAB!$C$14:$C$79,C1122)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SUMIFS(RAB!$F$14:$F$79,RAB!$C$14:$C$79,C1123)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SUMIFS(RAB!$F$14:$F$79,RAB!$C$14:$C$79,C1124)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SUMIFS(RAB!$F$14:$F$79,RAB!$C$14:$C$79,C1125)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SUMIFS(RAB!$F$14:$F$79,RAB!$C$14:$C$79,C1126)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SUMIFS(RAB!$F$14:$F$79,RAB!$C$14:$C$79,C1127)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SUMIFS(RAB!$F$14:$F$79,RAB!$C$14:$C$79,C1128)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SUMIFS(RAB!$F$14:$F$79,RAB!$C$14:$C$79,C1129)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SUMIFS(RAB!$F$14:$F$79,RAB!$C$14:$C$79,C1130)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SUMIFS(RAB!$F$14:$F$79,RAB!$C$14:$C$79,C1131)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SUMIFS(RAB!$F$14:$F$79,RAB!$C$14:$C$79,C1132)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SUMIFS(RAB!$F$14:$F$79,RAB!$C$14:$C$79,C1133)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SUMIFS(RAB!$F$14:$F$79,RAB!$C$14:$C$79,C1134)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SUMIFS(RAB!$F$14:$F$79,RAB!$C$14:$C$79,C1135)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SUMIFS(RAB!$F$14:$F$79,RAB!$C$14:$C$79,C1136)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SUMIFS(RAB!$F$14:$F$79,RAB!$C$14:$C$79,C1137)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SUMIFS(RAB!$F$14:$F$79,RAB!$C$14:$C$79,C1138)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SUMIFS(RAB!$F$14:$F$79,RAB!$C$14:$C$79,C1139)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SUMIFS(RAB!$F$14:$F$79,RAB!$C$14:$C$79,C1140)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SUMIFS(RAB!$F$14:$F$79,RAB!$C$14:$C$79,C1141)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SUMIFS(RAB!$F$14:$F$79,RAB!$C$14:$C$79,C1142)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SUMIFS(RAB!$F$14:$F$79,RAB!$C$14:$C$79,C1143)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SUMIFS(RAB!$F$14:$F$79,RAB!$C$14:$C$79,C1144)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SUMIFS(RAB!$F$14:$F$79,RAB!$C$14:$C$79,C1145)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SUMIFS(RAB!$F$14:$F$79,RAB!$C$14:$C$79,C1146)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SUMIFS(RAB!$F$14:$F$79,RAB!$C$14:$C$79,C1147)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SUMIFS(RAB!$F$14:$F$79,RAB!$C$14:$C$79,C1148)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SUMIFS(RAB!$F$14:$F$79,RAB!$C$14:$C$79,C1149)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SUMIFS(RAB!$F$14:$F$79,RAB!$C$14:$C$79,C1150)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SUMIFS(RAB!$F$14:$F$79,RAB!$C$14:$C$79,C1151)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SUMIFS(RAB!$F$14:$F$79,RAB!$C$14:$C$79,C1152)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SUMIFS(RAB!$F$14:$F$79,RAB!$C$14:$C$79,C1153)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SUMIFS(RAB!$F$14:$F$79,RAB!$C$14:$C$79,C1154)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SUMIFS(RAB!$F$14:$F$79,RAB!$C$14:$C$79,C1155)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SUMIFS(RAB!$F$14:$F$79,RAB!$C$14:$C$79,C1156)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SUMIFS(RAB!$F$14:$F$79,RAB!$C$14:$C$79,C1157)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SUMIFS(RAB!$F$14:$F$79,RAB!$C$14:$C$79,C1158)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SUMIFS(RAB!$F$14:$F$79,RAB!$C$14:$C$79,C1159)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SUMIFS(RAB!$F$14:$F$79,RAB!$C$14:$C$79,C1160)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SUMIFS(RAB!$F$14:$F$79,RAB!$C$14:$C$79,C1161)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SUMIFS(RAB!$F$14:$F$79,RAB!$C$14:$C$79,C1162)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SUMIFS(RAB!$F$14:$F$79,RAB!$C$14:$C$79,C1163)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SUMIFS(RAB!$F$14:$F$79,RAB!$C$14:$C$79,C1164)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SUMIFS(RAB!$F$14:$F$79,RAB!$C$14:$C$79,C1165)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SUMIFS(RAB!$F$14:$F$79,RAB!$C$14:$C$79,C1166)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SUMIFS(RAB!$F$14:$F$79,RAB!$C$14:$C$79,C1167)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SUMIFS(RAB!$F$14:$F$79,RAB!$C$14:$C$79,C1168)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SUMIFS(RAB!$F$14:$F$79,RAB!$C$14:$C$79,C1169)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SUMIFS(RAB!$F$14:$F$79,RAB!$C$14:$C$79,C1170)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SUMIFS(RAB!$F$14:$F$79,RAB!$C$14:$C$79,C1171)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SUMIFS(RAB!$F$14:$F$79,RAB!$C$14:$C$79,C1172)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SUMIFS(RAB!$F$14:$F$79,RAB!$C$14:$C$79,C1173)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SUMIFS(RAB!$F$14:$F$79,RAB!$C$14:$C$79,C1174)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SUMIFS(RAB!$F$14:$F$79,RAB!$C$14:$C$79,C1175)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SUMIFS(RAB!$F$14:$F$79,RAB!$C$14:$C$79,C1176)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SUMIFS(RAB!$F$14:$F$79,RAB!$C$14:$C$79,C1177)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SUMIFS(RAB!$F$14:$F$79,RAB!$C$14:$C$79,C1178)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SUMIFS(RAB!$F$14:$F$79,RAB!$C$14:$C$79,C1179)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SUMIFS(RAB!$F$14:$F$79,RAB!$C$14:$C$79,C1180)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SUMIFS(RAB!$F$14:$F$79,RAB!$C$14:$C$79,C1181)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SUMIFS(RAB!$F$14:$F$79,RAB!$C$14:$C$79,C1182)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SUMIFS(RAB!$F$14:$F$79,RAB!$C$14:$C$79,C1183)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SUMIFS(RAB!$F$14:$F$79,RAB!$C$14:$C$79,C1184)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SUMIFS(RAB!$F$14:$F$79,RAB!$C$14:$C$79,C1185)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SUMIFS(RAB!$F$14:$F$79,RAB!$C$14:$C$79,C1186)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SUMIFS(RAB!$F$14:$F$79,RAB!$C$14:$C$79,C1187)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SUMIFS(RAB!$F$14:$F$79,RAB!$C$14:$C$79,C1188)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SUMIFS(RAB!$F$14:$F$79,RAB!$C$14:$C$79,C1189)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SUMIFS(RAB!$F$14:$F$79,RAB!$C$14:$C$79,C1190)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SUMIFS(RAB!$F$14:$F$79,RAB!$C$14:$C$79,C1191)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SUMIFS(RAB!$F$14:$F$79,RAB!$C$14:$C$79,C1192)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SUMIFS(RAB!$F$14:$F$79,RAB!$C$14:$C$79,C1193)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SUMIFS(RAB!$F$14:$F$79,RAB!$C$14:$C$79,C1194)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SUMIFS(RAB!$F$14:$F$79,RAB!$C$14:$C$79,C1195)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SUMIFS(RAB!$F$14:$F$79,RAB!$C$14:$C$79,C1196)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SUMIFS(RAB!$F$14:$F$79,RAB!$C$14:$C$79,C1197)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SUMIFS(RAB!$F$14:$F$79,RAB!$C$14:$C$79,C1198)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SUMIFS(RAB!$F$14:$F$79,RAB!$C$14:$C$79,C1199)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SUMIFS(RAB!$F$14:$F$79,RAB!$C$14:$C$79,C1200)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SUMIFS(RAB!$F$14:$F$79,RAB!$C$14:$C$79,C1201)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SUMIFS(RAB!$F$14:$F$79,RAB!$C$14:$C$79,C1202)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SUMIFS(RAB!$F$14:$F$79,RAB!$C$14:$C$79,C1203)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SUMIFS(RAB!$F$14:$F$79,RAB!$C$14:$C$79,C1204)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SUMIFS(RAB!$F$14:$F$79,RAB!$C$14:$C$79,C1205)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SUMIFS(RAB!$F$14:$F$79,RAB!$C$14:$C$79,C1206)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SUMIFS(RAB!$F$14:$F$79,RAB!$C$14:$C$79,C1207)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SUMIFS(RAB!$F$14:$F$79,RAB!$C$14:$C$79,C1208)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SUMIFS(RAB!$F$14:$F$79,RAB!$C$14:$C$79,C1209)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SUMIFS(RAB!$F$14:$F$79,RAB!$C$14:$C$79,C1210)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SUMIFS(RAB!$F$14:$F$79,RAB!$C$14:$C$79,C1211)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SUMIFS(RAB!$F$14:$F$79,RAB!$C$14:$C$79,C1212)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SUMIFS(RAB!$F$14:$F$79,RAB!$C$14:$C$79,C1213)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SUMIFS(RAB!$F$14:$F$79,RAB!$C$14:$C$79,C1214)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SUMIFS(RAB!$F$14:$F$79,RAB!$C$14:$C$79,C1215)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SUMIFS(RAB!$F$14:$F$79,RAB!$C$14:$C$79,C1216)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SUMIFS(RAB!$F$14:$F$79,RAB!$C$14:$C$79,C1217)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SUMIFS(RAB!$F$14:$F$79,RAB!$C$14:$C$79,C1218)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SUMIFS(RAB!$F$14:$F$79,RAB!$C$14:$C$79,C1219)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SUMIFS(RAB!$F$14:$F$79,RAB!$C$14:$C$79,C1220)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SUMIFS(RAB!$F$14:$F$79,RAB!$C$14:$C$79,C1221)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SUMIFS(RAB!$F$14:$F$79,RAB!$C$14:$C$79,C1222)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SUMIFS(RAB!$F$14:$F$79,RAB!$C$14:$C$79,C1223)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SUMIFS(RAB!$F$14:$F$79,RAB!$C$14:$C$79,C1224)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SUMIFS(RAB!$F$14:$F$79,RAB!$C$14:$C$79,C1225)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SUMIFS(RAB!$F$14:$F$79,RAB!$C$14:$C$79,C1226)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SUMIFS(RAB!$F$14:$F$79,RAB!$C$14:$C$79,C1227)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SUMIFS(RAB!$F$14:$F$79,RAB!$C$14:$C$79,C1228)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SUMIFS(RAB!$F$14:$F$79,RAB!$C$14:$C$79,C1229)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SUMIFS(RAB!$F$14:$F$79,RAB!$C$14:$C$79,C1230)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SUMIFS(RAB!$F$14:$F$79,RAB!$C$14:$C$79,C1231)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SUMIFS(RAB!$F$14:$F$79,RAB!$C$14:$C$79,C1232)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SUMIFS(RAB!$F$14:$F$79,RAB!$C$14:$C$79,C1233)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SUMIFS(RAB!$F$14:$F$79,RAB!$C$14:$C$79,C1234)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SUMIFS(RAB!$F$14:$F$79,RAB!$C$14:$C$79,C1235)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SUMIFS(RAB!$F$14:$F$79,RAB!$C$14:$C$79,C1236)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SUMIFS(RAB!$F$14:$F$79,RAB!$C$14:$C$79,C1237)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SUMIFS(RAB!$F$14:$F$79,RAB!$C$14:$C$79,C1238)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SUMIFS(RAB!$F$14:$F$79,RAB!$C$14:$C$79,C1239)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SUMIFS(RAB!$F$14:$F$79,RAB!$C$14:$C$79,C1240)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SUMIFS(RAB!$F$14:$F$79,RAB!$C$14:$C$79,C1241)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SUMIFS(RAB!$F$14:$F$79,RAB!$C$14:$C$79,C1242)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SUMIFS(RAB!$F$14:$F$79,RAB!$C$14:$C$79,C1243)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SUMIFS(RAB!$F$14:$F$79,RAB!$C$14:$C$79,C1244)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SUMIFS(RAB!$F$14:$F$79,RAB!$C$14:$C$79,C1245)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SUMIFS(RAB!$F$14:$F$79,RAB!$C$14:$C$79,C1246)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SUMIFS(RAB!$F$14:$F$79,RAB!$C$14:$C$79,C1247)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SUMIFS(RAB!$F$14:$F$79,RAB!$C$14:$C$79,C1248)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SUMIFS(RAB!$F$14:$F$79,RAB!$C$14:$C$79,C1249)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SUMIFS(RAB!$F$14:$F$79,RAB!$C$14:$C$79,C1250)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SUMIFS(RAB!$F$14:$F$79,RAB!$C$14:$C$79,C1251)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SUMIFS(RAB!$F$14:$F$79,RAB!$C$14:$C$79,C1252)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SUMIFS(RAB!$F$14:$F$79,RAB!$C$14:$C$79,C1253)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SUMIFS(RAB!$F$14:$F$79,RAB!$C$14:$C$79,C1254)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SUMIFS(RAB!$F$14:$F$79,RAB!$C$14:$C$79,C1255)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SUMIFS(RAB!$F$14:$F$79,RAB!$C$14:$C$79,C1256)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SUMIFS(RAB!$F$14:$F$79,RAB!$C$14:$C$79,C1257)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SUMIFS(RAB!$F$14:$F$79,RAB!$C$14:$C$79,C1258)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SUMIFS(RAB!$F$14:$F$79,RAB!$C$14:$C$79,C1259)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SUMIFS(RAB!$F$14:$F$79,RAB!$C$14:$C$79,C1260)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SUMIFS(RAB!$F$14:$F$79,RAB!$C$14:$C$79,C1261)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SUMIFS(RAB!$F$14:$F$79,RAB!$C$14:$C$79,C1262)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SUMIFS(RAB!$F$14:$F$79,RAB!$C$14:$C$79,C1263)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SUMIFS(RAB!$F$14:$F$79,RAB!$C$14:$C$79,C1264)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SUMIFS(RAB!$F$14:$F$79,RAB!$C$14:$C$79,C1265)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SUMIFS(RAB!$F$14:$F$79,RAB!$C$14:$C$79,C1266)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SUMIFS(RAB!$F$14:$F$79,RAB!$C$14:$C$79,C1267)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SUMIFS(RAB!$F$14:$F$79,RAB!$C$14:$C$79,C1268)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SUMIFS(RAB!$F$14:$F$79,RAB!$C$14:$C$79,C1269)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SUMIFS(RAB!$F$14:$F$79,RAB!$C$14:$C$79,C1270)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SUMIFS(RAB!$F$14:$F$79,RAB!$C$14:$C$79,C1271)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SUMIFS(RAB!$F$14:$F$79,RAB!$C$14:$C$79,C1272)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SUMIFS(RAB!$F$14:$F$79,RAB!$C$14:$C$79,C1273)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SUMIFS(RAB!$F$14:$F$79,RAB!$C$14:$C$79,C1274)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SUMIFS(RAB!$F$14:$F$79,RAB!$C$14:$C$79,C1275)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SUMIFS(RAB!$F$14:$F$79,RAB!$C$14:$C$79,C1276)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SUMIFS(RAB!$F$14:$F$79,RAB!$C$14:$C$79,C1277)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SUMIFS(RAB!$F$14:$F$79,RAB!$C$14:$C$79,C1278)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SUMIFS(RAB!$F$14:$F$79,RAB!$C$14:$C$79,C1279)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SUMIFS(RAB!$F$14:$F$79,RAB!$C$14:$C$79,C1280)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SUMIFS(RAB!$F$14:$F$79,RAB!$C$14:$C$79,C1281)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SUMIFS(RAB!$F$14:$F$79,RAB!$C$14:$C$79,C1282)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SUMIFS(RAB!$F$14:$F$79,RAB!$C$14:$C$79,C1283)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SUMIFS(RAB!$F$14:$F$79,RAB!$C$14:$C$79,C1284)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SUMIFS(RAB!$F$14:$F$79,RAB!$C$14:$C$79,C1285)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SUMIFS(RAB!$F$14:$F$79,RAB!$C$14:$C$79,C1286)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SUMIFS(RAB!$F$14:$F$79,RAB!$C$14:$C$79,C1287)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SUMIFS(RAB!$F$14:$F$79,RAB!$C$14:$C$79,C1288)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SUMIFS(RAB!$F$14:$F$79,RAB!$C$14:$C$79,C1289)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SUMIFS(RAB!$F$14:$F$79,RAB!$C$14:$C$79,C1290)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SUMIFS(RAB!$F$14:$F$79,RAB!$C$14:$C$79,C1291)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SUMIFS(RAB!$F$14:$F$79,RAB!$C$14:$C$79,C1292)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SUMIFS(RAB!$F$14:$F$79,RAB!$C$14:$C$79,C1293)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SUMIFS(RAB!$F$14:$F$79,RAB!$C$14:$C$79,C1294)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SUMIFS(RAB!$F$14:$F$79,RAB!$C$14:$C$79,C1295)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SUMIFS(RAB!$F$14:$F$79,RAB!$C$14:$C$79,C1296)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SUMIFS(RAB!$F$14:$F$79,RAB!$C$14:$C$79,C1297)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SUMIFS(RAB!$F$14:$F$79,RAB!$C$14:$C$79,C1298)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SUMIFS(RAB!$F$14:$F$79,RAB!$C$14:$C$79,C1299)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SUMIFS(RAB!$F$14:$F$79,RAB!$C$14:$C$79,C1300)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SUMIFS(RAB!$F$14:$F$79,RAB!$C$14:$C$79,C1301)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SUMIFS(RAB!$F$14:$F$79,RAB!$C$14:$C$79,C1302)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SUMIFS(RAB!$F$14:$F$79,RAB!$C$14:$C$79,C1303)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SUMIFS(RAB!$F$14:$F$79,RAB!$C$14:$C$79,C1304)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SUMIFS(RAB!$F$14:$F$79,RAB!$C$14:$C$79,C1305)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SUMIFS(RAB!$F$14:$F$79,RAB!$C$14:$C$79,C1306)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SUMIFS(RAB!$F$14:$F$79,RAB!$C$14:$C$79,C1307)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SUMIFS(RAB!$F$14:$F$79,RAB!$C$14:$C$79,C1308)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SUMIFS(RAB!$F$14:$F$79,RAB!$C$14:$C$79,C1309)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SUMIFS(RAB!$F$14:$F$79,RAB!$C$14:$C$79,C1310)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SUMIFS(RAB!$F$14:$F$79,RAB!$C$14:$C$79,C1311)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SUMIFS(RAB!$F$14:$F$79,RAB!$C$14:$C$79,C1312)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SUMIFS(RAB!$F$14:$F$79,RAB!$C$14:$C$79,C1313)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SUMIFS(RAB!$F$14:$F$79,RAB!$C$14:$C$79,C1314)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SUMIFS(RAB!$F$14:$F$79,RAB!$C$14:$C$79,C1315)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SUMIFS(RAB!$F$14:$F$79,RAB!$C$14:$C$79,C1316)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SUMIFS(RAB!$F$14:$F$79,RAB!$C$14:$C$79,C1317)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SUMIFS(RAB!$F$14:$F$79,RAB!$C$14:$C$79,C1318)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SUMIFS(RAB!$F$14:$F$79,RAB!$C$14:$C$79,C1319)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SUMIFS(RAB!$F$14:$F$79,RAB!$C$14:$C$79,C1320)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8" priority="5" operator="equal">
      <formula>0</formula>
    </cfRule>
  </conditionalFormatting>
  <conditionalFormatting sqref="A10:L65536">
    <cfRule type="cellIs" dxfId="57" priority="1" operator="equal">
      <formula>0</formula>
    </cfRule>
  </conditionalFormatting>
  <conditionalFormatting sqref="C12:C711">
    <cfRule type="cellIs" dxfId="56" priority="66" stopIfTrue="1" operator="equal">
      <formula>0</formula>
    </cfRule>
  </conditionalFormatting>
  <conditionalFormatting sqref="E712:E65536">
    <cfRule type="cellIs" dxfId="55" priority="16" stopIfTrue="1" operator="equal">
      <formula>0</formula>
    </cfRule>
  </conditionalFormatting>
  <conditionalFormatting sqref="G1:G11 E6:E11 E1:E3 H7 H10:H11 F10:F711 G712:G65536">
    <cfRule type="cellIs" dxfId="54" priority="69" stopIfTrue="1" operator="equal">
      <formula>0</formula>
    </cfRule>
  </conditionalFormatting>
  <conditionalFormatting sqref="G12:H711">
    <cfRule type="cellIs" dxfId="53" priority="12" stopIfTrue="1" operator="equal">
      <formula>0</formula>
    </cfRule>
  </conditionalFormatting>
  <conditionalFormatting sqref="I7:K7">
    <cfRule type="cellIs" dxfId="52" priority="4" stopIfTrue="1" operator="equal">
      <formula>0</formula>
    </cfRule>
  </conditionalFormatting>
  <conditionalFormatting sqref="I10:L711">
    <cfRule type="cellIs" dxfId="51" priority="2" stopIfTrue="1" operator="equal">
      <formula>0</formula>
    </cfRule>
  </conditionalFormatting>
  <conditionalFormatting sqref="L1:L6">
    <cfRule type="cellIs" dxfId="50" priority="10" operator="equal">
      <formula>0</formula>
    </cfRule>
  </conditionalFormatting>
  <conditionalFormatting sqref="M1:IV1048576 A8:G9">
    <cfRule type="cellIs" dxfId="4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2" t="s">
        <v>1127</v>
      </c>
      <c r="C4" s="522"/>
      <c r="D4" s="522"/>
      <c r="E4" s="522"/>
      <c r="F4" s="522"/>
      <c r="G4" s="522"/>
      <c r="H4" s="522"/>
      <c r="I4" s="522"/>
      <c r="J4" s="522"/>
      <c r="K4" s="52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TSEL COE112 DS KENDUREN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DS. KENDUREN KEC.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3" t="s">
        <v>0</v>
      </c>
      <c r="C11" s="525" t="s">
        <v>1</v>
      </c>
      <c r="D11" s="528" t="s">
        <v>42</v>
      </c>
      <c r="E11" s="528" t="s">
        <v>43</v>
      </c>
      <c r="F11" s="528" t="s">
        <v>2</v>
      </c>
      <c r="G11" s="530" t="s">
        <v>41</v>
      </c>
      <c r="H11" s="528" t="s">
        <v>3</v>
      </c>
      <c r="I11" s="528"/>
      <c r="J11" s="528"/>
      <c r="K11" s="533"/>
      <c r="M11" s="33"/>
      <c r="N11" s="33"/>
      <c r="O11" s="33"/>
      <c r="P11" s="33"/>
      <c r="R11" s="34"/>
      <c r="S11" s="74"/>
      <c r="T11" s="74"/>
    </row>
    <row r="12" spans="1:21" ht="15" customHeight="1">
      <c r="B12" s="524"/>
      <c r="C12" s="526"/>
      <c r="D12" s="529"/>
      <c r="E12" s="529"/>
      <c r="F12" s="529"/>
      <c r="G12" s="531"/>
      <c r="H12" s="537" t="s">
        <v>46</v>
      </c>
      <c r="I12" s="537" t="s">
        <v>5</v>
      </c>
      <c r="J12" s="529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4"/>
      <c r="C13" s="527"/>
      <c r="D13" s="529"/>
      <c r="E13" s="529"/>
      <c r="F13" s="529"/>
      <c r="G13" s="532"/>
      <c r="H13" s="538"/>
      <c r="I13" s="538"/>
      <c r="J13" s="529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7" t="s">
        <v>1008</v>
      </c>
      <c r="D38" s="547"/>
      <c r="E38" s="547"/>
      <c r="F38" s="547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8" t="s">
        <v>462</v>
      </c>
      <c r="D39" s="548"/>
      <c r="E39" s="548"/>
      <c r="F39" s="548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9" t="s">
        <v>463</v>
      </c>
      <c r="D40" s="539"/>
      <c r="E40" s="539"/>
      <c r="F40" s="539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0" t="e">
        <f ca="1">"Terbilang : ( "&amp;L42&amp;" Rupiah )"</f>
        <v>#NAME?</v>
      </c>
      <c r="C41" s="541"/>
      <c r="D41" s="541"/>
      <c r="E41" s="541"/>
      <c r="F41" s="541"/>
      <c r="G41" s="541"/>
      <c r="H41" s="541"/>
      <c r="I41" s="541"/>
      <c r="J41" s="541"/>
      <c r="K41" s="542"/>
      <c r="L41" s="44"/>
      <c r="R41" s="58"/>
      <c r="S41" s="58"/>
      <c r="T41" s="58"/>
    </row>
    <row r="42" spans="1:20" s="36" customFormat="1">
      <c r="A42" s="30"/>
      <c r="B42" s="543"/>
      <c r="C42" s="544"/>
      <c r="D42" s="544"/>
      <c r="E42" s="544"/>
      <c r="F42" s="544"/>
      <c r="G42" s="544"/>
      <c r="H42" s="544"/>
      <c r="I42" s="544"/>
      <c r="J42" s="544"/>
      <c r="K42" s="545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4"/>
      <c r="I45" s="534"/>
      <c r="J45" s="535"/>
      <c r="K45" s="53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4"/>
      <c r="I46" s="534"/>
      <c r="J46" s="535"/>
      <c r="K46" s="53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4"/>
      <c r="I47" s="534"/>
      <c r="J47" s="535"/>
      <c r="K47" s="53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4"/>
      <c r="I52" s="534"/>
      <c r="J52" s="535"/>
      <c r="K52" s="53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SUMIFS(RAB!$F$14:$F$79,RAB!$C$14:$C$79,'REKAP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SUMIFS(RAB!$F$14:$F$79,RAB!$C$14:$C$79,'REKAP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SUMIFS(RAB!$F$14:$F$79,RAB!$C$14:$C$79,'REKAP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SUMIFS(RAB!$F$14:$F$79,RAB!$C$14:$C$79,'REKAP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SUMIFS(RAB!$F$14:$F$79,RAB!$C$14:$C$79,'REKAP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SUMIFS(RAB!$F$14:$F$79,RAB!$C$14:$C$79,'REKAP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SUMIFS(RAB!$F$14:$F$79,RAB!$C$14:$C$79,'REKAP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SUMIFS(RAB!$F$14:$F$79,RAB!$C$14:$C$79,'REKAP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SUMIFS(RAB!$F$14:$F$79,RAB!$C$14:$C$79,'REKAP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SUMIFS(RAB!$F$14:$F$79,RAB!$C$14:$C$79,'REKAP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SUMIFS(RAB!$F$14:$F$79,RAB!$C$14:$C$79,'REKAP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SUMIFS(RAB!$F$14:$F$79,RAB!$C$14:$C$79,'REKAP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SUMIFS(RAB!$F$14:$F$79,RAB!$C$14:$C$79,'REKAP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SUMIFS(RAB!$F$14:$F$79,RAB!$C$14:$C$79,'REKAP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SUMIFS(RAB!$F$14:$F$79,RAB!$C$14:$C$79,'REKAP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SUMIFS(RAB!$F$14:$F$79,RAB!$C$14:$C$79,'REKAP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SUMIFS(RAB!$F$14:$F$79,RAB!$C$14:$C$79,'REKAP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SUMIFS(RAB!$F$14:$F$79,RAB!$C$14:$C$79,'REKAP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SUMIFS(RAB!$F$14:$F$79,RAB!$C$14:$C$79,'REKAP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SUMIFS(RAB!$F$14:$F$79,RAB!$C$14:$C$79,'REKAP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2" t="s">
        <v>1034</v>
      </c>
      <c r="C4" s="522"/>
      <c r="D4" s="522"/>
      <c r="E4" s="522"/>
      <c r="F4" s="522"/>
      <c r="G4" s="522"/>
      <c r="H4" s="522"/>
      <c r="I4" s="522"/>
      <c r="J4" s="522"/>
      <c r="K4" s="52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6" t="str">
        <f>RAB!G6</f>
        <v>TSEL COE112 DS KENDUREN</v>
      </c>
      <c r="H6" s="546"/>
      <c r="I6" s="546"/>
      <c r="J6" s="546"/>
      <c r="K6" s="546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DS. KENDUREN KEC.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3" t="s">
        <v>0</v>
      </c>
      <c r="C11" s="525" t="s">
        <v>1</v>
      </c>
      <c r="D11" s="528" t="s">
        <v>42</v>
      </c>
      <c r="E11" s="528" t="s">
        <v>43</v>
      </c>
      <c r="F11" s="528" t="s">
        <v>2</v>
      </c>
      <c r="G11" s="530" t="s">
        <v>41</v>
      </c>
      <c r="H11" s="528" t="s">
        <v>3</v>
      </c>
      <c r="I11" s="528"/>
      <c r="J11" s="528"/>
      <c r="K11" s="533"/>
      <c r="M11" s="33"/>
      <c r="N11" s="33"/>
      <c r="O11" s="33"/>
      <c r="P11" s="33"/>
      <c r="R11" s="34"/>
      <c r="S11" s="74"/>
      <c r="T11" s="74"/>
    </row>
    <row r="12" spans="1:21" ht="15" customHeight="1">
      <c r="B12" s="524"/>
      <c r="C12" s="526"/>
      <c r="D12" s="529"/>
      <c r="E12" s="529"/>
      <c r="F12" s="529"/>
      <c r="G12" s="531"/>
      <c r="H12" s="537" t="s">
        <v>46</v>
      </c>
      <c r="I12" s="537" t="s">
        <v>5</v>
      </c>
      <c r="J12" s="529" t="s">
        <v>47</v>
      </c>
      <c r="K12" s="53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4"/>
      <c r="C13" s="527"/>
      <c r="D13" s="529"/>
      <c r="E13" s="529"/>
      <c r="F13" s="529"/>
      <c r="G13" s="532"/>
      <c r="H13" s="538"/>
      <c r="I13" s="538"/>
      <c r="J13" s="529"/>
      <c r="K13" s="53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2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106600</v>
      </c>
      <c r="I21" s="42">
        <f t="shared" ca="1" si="2"/>
        <v>0</v>
      </c>
      <c r="J21" s="42">
        <f t="shared" ca="1" si="3"/>
        <v>0</v>
      </c>
      <c r="K21" s="43">
        <f t="shared" ca="1" si="0"/>
        <v>106600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35</v>
      </c>
      <c r="G22" s="41">
        <f ca="1">IF(ISERROR(OFFSET('HARGA SATUAN'!$I$6,MATCH(C22,'HARGA SATUAN'!$C$7:$C$1492,0),0)),"",OFFSET('HARGA SATUAN'!$I$6,MATCH(C22,'HARGA SATUAN'!$C$7:$C$1492,0),0))</f>
        <v>6600</v>
      </c>
      <c r="H22" s="42">
        <f t="shared" ca="1" si="1"/>
        <v>231000</v>
      </c>
      <c r="I22" s="42">
        <f t="shared" ca="1" si="2"/>
        <v>0</v>
      </c>
      <c r="J22" s="42">
        <f t="shared" ca="1" si="3"/>
        <v>0</v>
      </c>
      <c r="K22" s="43">
        <f t="shared" ca="1" si="0"/>
        <v>231000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7" t="s">
        <v>1008</v>
      </c>
      <c r="D168" s="547"/>
      <c r="E168" s="547"/>
      <c r="F168" s="547"/>
      <c r="G168" s="77" t="s">
        <v>9</v>
      </c>
      <c r="H168" s="55">
        <f ca="1">SUM(H14:H167)</f>
        <v>29266850</v>
      </c>
      <c r="I168" s="55">
        <f ca="1">SUM(I14:I167)</f>
        <v>0</v>
      </c>
      <c r="J168" s="55">
        <f ca="1">SUM(J14:J167)</f>
        <v>0</v>
      </c>
      <c r="K168" s="55">
        <f ca="1">SUM(K14:K167)</f>
        <v>29266850</v>
      </c>
      <c r="L168" s="44"/>
      <c r="R168" s="99"/>
      <c r="S168" s="99"/>
      <c r="T168" s="99"/>
    </row>
    <row r="169" spans="1:20" s="36" customFormat="1">
      <c r="A169" s="30"/>
      <c r="B169" s="56"/>
      <c r="C169" s="548" t="s">
        <v>462</v>
      </c>
      <c r="D169" s="548"/>
      <c r="E169" s="548"/>
      <c r="F169" s="548"/>
      <c r="G169" s="59" t="s">
        <v>9</v>
      </c>
      <c r="H169" s="60">
        <f ca="1">H168*0.1</f>
        <v>2926685</v>
      </c>
      <c r="I169" s="60">
        <f ca="1">I168*0.1</f>
        <v>0</v>
      </c>
      <c r="J169" s="60">
        <f ca="1">J168*0.1</f>
        <v>0</v>
      </c>
      <c r="K169" s="60">
        <f ca="1">K168*0.1</f>
        <v>2926685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9" t="s">
        <v>463</v>
      </c>
      <c r="D170" s="539"/>
      <c r="E170" s="539"/>
      <c r="F170" s="539"/>
      <c r="G170" s="61" t="s">
        <v>9</v>
      </c>
      <c r="H170" s="78">
        <f ca="1">SUM(H168:H169)</f>
        <v>32193535</v>
      </c>
      <c r="I170" s="78">
        <f ca="1">SUM(I168:I169)</f>
        <v>0</v>
      </c>
      <c r="J170" s="61">
        <f ca="1">SUM(J168:J169)</f>
        <v>0</v>
      </c>
      <c r="K170" s="61">
        <f ca="1">SUM(K168:K169)</f>
        <v>32193535</v>
      </c>
      <c r="L170" s="44"/>
      <c r="R170" s="99"/>
      <c r="S170" s="99"/>
      <c r="T170" s="99"/>
    </row>
    <row r="171" spans="1:20" s="36" customFormat="1">
      <c r="A171" s="30"/>
      <c r="B171" s="540" t="e">
        <f ca="1">"Terbilang : ( "&amp;L172&amp;" Rupiah )"</f>
        <v>#NAME?</v>
      </c>
      <c r="C171" s="541"/>
      <c r="D171" s="541"/>
      <c r="E171" s="541"/>
      <c r="F171" s="541"/>
      <c r="G171" s="541"/>
      <c r="H171" s="541"/>
      <c r="I171" s="541"/>
      <c r="J171" s="541"/>
      <c r="K171" s="542"/>
      <c r="L171" s="44"/>
      <c r="R171" s="58"/>
      <c r="S171" s="58"/>
      <c r="T171" s="58"/>
    </row>
    <row r="172" spans="1:20" s="36" customFormat="1">
      <c r="A172" s="30"/>
      <c r="B172" s="543"/>
      <c r="C172" s="544"/>
      <c r="D172" s="544"/>
      <c r="E172" s="544"/>
      <c r="F172" s="544"/>
      <c r="G172" s="544"/>
      <c r="H172" s="544"/>
      <c r="I172" s="544"/>
      <c r="J172" s="544"/>
      <c r="K172" s="545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4"/>
      <c r="I175" s="534"/>
      <c r="J175" s="535"/>
      <c r="K175" s="53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4"/>
      <c r="I176" s="534"/>
      <c r="J176" s="535"/>
      <c r="K176" s="53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4"/>
      <c r="I177" s="534"/>
      <c r="J177" s="535"/>
      <c r="K177" s="53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4"/>
      <c r="I182" s="534"/>
      <c r="J182" s="535"/>
      <c r="K182" s="53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SUMIFS(RAB!$F$14:$F$79,RAB!$C$14:$C$79,C224)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SUMIFS(RAB!$F$14:$F$79,RAB!$C$14:$C$79,C225)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SUMIFS(RAB!$F$14:$F$79,RAB!$C$14:$C$79,C226)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SUMIFS(RAB!$F$14:$F$79,RAB!$C$14:$C$79,C227)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SUMIFS(RAB!$F$14:$F$79,RAB!$C$14:$C$79,C228)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SUMIFS(RAB!$F$14:$F$79,RAB!$C$14:$C$79,C229)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SUMIFS(RAB!$F$14:$F$79,RAB!$C$14:$C$79,C230)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SUMIFS(RAB!$F$14:$F$79,RAB!$C$14:$C$79,C231)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SUMIFS(RAB!$F$14:$F$79,RAB!$C$14:$C$79,C232)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SUMIFS(RAB!$F$14:$F$79,RAB!$C$14:$C$79,C233)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SUMIFS(RAB!$F$14:$F$79,RAB!$C$14:$C$79,C234)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SUMIFS(RAB!$F$14:$F$79,RAB!$C$14:$C$79,C235)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SUMIFS(RAB!$F$14:$F$79,RAB!$C$14:$C$79,C236)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SUMIFS(RAB!$F$14:$F$79,RAB!$C$14:$C$79,C237)</f>
        <v>1</v>
      </c>
      <c r="E237" s="24">
        <f t="shared" ca="1" si="21"/>
        <v>1</v>
      </c>
      <c r="F237" s="24">
        <f ca="1">IF(D237=0,0,SUM($E$223:E237))</f>
        <v>2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SUMIFS(RAB!$F$14:$F$79,RAB!$C$14:$C$79,C238)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SUMIFS(RAB!$F$14:$F$79,RAB!$C$14:$C$79,C239)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SUMIFS(RAB!$F$14:$F$79,RAB!$C$14:$C$79,C240)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SUMIFS(RAB!$F$14:$F$79,RAB!$C$14:$C$79,C241)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SUMIFS(RAB!$F$14:$F$79,RAB!$C$14:$C$79,C242)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SUMIFS(RAB!$F$14:$F$79,RAB!$C$14:$C$79,C243)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SUMIFS(RAB!$F$14:$F$79,RAB!$C$14:$C$79,C244)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SUMIFS(RAB!$F$14:$F$79,RAB!$C$14:$C$79,C245)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SUMIFS(RAB!$F$14:$F$79,RAB!$C$14:$C$79,C246)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SUMIFS(RAB!$F$14:$F$79,RAB!$C$14:$C$79,C247)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SUMIFS(RAB!$F$14:$F$79,RAB!$C$14:$C$79,C248)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SUMIFS(RAB!$F$14:$F$79,RAB!$C$14:$C$79,C249)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SUMIFS(RAB!$F$14:$F$79,RAB!$C$14:$C$79,C250)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SUMIFS(RAB!$F$14:$F$79,RAB!$C$14:$C$79,C251)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SUMIFS(RAB!$F$14:$F$79,RAB!$C$14:$C$79,C252)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SUMIFS(RAB!$F$14:$F$79,RAB!$C$14:$C$79,C253)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SUMIFS(RAB!$F$14:$F$79,RAB!$C$14:$C$79,C254)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SUMIFS(RAB!$F$14:$F$79,RAB!$C$14:$C$79,C255)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SUMIFS(RAB!$F$14:$F$79,RAB!$C$14:$C$79,C256)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SUMIFS(RAB!$F$14:$F$79,RAB!$C$14:$C$79,C257)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SUMIFS(RAB!$F$14:$F$79,RAB!$C$14:$C$79,C258)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SUMIFS(RAB!$F$14:$F$79,RAB!$C$14:$C$79,C259)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SUMIFS(RAB!$F$14:$F$79,RAB!$C$14:$C$79,C260)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SUMIFS(RAB!$F$14:$F$79,RAB!$C$14:$C$79,C261)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SUMIFS(RAB!$F$14:$F$79,RAB!$C$14:$C$79,C262)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SUMIFS(RAB!$F$14:$F$79,RAB!$C$14:$C$79,C263)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SUMIFS(RAB!$F$14:$F$79,RAB!$C$14:$C$79,C264)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SUMIFS(RAB!$F$14:$F$79,RAB!$C$14:$C$79,C265)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SUMIFS(RAB!$F$14:$F$79,RAB!$C$14:$C$79,C266)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SUMIFS(RAB!$F$14:$F$79,RAB!$C$14:$C$79,C267)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SUMIFS(RAB!$F$14:$F$79,RAB!$C$14:$C$79,C268)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SUMIFS(RAB!$F$14:$F$79,RAB!$C$14:$C$79,C269)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SUMIFS(RAB!$F$14:$F$79,RAB!$C$14:$C$79,C270)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SUMIFS(RAB!$F$14:$F$79,RAB!$C$14:$C$79,C271)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SUMIFS(RAB!$F$14:$F$79,RAB!$C$14:$C$79,C272)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SUMIFS(RAB!$F$14:$F$79,RAB!$C$14:$C$79,C273)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SUMIFS(RAB!$F$14:$F$79,RAB!$C$14:$C$79,C274)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SUMIFS(RAB!$F$14:$F$79,RAB!$C$14:$C$79,C275)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SUMIFS(RAB!$F$14:$F$79,RAB!$C$14:$C$79,C276)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SUMIFS(RAB!$F$14:$F$79,RAB!$C$14:$C$79,C277)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SUMIFS(RAB!$F$14:$F$79,RAB!$C$14:$C$79,C278)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SUMIFS(RAB!$F$14:$F$79,RAB!$C$14:$C$79,C279)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SUMIFS(RAB!$F$14:$F$79,RAB!$C$14:$C$79,C280)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SUMIFS(RAB!$F$14:$F$79,RAB!$C$14:$C$79,C281)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SUMIFS(RAB!$F$14:$F$79,RAB!$C$14:$C$79,C282)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SUMIFS(RAB!$F$14:$F$79,RAB!$C$14:$C$79,C283)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SUMIFS(RAB!$F$14:$F$79,RAB!$C$14:$C$79,C284)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SUMIFS(RAB!$F$14:$F$79,RAB!$C$14:$C$79,C285)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SUMIFS(RAB!$F$14:$F$79,RAB!$C$14:$C$79,C286)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SUMIFS(RAB!$F$14:$F$79,RAB!$C$14:$C$79,C287)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SUMIFS(RAB!$F$14:$F$79,RAB!$C$14:$C$79,C288)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SUMIFS(RAB!$F$14:$F$79,RAB!$C$14:$C$79,C289)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SUMIFS(RAB!$F$14:$F$79,RAB!$C$14:$C$79,C290)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SUMIFS(RAB!$F$14:$F$79,RAB!$C$14:$C$79,C291)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SUMIFS(RAB!$F$14:$F$79,RAB!$C$14:$C$79,C292)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SUMIFS(RAB!$F$14:$F$79,RAB!$C$14:$C$79,C293)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SUMIFS(RAB!$F$14:$F$79,RAB!$C$14:$C$79,C294)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SUMIFS(RAB!$F$14:$F$79,RAB!$C$14:$C$79,C295)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SUMIFS(RAB!$F$14:$F$79,RAB!$C$14:$C$79,C296)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SUMIFS(RAB!$F$14:$F$79,RAB!$C$14:$C$79,C297)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SUMIFS(RAB!$F$14:$F$79,RAB!$C$14:$C$79,C298)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SUMIFS(RAB!$F$14:$F$79,RAB!$C$14:$C$79,C299)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SUMIFS(RAB!$F$14:$F$79,RAB!$C$14:$C$79,C300)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SUMIFS(RAB!$F$14:$F$79,RAB!$C$14:$C$79,C301)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SUMIFS(RAB!$F$14:$F$79,RAB!$C$14:$C$79,C302)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SUMIFS(RAB!$F$14:$F$79,RAB!$C$14:$C$79,C303)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SUMIFS(RAB!$F$14:$F$79,RAB!$C$14:$C$79,C304)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SUMIFS(RAB!$F$14:$F$79,RAB!$C$14:$C$79,C305)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SUMIFS(RAB!$F$14:$F$79,RAB!$C$14:$C$79,C306)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SUMIFS(RAB!$F$14:$F$79,RAB!$C$14:$C$79,C307)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SUMIFS(RAB!$F$14:$F$79,RAB!$C$14:$C$79,C308)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SUMIFS(RAB!$F$14:$F$79,RAB!$C$14:$C$79,C309)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SUMIFS(RAB!$F$14:$F$79,RAB!$C$14:$C$79,C310)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SUMIFS(RAB!$F$14:$F$79,RAB!$C$14:$C$79,C311)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SUMIFS(RAB!$F$14:$F$79,RAB!$C$14:$C$79,C312)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SUMIFS(RAB!$F$14:$F$79,RAB!$C$14:$C$79,C313)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SUMIFS(RAB!$F$14:$F$79,RAB!$C$14:$C$79,C314)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SUMIFS(RAB!$F$14:$F$79,RAB!$C$14:$C$79,C315)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SUMIFS(RAB!$F$14:$F$79,RAB!$C$14:$C$79,C316)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SUMIFS(RAB!$F$14:$F$79,RAB!$C$14:$C$79,C317)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SUMIFS(RAB!$F$14:$F$79,RAB!$C$14:$C$79,C318)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SUMIFS(RAB!$F$14:$F$79,RAB!$C$14:$C$79,C319)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SUMIFS(RAB!$F$14:$F$79,RAB!$C$14:$C$79,C320)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SUMIFS(RAB!$F$14:$F$79,RAB!$C$14:$C$79,C321)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SUMIFS(RAB!$F$14:$F$79,RAB!$C$14:$C$79,C322)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SUMIFS(RAB!$F$14:$F$79,RAB!$C$14:$C$79,C323)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SUMIFS(RAB!$F$14:$F$79,RAB!$C$14:$C$79,C324)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SUMIFS(RAB!$F$14:$F$79,RAB!$C$14:$C$79,C325)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SUMIFS(RAB!$F$14:$F$79,RAB!$C$14:$C$79,C326)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SUMIFS(RAB!$F$14:$F$79,RAB!$C$14:$C$79,C327)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SUMIFS(RAB!$F$14:$F$79,RAB!$C$14:$C$79,C328)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SUMIFS(RAB!$F$14:$F$79,RAB!$C$14:$C$79,C329)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SUMIFS(RAB!$F$14:$F$79,RAB!$C$14:$C$79,C330)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SUMIFS(RAB!$F$14:$F$79,RAB!$C$14:$C$79,C331)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SUMIFS(RAB!$F$14:$F$79,RAB!$C$14:$C$79,C332)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SUMIFS(RAB!$F$14:$F$79,RAB!$C$14:$C$79,C333)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SUMIFS(RAB!$F$14:$F$79,RAB!$C$14:$C$79,C334)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SUMIFS(RAB!$F$14:$F$79,RAB!$C$14:$C$79,C335)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SUMIFS(RAB!$F$14:$F$79,RAB!$C$14:$C$79,C336)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SUMIFS(RAB!$F$14:$F$79,RAB!$C$14:$C$79,C337)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SUMIFS(RAB!$F$14:$F$79,RAB!$C$14:$C$79,C338)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SUMIFS(RAB!$F$14:$F$79,RAB!$C$14:$C$79,C339)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SUMIFS(RAB!$F$14:$F$79,RAB!$C$14:$C$79,C340)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SUMIFS(RAB!$F$14:$F$79,RAB!$C$14:$C$79,C341)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SUMIFS(RAB!$F$14:$F$79,RAB!$C$14:$C$79,C342)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SUMIFS(RAB!$F$14:$F$79,RAB!$C$14:$C$79,C343)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SUMIFS(RAB!$F$14:$F$79,RAB!$C$14:$C$79,C344)</f>
        <v>2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SUMIFS(RAB!$F$14:$F$79,RAB!$C$14:$C$79,C345)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SUMIFS(RAB!$F$14:$F$79,RAB!$C$14:$C$79,C346)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SUMIFS(RAB!$F$14:$F$79,RAB!$C$14:$C$79,C347)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SUMIFS(RAB!$F$14:$F$79,RAB!$C$14:$C$79,C348)</f>
        <v>35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SUMIFS(RAB!$F$14:$F$79,RAB!$C$14:$C$79,C349)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SUMIFS(RAB!$F$14:$F$79,RAB!$C$14:$C$79,C350)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SUMIFS(RAB!$F$14:$F$79,RAB!$C$14:$C$79,C351)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SUMIFS(RAB!$F$14:$F$79,RAB!$C$14:$C$79,C352)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SUMIFS(RAB!$F$14:$F$79,RAB!$C$14:$C$79,C353)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SUMIFS(RAB!$F$14:$F$79,RAB!$C$14:$C$79,C354)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SUMIFS(RAB!$F$14:$F$79,RAB!$C$14:$C$79,C355)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SUMIFS(RAB!$F$14:$F$79,RAB!$C$14:$C$79,C356)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SUMIFS(RAB!$F$14:$F$79,RAB!$C$14:$C$79,C357)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SUMIFS(RAB!$F$14:$F$79,RAB!$C$14:$C$79,C358)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SUMIFS(RAB!$F$14:$F$79,RAB!$C$14:$C$79,C359)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SUMIFS(RAB!$F$14:$F$79,RAB!$C$14:$C$79,C360)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SUMIFS(RAB!$F$14:$F$79,RAB!$C$14:$C$79,C361)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SUMIFS(RAB!$F$14:$F$79,RAB!$C$14:$C$79,C362)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SUMIFS(RAB!$F$14:$F$79,RAB!$C$14:$C$79,C363)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SUMIFS(RAB!$F$14:$F$79,RAB!$C$14:$C$79,C364)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SUMIFS(RAB!$F$14:$F$79,RAB!$C$14:$C$79,C365)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SUMIFS(RAB!$F$14:$F$79,RAB!$C$14:$C$79,C366)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SUMIFS(RAB!$F$14:$F$79,RAB!$C$14:$C$79,C367)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SUMIFS(RAB!$F$14:$F$79,RAB!$C$14:$C$79,C368)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SUMIFS(RAB!$F$14:$F$79,RAB!$C$14:$C$79,C369)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SUMIFS(RAB!$F$14:$F$79,RAB!$C$14:$C$79,C370)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SUMIFS(RAB!$F$14:$F$79,RAB!$C$14:$C$79,C371)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SUMIFS(RAB!$F$14:$F$79,RAB!$C$14:$C$79,C372)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SUMIFS(RAB!$F$14:$F$79,RAB!$C$14:$C$79,C373)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6" priority="5" operator="equal">
      <formula>0</formula>
    </cfRule>
  </conditionalFormatting>
  <conditionalFormatting sqref="C16:C165">
    <cfRule type="cellIs" dxfId="45" priority="4" stopIfTrue="1" operator="equal">
      <formula>0</formula>
    </cfRule>
  </conditionalFormatting>
  <conditionalFormatting sqref="C16:E165">
    <cfRule type="cellIs" dxfId="44" priority="1" operator="equal">
      <formula>0</formula>
    </cfRule>
  </conditionalFormatting>
  <conditionalFormatting sqref="D224:F373">
    <cfRule type="cellIs" dxfId="43" priority="8" operator="equal">
      <formula>0</formula>
    </cfRule>
  </conditionalFormatting>
  <conditionalFormatting sqref="E1:E3 G1:G115 E6:E15 H12:I12 N13 F14:F15 H14:K115 E166:K166 G166:G223 E167:F167 H167:K167">
    <cfRule type="cellIs" dxfId="42" priority="43" stopIfTrue="1" operator="equal">
      <formula>0</formula>
    </cfRule>
  </conditionalFormatting>
  <conditionalFormatting sqref="E171:E65536">
    <cfRule type="cellIs" dxfId="41" priority="9" stopIfTrue="1" operator="equal">
      <formula>0</formula>
    </cfRule>
  </conditionalFormatting>
  <conditionalFormatting sqref="G224">
    <cfRule type="cellIs" dxfId="40" priority="10" operator="equal">
      <formula>0</formula>
    </cfRule>
  </conditionalFormatting>
  <conditionalFormatting sqref="G225:G65536">
    <cfRule type="cellIs" dxfId="39" priority="14" stopIfTrue="1" operator="equal">
      <formula>0</formula>
    </cfRule>
  </conditionalFormatting>
  <conditionalFormatting sqref="R14:T166 G116:K165">
    <cfRule type="cellIs" dxfId="3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1" sqref="C1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0" t="s">
        <v>41</v>
      </c>
      <c r="C2" s="55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1" t="s">
        <v>23</v>
      </c>
      <c r="C4" s="552" t="s">
        <v>1012</v>
      </c>
      <c r="D4" s="552" t="s">
        <v>42</v>
      </c>
      <c r="E4" s="551" t="s">
        <v>43</v>
      </c>
      <c r="F4" s="108" t="s">
        <v>1609</v>
      </c>
      <c r="G4" s="108" t="s">
        <v>1608</v>
      </c>
      <c r="H4" s="549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1"/>
      <c r="C5" s="552"/>
      <c r="D5" s="552"/>
      <c r="E5" s="551"/>
      <c r="F5" s="93"/>
      <c r="G5" s="93"/>
      <c r="H5" s="549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7" priority="138" operator="equal">
      <formula>0</formula>
    </cfRule>
  </conditionalFormatting>
  <conditionalFormatting sqref="B8:C135">
    <cfRule type="cellIs" dxfId="36" priority="51" operator="equal">
      <formula>0</formula>
    </cfRule>
  </conditionalFormatting>
  <conditionalFormatting sqref="B150:G1493">
    <cfRule type="cellIs" dxfId="35" priority="1" operator="equal">
      <formula>0</formula>
    </cfRule>
  </conditionalFormatting>
  <conditionalFormatting sqref="C143:G149">
    <cfRule type="cellIs" dxfId="34" priority="5" operator="equal">
      <formula>0</formula>
    </cfRule>
  </conditionalFormatting>
  <conditionalFormatting sqref="D9:G142">
    <cfRule type="cellIs" dxfId="33" priority="11" operator="equal">
      <formula>0</formula>
    </cfRule>
  </conditionalFormatting>
  <conditionalFormatting sqref="D1:IV5 A1:C7 D6:K6 H1455:IV1457 H1458:XFD1485 H1486:H1493 I1486:XFD1494 A1494:H1494 A1495:XFD65536">
    <cfRule type="cellIs" dxfId="32" priority="163" operator="equal">
      <formula>0</formula>
    </cfRule>
  </conditionalFormatting>
  <conditionalFormatting sqref="D7:IV8 C136:C142 B136:B149">
    <cfRule type="cellIs" dxfId="31" priority="62" operator="equal">
      <formula>0</formula>
    </cfRule>
  </conditionalFormatting>
  <conditionalFormatting sqref="H9:H1418">
    <cfRule type="cellIs" dxfId="30" priority="129" operator="equal">
      <formula>0</formula>
    </cfRule>
  </conditionalFormatting>
  <conditionalFormatting sqref="H1419:I1454">
    <cfRule type="cellIs" dxfId="29" priority="128" operator="equal">
      <formula>0</formula>
    </cfRule>
  </conditionalFormatting>
  <conditionalFormatting sqref="I108:I1418">
    <cfRule type="cellIs" dxfId="28" priority="125" operator="equal">
      <formula>0</formula>
    </cfRule>
  </conditionalFormatting>
  <conditionalFormatting sqref="J108:IV1454">
    <cfRule type="cellIs" dxfId="27" priority="139" operator="equal">
      <formula>0</formula>
    </cfRule>
  </conditionalFormatting>
  <conditionalFormatting sqref="M6:IV6">
    <cfRule type="cellIs" dxfId="2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S18" sqref="S18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4" t="s">
        <v>1454</v>
      </c>
      <c r="C2" s="584"/>
      <c r="D2" s="584"/>
      <c r="E2" s="58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9" t="s">
        <v>1532</v>
      </c>
      <c r="C4" s="590"/>
      <c r="D4" s="590"/>
      <c r="E4" s="591"/>
      <c r="F4" s="442"/>
      <c r="G4" s="442"/>
      <c r="H4" s="443"/>
      <c r="I4" s="553" t="s">
        <v>1533</v>
      </c>
      <c r="J4" s="554"/>
      <c r="K4" s="554"/>
      <c r="L4" s="555"/>
    </row>
    <row r="5" spans="1:12" ht="34.5" customHeight="1">
      <c r="A5" s="204"/>
      <c r="B5" s="445" t="s">
        <v>1379</v>
      </c>
      <c r="C5" s="277" t="s">
        <v>9</v>
      </c>
      <c r="D5" s="585" t="str">
        <f>DATA!D14</f>
        <v>TSEL COE112 DS KENDUREN</v>
      </c>
      <c r="E5" s="586"/>
      <c r="F5" s="208"/>
      <c r="G5" s="208"/>
      <c r="I5" s="446" t="s">
        <v>1379</v>
      </c>
      <c r="J5" s="277" t="s">
        <v>9</v>
      </c>
      <c r="K5" s="556" t="str">
        <f>D5</f>
        <v>TSEL COE112 DS KENDUREN</v>
      </c>
      <c r="L5" s="557"/>
    </row>
    <row r="6" spans="1:12" ht="31.5" customHeight="1">
      <c r="A6" s="204"/>
      <c r="B6" s="445" t="s">
        <v>1529</v>
      </c>
      <c r="C6" s="277" t="s">
        <v>9</v>
      </c>
      <c r="D6" s="594">
        <f>DATA!D17*1000</f>
        <v>0</v>
      </c>
      <c r="E6" s="595"/>
      <c r="F6" s="208"/>
      <c r="G6" s="208"/>
      <c r="I6" s="446" t="s">
        <v>1530</v>
      </c>
      <c r="J6" s="277" t="s">
        <v>9</v>
      </c>
      <c r="K6" s="558">
        <f>DATA!D20*1000</f>
        <v>5500</v>
      </c>
      <c r="L6" s="559"/>
    </row>
    <row r="7" spans="1:12" ht="30.75" customHeight="1">
      <c r="A7" s="204"/>
      <c r="B7" s="445" t="s">
        <v>1441</v>
      </c>
      <c r="C7" s="277" t="s">
        <v>9</v>
      </c>
      <c r="D7" s="592">
        <f>DATA!D18</f>
        <v>1</v>
      </c>
      <c r="E7" s="593"/>
      <c r="F7" s="444" t="s">
        <v>1453</v>
      </c>
      <c r="I7" s="446" t="s">
        <v>1441</v>
      </c>
      <c r="J7" s="277" t="s">
        <v>9</v>
      </c>
      <c r="K7" s="560">
        <f>DATA!D21</f>
        <v>1</v>
      </c>
      <c r="L7" s="561"/>
    </row>
    <row r="8" spans="1:12" ht="51" customHeight="1">
      <c r="A8" s="204"/>
      <c r="B8" s="445" t="s">
        <v>1442</v>
      </c>
      <c r="C8" s="277" t="s">
        <v>9</v>
      </c>
      <c r="D8" s="592">
        <f>DATA!D19</f>
        <v>220</v>
      </c>
      <c r="E8" s="593"/>
      <c r="F8" s="444" t="s">
        <v>1453</v>
      </c>
      <c r="G8" s="439">
        <v>220</v>
      </c>
      <c r="I8" s="446" t="s">
        <v>1442</v>
      </c>
      <c r="J8" s="277" t="s">
        <v>9</v>
      </c>
      <c r="K8" s="560">
        <f>DATA!D22</f>
        <v>220</v>
      </c>
      <c r="L8" s="561"/>
    </row>
    <row r="9" spans="1:12" ht="30" customHeight="1" thickBot="1">
      <c r="A9" s="204"/>
      <c r="B9" s="451" t="s">
        <v>1541</v>
      </c>
      <c r="C9" s="441" t="s">
        <v>9</v>
      </c>
      <c r="D9" s="587">
        <f>IF(D7=1,D6/(380/3^0.5),(D6/(380*3^0.5)))</f>
        <v>0</v>
      </c>
      <c r="E9" s="588"/>
      <c r="F9" s="207"/>
      <c r="G9" s="440">
        <v>380</v>
      </c>
      <c r="I9" s="452" t="s">
        <v>1541</v>
      </c>
      <c r="J9" s="441" t="s">
        <v>9</v>
      </c>
      <c r="K9" s="564">
        <f>IF(K7=1,K6/(380/3^0.5),(K6/(380*3^0.5)))</f>
        <v>25.069156425339013</v>
      </c>
      <c r="L9" s="565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96"/>
      <c r="E12" s="597"/>
      <c r="F12" s="208"/>
      <c r="G12" s="208"/>
      <c r="I12" s="468" t="s">
        <v>1534</v>
      </c>
      <c r="J12" s="469" t="s">
        <v>9</v>
      </c>
      <c r="K12" s="596"/>
      <c r="L12" s="597"/>
    </row>
    <row r="13" spans="1:12" ht="31.5" customHeight="1">
      <c r="A13" s="204"/>
      <c r="B13" s="476" t="s">
        <v>1380</v>
      </c>
      <c r="C13" s="456" t="s">
        <v>9</v>
      </c>
      <c r="D13" s="562"/>
      <c r="E13" s="563"/>
      <c r="F13" s="208"/>
      <c r="G13" s="208"/>
      <c r="I13" s="470" t="s">
        <v>1380</v>
      </c>
      <c r="J13" s="456" t="s">
        <v>9</v>
      </c>
      <c r="K13" s="562"/>
      <c r="L13" s="563"/>
    </row>
    <row r="14" spans="1:12" ht="30.75" customHeight="1">
      <c r="A14" s="204"/>
      <c r="B14" s="476" t="s">
        <v>1535</v>
      </c>
      <c r="C14" s="456" t="s">
        <v>9</v>
      </c>
      <c r="D14" s="566"/>
      <c r="E14" s="567"/>
      <c r="F14" s="444" t="s">
        <v>1453</v>
      </c>
      <c r="G14" s="448">
        <v>50</v>
      </c>
      <c r="I14" s="470" t="s">
        <v>1535</v>
      </c>
      <c r="J14" s="456" t="s">
        <v>9</v>
      </c>
      <c r="K14" s="568"/>
      <c r="L14" s="569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70">
        <v>0</v>
      </c>
      <c r="E16" s="571"/>
      <c r="F16" s="444"/>
      <c r="G16" s="448">
        <v>160</v>
      </c>
      <c r="I16" s="470" t="s">
        <v>1537</v>
      </c>
      <c r="J16" s="456" t="s">
        <v>9</v>
      </c>
      <c r="K16" s="574">
        <f>K9</f>
        <v>25.069156425339013</v>
      </c>
      <c r="L16" s="575"/>
    </row>
    <row r="17" spans="1:12" ht="34.5" customHeight="1">
      <c r="A17" s="204"/>
      <c r="B17" s="476" t="s">
        <v>1538</v>
      </c>
      <c r="C17" s="456" t="s">
        <v>9</v>
      </c>
      <c r="D17" s="572">
        <f>IF(D15=1,D14/(20/3^0.5),(D14/(20*3^0.5)))</f>
        <v>0</v>
      </c>
      <c r="E17" s="573"/>
      <c r="F17" s="444" t="s">
        <v>1453</v>
      </c>
      <c r="G17" s="449">
        <v>200</v>
      </c>
      <c r="I17" s="470" t="s">
        <v>1538</v>
      </c>
      <c r="J17" s="456" t="s">
        <v>9</v>
      </c>
      <c r="K17" s="578">
        <f>IF(K15=1,K14/(20/3^0.5),(K14/(20*3^0.5)))</f>
        <v>0</v>
      </c>
      <c r="L17" s="579"/>
    </row>
    <row r="18" spans="1:12" ht="34.5" customHeight="1">
      <c r="A18" s="204"/>
      <c r="B18" s="476" t="s">
        <v>1539</v>
      </c>
      <c r="C18" s="456" t="s">
        <v>9</v>
      </c>
      <c r="D18" s="572">
        <f>IF(D15=1,D14/(380/3^0.5),(D14/(380*3^0.5)))*1000</f>
        <v>0</v>
      </c>
      <c r="E18" s="573"/>
      <c r="F18" s="444" t="s">
        <v>1453</v>
      </c>
      <c r="G18" s="449">
        <v>250</v>
      </c>
      <c r="I18" s="470" t="s">
        <v>1539</v>
      </c>
      <c r="J18" s="456" t="s">
        <v>9</v>
      </c>
      <c r="K18" s="578">
        <f>IF(K15=1,K14/(380/3^0.5),(K14/(380*3^0.5)))*1000</f>
        <v>0</v>
      </c>
      <c r="L18" s="579"/>
    </row>
    <row r="19" spans="1:12" ht="30" customHeight="1">
      <c r="A19" s="204"/>
      <c r="B19" s="477" t="s">
        <v>1531</v>
      </c>
      <c r="C19" s="455" t="s">
        <v>9</v>
      </c>
      <c r="D19" s="572">
        <f>IF(D15=1,D14/(380/3^0.5),(D14/(380*3^0.5)))</f>
        <v>0</v>
      </c>
      <c r="E19" s="573"/>
      <c r="F19" s="207"/>
      <c r="G19" s="440"/>
      <c r="I19" s="472" t="s">
        <v>1531</v>
      </c>
      <c r="J19" s="455" t="s">
        <v>9</v>
      </c>
      <c r="K19" s="578">
        <f>IF(K15=1,K14/(380/3^0.5),(K14/(380*3^0.5)))</f>
        <v>0</v>
      </c>
      <c r="L19" s="579"/>
    </row>
    <row r="20" spans="1:12" ht="30" customHeight="1" thickBot="1">
      <c r="A20" s="204"/>
      <c r="B20" s="478" t="s">
        <v>1540</v>
      </c>
      <c r="C20" s="474" t="s">
        <v>9</v>
      </c>
      <c r="D20" s="598" t="e">
        <f>D16/D18</f>
        <v>#DIV/0!</v>
      </c>
      <c r="E20" s="599"/>
      <c r="F20" s="207"/>
      <c r="G20" s="440"/>
      <c r="I20" s="473" t="s">
        <v>1531</v>
      </c>
      <c r="J20" s="474" t="s">
        <v>9</v>
      </c>
      <c r="K20" s="576" t="e">
        <f>K16/K18</f>
        <v>#DIV/0!</v>
      </c>
      <c r="L20" s="577"/>
    </row>
    <row r="21" spans="1:12" ht="9.75" customHeight="1">
      <c r="A21" s="204"/>
      <c r="B21" s="463" t="s">
        <v>1540</v>
      </c>
      <c r="C21" s="464" t="s">
        <v>9</v>
      </c>
      <c r="D21" s="583">
        <v>1</v>
      </c>
      <c r="E21" s="583"/>
      <c r="F21" s="465"/>
      <c r="G21" s="466"/>
      <c r="H21" s="467"/>
      <c r="I21" s="463" t="s">
        <v>1531</v>
      </c>
      <c r="J21" s="464" t="s">
        <v>9</v>
      </c>
      <c r="K21" s="583">
        <v>1</v>
      </c>
      <c r="L21" s="583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80"/>
      <c r="C24" s="581"/>
      <c r="D24" s="581"/>
      <c r="E24" s="582"/>
      <c r="I24" s="580"/>
      <c r="J24" s="581"/>
      <c r="K24" s="581"/>
      <c r="L24" s="582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5" priority="5" stopIfTrue="1" operator="greaterThan">
      <formula>0.89</formula>
    </cfRule>
    <cfRule type="cellIs" dxfId="2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4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0"/>
      <c r="C1" s="600"/>
      <c r="D1" s="600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5329500</v>
      </c>
    </row>
    <row r="10" spans="2:11" ht="20.100000000000001" customHeight="1">
      <c r="B10" s="291" t="s">
        <v>1446</v>
      </c>
      <c r="C10" s="292" t="s">
        <v>9</v>
      </c>
      <c r="D10" s="298">
        <f ca="1">RAB!K85</f>
        <v>36790652.520000003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735813.05040000007</v>
      </c>
    </row>
    <row r="12" spans="2:11" ht="9" customHeight="1">
      <c r="B12" s="601"/>
      <c r="C12" s="601"/>
      <c r="D12" s="601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1631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1622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5.5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I35" sqref="I35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8" t="s">
        <v>1357</v>
      </c>
      <c r="C3" s="608"/>
      <c r="D3" s="608"/>
      <c r="E3" s="608"/>
      <c r="F3" s="305" t="str">
        <f>DATA!D14</f>
        <v>TSEL COE112 DS KENDUREN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2" t="s">
        <v>1349</v>
      </c>
      <c r="C5" s="602" t="s">
        <v>1358</v>
      </c>
      <c r="D5" s="607" t="s">
        <v>1359</v>
      </c>
      <c r="E5" s="607" t="s">
        <v>1360</v>
      </c>
      <c r="F5" s="602" t="s">
        <v>1361</v>
      </c>
      <c r="G5" s="602"/>
      <c r="H5" s="602"/>
      <c r="I5" s="602"/>
      <c r="J5" s="602"/>
      <c r="K5" s="602" t="s">
        <v>1362</v>
      </c>
      <c r="L5" s="602"/>
      <c r="M5" s="307"/>
      <c r="N5" s="605" t="s">
        <v>1363</v>
      </c>
      <c r="O5" s="607" t="s">
        <v>1364</v>
      </c>
      <c r="P5" s="607" t="s">
        <v>1365</v>
      </c>
      <c r="Q5" s="607" t="s">
        <v>1366</v>
      </c>
      <c r="R5" s="308"/>
      <c r="S5" s="309"/>
      <c r="T5" s="603" t="s">
        <v>1367</v>
      </c>
      <c r="U5" s="310"/>
    </row>
    <row r="6" spans="1:21" ht="20.100000000000001" customHeight="1">
      <c r="B6" s="602"/>
      <c r="C6" s="602"/>
      <c r="D6" s="602"/>
      <c r="E6" s="60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6"/>
      <c r="O6" s="602"/>
      <c r="P6" s="602"/>
      <c r="Q6" s="602"/>
      <c r="R6" s="308"/>
      <c r="S6" s="309"/>
      <c r="T6" s="602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1760</v>
      </c>
      <c r="D7" s="316">
        <f>C7*4/24</f>
        <v>293.33333333333331</v>
      </c>
      <c r="E7" s="316">
        <f>C7-D7</f>
        <v>1466.6666666666667</v>
      </c>
      <c r="F7" s="317">
        <f ca="1">DATA!D10/1000000</f>
        <v>36.790652520000002</v>
      </c>
      <c r="G7" s="318">
        <f ca="1">DATA!$D$11/1000000</f>
        <v>0.73581305040000011</v>
      </c>
      <c r="H7" s="318">
        <f>C7*DATA!$D$5/1000000</f>
        <v>1.908060080760388</v>
      </c>
      <c r="I7" s="318">
        <f>(C7*DATA!$D$5*DATA!$D$7)/1000000</f>
        <v>4.2931351817108727E-2</v>
      </c>
      <c r="J7" s="316">
        <f ca="1">SUM(F7:I7)</f>
        <v>39.477457002977495</v>
      </c>
      <c r="K7" s="319">
        <f>DATA!D9/1000000</f>
        <v>5.3295000000000003</v>
      </c>
      <c r="L7" s="316">
        <f>((D7*DATA!$D$23)/1000000)+((E7*DATA!$D$24)/1000000)</f>
        <v>2.542672</v>
      </c>
      <c r="M7" s="316">
        <f>K7+L7</f>
        <v>7.8721720000000008</v>
      </c>
      <c r="N7" s="316">
        <f ca="1">M7-J7</f>
        <v>-31.605285002977496</v>
      </c>
      <c r="O7" s="314">
        <v>1</v>
      </c>
      <c r="P7" s="316">
        <f ca="1">O7*N7</f>
        <v>-31.605285002977496</v>
      </c>
      <c r="Q7" s="316">
        <f ca="1">P7</f>
        <v>-31.605285002977496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2640</v>
      </c>
      <c r="D8" s="316">
        <f>C8*4/24</f>
        <v>440</v>
      </c>
      <c r="E8" s="316">
        <f t="shared" ref="E8:E32" si="0">C8-D8</f>
        <v>2200</v>
      </c>
      <c r="F8" s="314"/>
      <c r="G8" s="318">
        <f ca="1">DATA!$D$11/1000000</f>
        <v>0.73581305040000011</v>
      </c>
      <c r="H8" s="318">
        <f>C8*DATA!$D$5/1000000</f>
        <v>2.8620901211405818</v>
      </c>
      <c r="I8" s="318">
        <f>(C8*DATA!$D$5*DATA!$D$7)/1000000</f>
        <v>6.4397027725663095E-2</v>
      </c>
      <c r="J8" s="316">
        <f t="shared" ref="J8:J32" ca="1" si="1">SUM(F8:I8)</f>
        <v>3.6623001992662449</v>
      </c>
      <c r="K8" s="321"/>
      <c r="L8" s="316">
        <f>((D8*DATA!$D$23)/1000000)+((E8*DATA!$D$24)/1000000)</f>
        <v>3.8140079999999998</v>
      </c>
      <c r="M8" s="316">
        <f t="shared" ref="M8:M32" si="2">K8+L8</f>
        <v>3.8140079999999998</v>
      </c>
      <c r="N8" s="316">
        <f ca="1">M8-J8</f>
        <v>0.15170780073375489</v>
      </c>
      <c r="O8" s="315">
        <f>1/(1+'[93]Asumsi I'!$C$3)^(KKF!A8)</f>
        <v>0.89285714285714279</v>
      </c>
      <c r="P8" s="316">
        <f ca="1">O8*N8</f>
        <v>0.13545339351228114</v>
      </c>
      <c r="Q8" s="316">
        <f ca="1">Q7+P8</f>
        <v>-31.469831609465214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2640</v>
      </c>
      <c r="D9" s="316">
        <f t="shared" ref="D9:D32" si="5">C9*4/24</f>
        <v>440</v>
      </c>
      <c r="E9" s="316">
        <f t="shared" si="0"/>
        <v>2200</v>
      </c>
      <c r="F9" s="314"/>
      <c r="G9" s="318">
        <f ca="1">DATA!$D$11/1000000</f>
        <v>0.73581305040000011</v>
      </c>
      <c r="H9" s="318">
        <f>C9*DATA!$D$5/1000000</f>
        <v>2.8620901211405818</v>
      </c>
      <c r="I9" s="318">
        <f>(C9*DATA!$D$5*DATA!$D$7)/1000000</f>
        <v>6.4397027725663095E-2</v>
      </c>
      <c r="J9" s="316">
        <f t="shared" ca="1" si="1"/>
        <v>3.6623001992662449</v>
      </c>
      <c r="K9" s="316"/>
      <c r="L9" s="316">
        <f>((D9*DATA!$D$23)/1000000)+((E9*DATA!$D$24)/1000000)</f>
        <v>3.8140079999999998</v>
      </c>
      <c r="M9" s="316">
        <f t="shared" si="2"/>
        <v>3.8140079999999998</v>
      </c>
      <c r="N9" s="316">
        <f t="shared" ref="N9:N32" ca="1" si="6">M9-J9</f>
        <v>0.15170780073375489</v>
      </c>
      <c r="O9" s="322">
        <f>1/(1+'[93]Asumsi I'!$C$3)^(KKF!A9)</f>
        <v>0.79719387755102034</v>
      </c>
      <c r="P9" s="316">
        <f t="shared" ref="P9:P32" ca="1" si="7">O9*N9</f>
        <v>0.1209405299216796</v>
      </c>
      <c r="Q9" s="316">
        <f ca="1">Q8+P9</f>
        <v>-31.348891079543534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2640</v>
      </c>
      <c r="D10" s="316">
        <f t="shared" si="5"/>
        <v>440</v>
      </c>
      <c r="E10" s="316">
        <f t="shared" si="0"/>
        <v>2200</v>
      </c>
      <c r="F10" s="314"/>
      <c r="G10" s="318">
        <f ca="1">DATA!$D$11/1000000</f>
        <v>0.73581305040000011</v>
      </c>
      <c r="H10" s="318">
        <f>C10*DATA!$D$5/1000000</f>
        <v>2.8620901211405818</v>
      </c>
      <c r="I10" s="318">
        <f>(C10*DATA!$D$5*DATA!$D$7)/1000000</f>
        <v>6.4397027725663095E-2</v>
      </c>
      <c r="J10" s="316">
        <f t="shared" ca="1" si="1"/>
        <v>3.6623001992662449</v>
      </c>
      <c r="K10" s="314"/>
      <c r="L10" s="316">
        <f>((D10*DATA!$D$23)/1000000)+((E10*DATA!$D$24)/1000000)</f>
        <v>3.8140079999999998</v>
      </c>
      <c r="M10" s="316">
        <f t="shared" si="2"/>
        <v>3.8140079999999998</v>
      </c>
      <c r="N10" s="316">
        <f t="shared" ca="1" si="6"/>
        <v>0.15170780073375489</v>
      </c>
      <c r="O10" s="315">
        <f>1/(1+'[93]Asumsi I'!$C$3)^(KKF!A10)</f>
        <v>0.71178024781341087</v>
      </c>
      <c r="P10" s="316">
        <f t="shared" ca="1" si="7"/>
        <v>0.10798261600149961</v>
      </c>
      <c r="Q10" s="316">
        <f t="shared" ref="Q10:Q30" ca="1" si="9">Q9+P10</f>
        <v>-31.240908463542034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2640</v>
      </c>
      <c r="D11" s="316">
        <f t="shared" si="5"/>
        <v>440</v>
      </c>
      <c r="E11" s="316">
        <f t="shared" si="0"/>
        <v>2200</v>
      </c>
      <c r="F11" s="314"/>
      <c r="G11" s="318">
        <f ca="1">DATA!$D$11/1000000</f>
        <v>0.73581305040000011</v>
      </c>
      <c r="H11" s="318">
        <f>C11*DATA!$D$5/1000000</f>
        <v>2.8620901211405818</v>
      </c>
      <c r="I11" s="318">
        <f>(C11*DATA!$D$5*DATA!$D$7)/1000000</f>
        <v>6.4397027725663095E-2</v>
      </c>
      <c r="J11" s="316">
        <f t="shared" ca="1" si="1"/>
        <v>3.6623001992662449</v>
      </c>
      <c r="K11" s="314"/>
      <c r="L11" s="316">
        <f>((D11*DATA!$D$23)/1000000)+((E11*DATA!$D$24)/1000000)</f>
        <v>3.8140079999999998</v>
      </c>
      <c r="M11" s="316">
        <f t="shared" si="2"/>
        <v>3.8140079999999998</v>
      </c>
      <c r="N11" s="316">
        <f t="shared" ca="1" si="6"/>
        <v>0.15170780073375489</v>
      </c>
      <c r="O11" s="315">
        <f>1/(1+'[93]Asumsi I'!$C$3)^(KKF!A11)</f>
        <v>0.63551807840483121</v>
      </c>
      <c r="P11" s="316">
        <f t="shared" ca="1" si="7"/>
        <v>9.6413050001338957E-2</v>
      </c>
      <c r="Q11" s="316">
        <f t="shared" ca="1" si="9"/>
        <v>-31.144495413540696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2640</v>
      </c>
      <c r="D12" s="316">
        <f t="shared" si="5"/>
        <v>440</v>
      </c>
      <c r="E12" s="316">
        <f t="shared" si="0"/>
        <v>2200</v>
      </c>
      <c r="F12" s="314"/>
      <c r="G12" s="318">
        <f ca="1">DATA!$D$11/1000000</f>
        <v>0.73581305040000011</v>
      </c>
      <c r="H12" s="318">
        <f>C12*DATA!$D$5/1000000</f>
        <v>2.8620901211405818</v>
      </c>
      <c r="I12" s="318">
        <f>(C12*DATA!$D$5*DATA!$D$7)/1000000</f>
        <v>6.4397027725663095E-2</v>
      </c>
      <c r="J12" s="316">
        <f t="shared" ca="1" si="1"/>
        <v>3.6623001992662449</v>
      </c>
      <c r="K12" s="314"/>
      <c r="L12" s="316">
        <f>((D12*DATA!$D$23)/1000000)+((E12*DATA!$D$24)/1000000)</f>
        <v>3.8140079999999998</v>
      </c>
      <c r="M12" s="316">
        <f t="shared" si="2"/>
        <v>3.8140079999999998</v>
      </c>
      <c r="N12" s="316">
        <f t="shared" ca="1" si="6"/>
        <v>0.15170780073375489</v>
      </c>
      <c r="O12" s="315">
        <f>1/(1+'[93]Asumsi I'!$C$3)^(KKF!A12)</f>
        <v>0.56742685571859919</v>
      </c>
      <c r="P12" s="316">
        <f t="shared" ca="1" si="7"/>
        <v>8.6083080358338337E-2</v>
      </c>
      <c r="Q12" s="316">
        <f t="shared" ca="1" si="9"/>
        <v>-31.058412333182357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2640</v>
      </c>
      <c r="D13" s="316">
        <f t="shared" si="5"/>
        <v>440</v>
      </c>
      <c r="E13" s="316">
        <f t="shared" si="0"/>
        <v>2200</v>
      </c>
      <c r="F13" s="314"/>
      <c r="G13" s="318">
        <f ca="1">DATA!$D$11/1000000</f>
        <v>0.73581305040000011</v>
      </c>
      <c r="H13" s="318">
        <f>C13*DATA!$D$5/1000000</f>
        <v>2.8620901211405818</v>
      </c>
      <c r="I13" s="318">
        <f>(C13*DATA!$D$5*DATA!$D$7)/1000000</f>
        <v>6.4397027725663095E-2</v>
      </c>
      <c r="J13" s="316">
        <f t="shared" ca="1" si="1"/>
        <v>3.6623001992662449</v>
      </c>
      <c r="K13" s="314"/>
      <c r="L13" s="316">
        <f>((D13*DATA!$D$23)/1000000)+((E13*DATA!$D$24)/1000000)</f>
        <v>3.8140079999999998</v>
      </c>
      <c r="M13" s="316">
        <f t="shared" si="2"/>
        <v>3.8140079999999998</v>
      </c>
      <c r="N13" s="316">
        <f t="shared" ca="1" si="6"/>
        <v>0.15170780073375489</v>
      </c>
      <c r="O13" s="315">
        <f>1/(1+'[93]Asumsi I'!$C$3)^(KKF!A13)</f>
        <v>0.50663112117732068</v>
      </c>
      <c r="P13" s="316">
        <f t="shared" ca="1" si="7"/>
        <v>7.6859893177087787E-2</v>
      </c>
      <c r="Q13" s="316">
        <f t="shared" ca="1" si="9"/>
        <v>-30.98155244000527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2640</v>
      </c>
      <c r="D14" s="316">
        <f t="shared" si="5"/>
        <v>440</v>
      </c>
      <c r="E14" s="316">
        <f t="shared" si="0"/>
        <v>2200</v>
      </c>
      <c r="F14" s="314"/>
      <c r="G14" s="318">
        <f ca="1">DATA!$D$11/1000000</f>
        <v>0.73581305040000011</v>
      </c>
      <c r="H14" s="318">
        <f>C14*DATA!$D$5/1000000</f>
        <v>2.8620901211405818</v>
      </c>
      <c r="I14" s="318">
        <f>(C14*DATA!$D$5*DATA!$D$7)/1000000</f>
        <v>6.4397027725663095E-2</v>
      </c>
      <c r="J14" s="316">
        <f t="shared" ca="1" si="1"/>
        <v>3.6623001992662449</v>
      </c>
      <c r="K14" s="314"/>
      <c r="L14" s="316">
        <f>((D14*DATA!$D$23)/1000000)+((E14*DATA!$D$24)/1000000)</f>
        <v>3.8140079999999998</v>
      </c>
      <c r="M14" s="316">
        <f t="shared" si="2"/>
        <v>3.8140079999999998</v>
      </c>
      <c r="N14" s="316">
        <f t="shared" ca="1" si="6"/>
        <v>0.15170780073375489</v>
      </c>
      <c r="O14" s="315">
        <f>1/(1+'[93]Asumsi I'!$C$3)^(KKF!A14)</f>
        <v>0.45234921533689343</v>
      </c>
      <c r="P14" s="316">
        <f t="shared" ca="1" si="7"/>
        <v>6.8624904622399813E-2</v>
      </c>
      <c r="Q14" s="316">
        <f t="shared" ca="1" si="9"/>
        <v>-30.91292753538287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2640</v>
      </c>
      <c r="D15" s="316">
        <f t="shared" si="5"/>
        <v>440</v>
      </c>
      <c r="E15" s="316">
        <f t="shared" si="0"/>
        <v>2200</v>
      </c>
      <c r="F15" s="314"/>
      <c r="G15" s="318">
        <f ca="1">DATA!$D$11/1000000</f>
        <v>0.73581305040000011</v>
      </c>
      <c r="H15" s="318">
        <f>C15*DATA!$D$5/1000000</f>
        <v>2.8620901211405818</v>
      </c>
      <c r="I15" s="318">
        <f>(C15*DATA!$D$5*DATA!$D$7)/1000000</f>
        <v>6.4397027725663095E-2</v>
      </c>
      <c r="J15" s="316">
        <f t="shared" ca="1" si="1"/>
        <v>3.6623001992662449</v>
      </c>
      <c r="K15" s="314"/>
      <c r="L15" s="316">
        <f>((D15*DATA!$D$23)/1000000)+((E15*DATA!$D$24)/1000000)</f>
        <v>3.8140079999999998</v>
      </c>
      <c r="M15" s="316">
        <f t="shared" si="2"/>
        <v>3.8140079999999998</v>
      </c>
      <c r="N15" s="316">
        <f t="shared" ca="1" si="6"/>
        <v>0.15170780073375489</v>
      </c>
      <c r="O15" s="315">
        <f>1/(1+'[93]Asumsi I'!$C$3)^(KKF!A15)</f>
        <v>0.4038832279793691</v>
      </c>
      <c r="P15" s="316">
        <f t="shared" ca="1" si="7"/>
        <v>6.1272236269999829E-2</v>
      </c>
      <c r="Q15" s="316">
        <f t="shared" ca="1" si="9"/>
        <v>-30.851655299112871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2640</v>
      </c>
      <c r="D16" s="316">
        <f t="shared" si="5"/>
        <v>440</v>
      </c>
      <c r="E16" s="316">
        <f t="shared" si="0"/>
        <v>2200</v>
      </c>
      <c r="F16" s="314"/>
      <c r="G16" s="318">
        <f ca="1">DATA!$D$11/1000000</f>
        <v>0.73581305040000011</v>
      </c>
      <c r="H16" s="318">
        <f>C16*DATA!$D$5/1000000</f>
        <v>2.8620901211405818</v>
      </c>
      <c r="I16" s="318">
        <f>(C16*DATA!$D$5*DATA!$D$7)/1000000</f>
        <v>6.4397027725663095E-2</v>
      </c>
      <c r="J16" s="316">
        <f t="shared" ca="1" si="1"/>
        <v>3.6623001992662449</v>
      </c>
      <c r="K16" s="314"/>
      <c r="L16" s="316">
        <f>((D16*DATA!$D$23)/1000000)+((E16*DATA!$D$24)/1000000)</f>
        <v>3.8140079999999998</v>
      </c>
      <c r="M16" s="316">
        <f t="shared" si="2"/>
        <v>3.8140079999999998</v>
      </c>
      <c r="N16" s="316">
        <f t="shared" ca="1" si="6"/>
        <v>0.15170780073375489</v>
      </c>
      <c r="O16" s="315">
        <f>1/(1+'[93]Asumsi I'!$C$3)^(KKF!A16)</f>
        <v>0.36061002498157957</v>
      </c>
      <c r="P16" s="316">
        <f t="shared" ca="1" si="7"/>
        <v>5.4707353812499845E-2</v>
      </c>
      <c r="Q16" s="316">
        <f t="shared" ca="1" si="9"/>
        <v>-30.796947945300371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2640</v>
      </c>
      <c r="D17" s="316">
        <f t="shared" si="5"/>
        <v>440</v>
      </c>
      <c r="E17" s="316">
        <f t="shared" si="0"/>
        <v>2200</v>
      </c>
      <c r="F17" s="314"/>
      <c r="G17" s="318">
        <f ca="1">DATA!$D$11/1000000</f>
        <v>0.73581305040000011</v>
      </c>
      <c r="H17" s="318">
        <f>C17*DATA!$D$5/1000000</f>
        <v>2.8620901211405818</v>
      </c>
      <c r="I17" s="318">
        <f>(C17*DATA!$D$5*DATA!$D$7)/1000000</f>
        <v>6.4397027725663095E-2</v>
      </c>
      <c r="J17" s="316">
        <f t="shared" ca="1" si="1"/>
        <v>3.6623001992662449</v>
      </c>
      <c r="K17" s="314"/>
      <c r="L17" s="316">
        <f>((D17*DATA!$D$23)/1000000)+((E17*DATA!$D$24)/1000000)</f>
        <v>3.8140079999999998</v>
      </c>
      <c r="M17" s="316">
        <f t="shared" si="2"/>
        <v>3.8140079999999998</v>
      </c>
      <c r="N17" s="316">
        <f t="shared" ca="1" si="6"/>
        <v>0.15170780073375489</v>
      </c>
      <c r="O17" s="315">
        <f>1/(1+'[93]Asumsi I'!$C$3)^(KKF!A17)</f>
        <v>0.32197323659069599</v>
      </c>
      <c r="P17" s="316">
        <f t="shared" ca="1" si="7"/>
        <v>4.8845851618303425E-2</v>
      </c>
      <c r="Q17" s="316">
        <f t="shared" ca="1" si="9"/>
        <v>-30.748102093682068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2640</v>
      </c>
      <c r="D18" s="316">
        <f t="shared" si="5"/>
        <v>440</v>
      </c>
      <c r="E18" s="316">
        <f t="shared" si="0"/>
        <v>2200</v>
      </c>
      <c r="F18" s="314"/>
      <c r="G18" s="318">
        <f ca="1">DATA!$D$11/1000000</f>
        <v>0.73581305040000011</v>
      </c>
      <c r="H18" s="318">
        <f>C18*DATA!$D$5/1000000</f>
        <v>2.8620901211405818</v>
      </c>
      <c r="I18" s="318">
        <f>(C18*DATA!$D$5*DATA!$D$7)/1000000</f>
        <v>6.4397027725663095E-2</v>
      </c>
      <c r="J18" s="316">
        <f t="shared" ca="1" si="1"/>
        <v>3.6623001992662449</v>
      </c>
      <c r="K18" s="314"/>
      <c r="L18" s="316">
        <f>((D18*DATA!$D$23)/1000000)+((E18*DATA!$D$24)/1000000)</f>
        <v>3.8140079999999998</v>
      </c>
      <c r="M18" s="316">
        <f t="shared" si="2"/>
        <v>3.8140079999999998</v>
      </c>
      <c r="N18" s="316">
        <f t="shared" ca="1" si="6"/>
        <v>0.15170780073375489</v>
      </c>
      <c r="O18" s="315">
        <f>1/(1+'[93]Asumsi I'!$C$3)^(KKF!A18)</f>
        <v>0.28747610409883567</v>
      </c>
      <c r="P18" s="316">
        <f t="shared" ca="1" si="7"/>
        <v>4.3612367516342343E-2</v>
      </c>
      <c r="Q18" s="316">
        <f t="shared" ca="1" si="9"/>
        <v>-30.704489726165725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2640</v>
      </c>
      <c r="D19" s="316">
        <f t="shared" si="5"/>
        <v>440</v>
      </c>
      <c r="E19" s="316">
        <f t="shared" si="0"/>
        <v>2200</v>
      </c>
      <c r="F19" s="314"/>
      <c r="G19" s="318">
        <f ca="1">DATA!$D$11/1000000</f>
        <v>0.73581305040000011</v>
      </c>
      <c r="H19" s="318">
        <f>C19*DATA!$D$5/1000000</f>
        <v>2.8620901211405818</v>
      </c>
      <c r="I19" s="318">
        <f>(C19*DATA!$D$5*DATA!$D$7)/1000000</f>
        <v>6.4397027725663095E-2</v>
      </c>
      <c r="J19" s="316">
        <f t="shared" ca="1" si="1"/>
        <v>3.6623001992662449</v>
      </c>
      <c r="K19" s="314"/>
      <c r="L19" s="316">
        <f>((D19*DATA!$D$23)/1000000)+((E19*DATA!$D$24)/1000000)</f>
        <v>3.8140079999999998</v>
      </c>
      <c r="M19" s="316">
        <f t="shared" si="2"/>
        <v>3.8140079999999998</v>
      </c>
      <c r="N19" s="316">
        <f t="shared" ca="1" si="6"/>
        <v>0.15170780073375489</v>
      </c>
      <c r="O19" s="315">
        <f>1/(1+'[93]Asumsi I'!$C$3)^(KKF!A19)</f>
        <v>0.25667509294538904</v>
      </c>
      <c r="P19" s="316">
        <f t="shared" ca="1" si="7"/>
        <v>3.8939613853877099E-2</v>
      </c>
      <c r="Q19" s="316">
        <f t="shared" ca="1" si="9"/>
        <v>-30.665550112311848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2640</v>
      </c>
      <c r="D20" s="316">
        <f t="shared" si="5"/>
        <v>440</v>
      </c>
      <c r="E20" s="316">
        <f t="shared" si="0"/>
        <v>2200</v>
      </c>
      <c r="F20" s="314"/>
      <c r="G20" s="318">
        <f ca="1">DATA!$D$11/1000000</f>
        <v>0.73581305040000011</v>
      </c>
      <c r="H20" s="318">
        <f>C20*DATA!$D$5/1000000</f>
        <v>2.8620901211405818</v>
      </c>
      <c r="I20" s="318">
        <f>(C20*DATA!$D$5*DATA!$D$7)/1000000</f>
        <v>6.4397027725663095E-2</v>
      </c>
      <c r="J20" s="316">
        <f t="shared" ca="1" si="1"/>
        <v>3.6623001992662449</v>
      </c>
      <c r="K20" s="314"/>
      <c r="L20" s="316">
        <f>((D20*DATA!$D$23)/1000000)+((E20*DATA!$D$24)/1000000)</f>
        <v>3.8140079999999998</v>
      </c>
      <c r="M20" s="316">
        <f t="shared" si="2"/>
        <v>3.8140079999999998</v>
      </c>
      <c r="N20" s="316">
        <f t="shared" ca="1" si="6"/>
        <v>0.15170780073375489</v>
      </c>
      <c r="O20" s="315">
        <f>1/(1+'[93]Asumsi I'!$C$3)^(KKF!A20)</f>
        <v>0.22917419012981158</v>
      </c>
      <c r="P20" s="316">
        <f t="shared" ca="1" si="7"/>
        <v>3.4767512369533113E-2</v>
      </c>
      <c r="Q20" s="316">
        <f t="shared" ca="1" si="9"/>
        <v>-30.630782599942314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2640</v>
      </c>
      <c r="D21" s="316">
        <f t="shared" si="5"/>
        <v>440</v>
      </c>
      <c r="E21" s="316">
        <f t="shared" si="0"/>
        <v>2200</v>
      </c>
      <c r="F21" s="314"/>
      <c r="G21" s="318">
        <f ca="1">DATA!$D$11/1000000</f>
        <v>0.73581305040000011</v>
      </c>
      <c r="H21" s="318">
        <f>C21*DATA!$D$5/1000000</f>
        <v>2.8620901211405818</v>
      </c>
      <c r="I21" s="318">
        <f>(C21*DATA!$D$5*DATA!$D$7)/1000000</f>
        <v>6.4397027725663095E-2</v>
      </c>
      <c r="J21" s="316">
        <f t="shared" ca="1" si="1"/>
        <v>3.6623001992662449</v>
      </c>
      <c r="K21" s="314"/>
      <c r="L21" s="316">
        <f>((D21*DATA!$D$23)/1000000)+((E21*DATA!$D$24)/1000000)</f>
        <v>3.8140079999999998</v>
      </c>
      <c r="M21" s="316">
        <f t="shared" si="2"/>
        <v>3.8140079999999998</v>
      </c>
      <c r="N21" s="316">
        <f t="shared" ca="1" si="6"/>
        <v>0.15170780073375489</v>
      </c>
      <c r="O21" s="315">
        <f>1/(1+'[93]Asumsi I'!$C$3)^(KKF!A21)</f>
        <v>0.20461981261590317</v>
      </c>
      <c r="P21" s="316">
        <f t="shared" ca="1" si="7"/>
        <v>3.1042421758511705E-2</v>
      </c>
      <c r="Q21" s="316">
        <f t="shared" ca="1" si="9"/>
        <v>-30.599740178183804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2640</v>
      </c>
      <c r="D22" s="316">
        <f t="shared" si="5"/>
        <v>440</v>
      </c>
      <c r="E22" s="316">
        <f t="shared" si="0"/>
        <v>2200</v>
      </c>
      <c r="F22" s="314"/>
      <c r="G22" s="318">
        <f ca="1">DATA!$D$11/1000000</f>
        <v>0.73581305040000011</v>
      </c>
      <c r="H22" s="318">
        <f>C22*DATA!$D$5/1000000</f>
        <v>2.8620901211405818</v>
      </c>
      <c r="I22" s="318">
        <f>(C22*DATA!$D$5*DATA!$D$7)/1000000</f>
        <v>6.4397027725663095E-2</v>
      </c>
      <c r="J22" s="316">
        <f t="shared" ca="1" si="1"/>
        <v>3.6623001992662449</v>
      </c>
      <c r="K22" s="314"/>
      <c r="L22" s="316">
        <f>((D22*DATA!$D$23)/1000000)+((E22*DATA!$D$24)/1000000)</f>
        <v>3.8140079999999998</v>
      </c>
      <c r="M22" s="316">
        <f t="shared" si="2"/>
        <v>3.8140079999999998</v>
      </c>
      <c r="N22" s="316">
        <f t="shared" ca="1" si="6"/>
        <v>0.15170780073375489</v>
      </c>
      <c r="O22" s="315">
        <f>1/(1+'[93]Asumsi I'!$C$3)^(KKF!A22)</f>
        <v>0.18269626126419927</v>
      </c>
      <c r="P22" s="316">
        <f t="shared" ca="1" si="7"/>
        <v>2.7716447998671165E-2</v>
      </c>
      <c r="Q22" s="316">
        <f t="shared" ca="1" si="9"/>
        <v>-30.572023730185133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2640</v>
      </c>
      <c r="D23" s="316">
        <f t="shared" si="5"/>
        <v>440</v>
      </c>
      <c r="E23" s="316">
        <f t="shared" si="0"/>
        <v>2200</v>
      </c>
      <c r="F23" s="314"/>
      <c r="G23" s="318">
        <f ca="1">DATA!$D$11/1000000</f>
        <v>0.73581305040000011</v>
      </c>
      <c r="H23" s="318">
        <f>C23*DATA!$D$5/1000000</f>
        <v>2.8620901211405818</v>
      </c>
      <c r="I23" s="318">
        <f>(C23*DATA!$D$5*DATA!$D$7)/1000000</f>
        <v>6.4397027725663095E-2</v>
      </c>
      <c r="J23" s="316">
        <f t="shared" ca="1" si="1"/>
        <v>3.6623001992662449</v>
      </c>
      <c r="K23" s="314"/>
      <c r="L23" s="316">
        <f>((D23*DATA!$D$23)/1000000)+((E23*DATA!$D$24)/1000000)</f>
        <v>3.8140079999999998</v>
      </c>
      <c r="M23" s="316">
        <f t="shared" si="2"/>
        <v>3.8140079999999998</v>
      </c>
      <c r="N23" s="316">
        <f t="shared" ca="1" si="6"/>
        <v>0.15170780073375489</v>
      </c>
      <c r="O23" s="315">
        <f>1/(1+'[93]Asumsi I'!$C$3)^(KKF!A23)</f>
        <v>0.16312166184303503</v>
      </c>
      <c r="P23" s="316">
        <f t="shared" ca="1" si="7"/>
        <v>2.4746828570242109E-2</v>
      </c>
      <c r="Q23" s="316">
        <f t="shared" ca="1" si="9"/>
        <v>-30.547276901614893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2640</v>
      </c>
      <c r="D24" s="316">
        <f t="shared" si="5"/>
        <v>440</v>
      </c>
      <c r="E24" s="316">
        <f t="shared" si="0"/>
        <v>2200</v>
      </c>
      <c r="F24" s="314"/>
      <c r="G24" s="318">
        <f ca="1">DATA!$D$11/1000000</f>
        <v>0.73581305040000011</v>
      </c>
      <c r="H24" s="318">
        <f>C24*DATA!$D$5/1000000</f>
        <v>2.8620901211405818</v>
      </c>
      <c r="I24" s="318">
        <f>(C24*DATA!$D$5*DATA!$D$7)/1000000</f>
        <v>6.4397027725663095E-2</v>
      </c>
      <c r="J24" s="316">
        <f t="shared" ca="1" si="1"/>
        <v>3.6623001992662449</v>
      </c>
      <c r="K24" s="314"/>
      <c r="L24" s="316">
        <f>((D24*DATA!$D$23)/1000000)+((E24*DATA!$D$24)/1000000)</f>
        <v>3.8140079999999998</v>
      </c>
      <c r="M24" s="316">
        <f t="shared" si="2"/>
        <v>3.8140079999999998</v>
      </c>
      <c r="N24" s="316">
        <f t="shared" ca="1" si="6"/>
        <v>0.15170780073375489</v>
      </c>
      <c r="O24" s="315">
        <f>1/(1+'[93]Asumsi I'!$C$3)^(KKF!A24)</f>
        <v>0.14564434093128129</v>
      </c>
      <c r="P24" s="316">
        <f t="shared" ca="1" si="7"/>
        <v>2.2095382652001883E-2</v>
      </c>
      <c r="Q24" s="316">
        <f t="shared" ca="1" si="9"/>
        <v>-30.525181518962892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2640</v>
      </c>
      <c r="D25" s="316">
        <f t="shared" si="5"/>
        <v>440</v>
      </c>
      <c r="E25" s="316">
        <f t="shared" si="0"/>
        <v>2200</v>
      </c>
      <c r="F25" s="314"/>
      <c r="G25" s="318">
        <f ca="1">DATA!$D$11/1000000</f>
        <v>0.73581305040000011</v>
      </c>
      <c r="H25" s="318">
        <f>C25*DATA!$D$5/1000000</f>
        <v>2.8620901211405818</v>
      </c>
      <c r="I25" s="318">
        <f>(C25*DATA!$D$5*DATA!$D$7)/1000000</f>
        <v>6.4397027725663095E-2</v>
      </c>
      <c r="J25" s="316">
        <f t="shared" ca="1" si="1"/>
        <v>3.6623001992662449</v>
      </c>
      <c r="K25" s="314"/>
      <c r="L25" s="316">
        <f>((D25*DATA!$D$23)/1000000)+((E25*DATA!$D$24)/1000000)</f>
        <v>3.8140079999999998</v>
      </c>
      <c r="M25" s="316">
        <f t="shared" si="2"/>
        <v>3.8140079999999998</v>
      </c>
      <c r="N25" s="316">
        <f t="shared" ca="1" si="6"/>
        <v>0.15170780073375489</v>
      </c>
      <c r="O25" s="315">
        <f>1/(1+'[93]Asumsi I'!$C$3)^(KKF!A25)</f>
        <v>0.13003959011721541</v>
      </c>
      <c r="P25" s="316">
        <f t="shared" ca="1" si="7"/>
        <v>1.9728020225001679E-2</v>
      </c>
      <c r="Q25" s="316">
        <f t="shared" ca="1" si="9"/>
        <v>-30.505453498737889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2640</v>
      </c>
      <c r="D26" s="316">
        <f t="shared" si="5"/>
        <v>440</v>
      </c>
      <c r="E26" s="316">
        <f t="shared" si="0"/>
        <v>2200</v>
      </c>
      <c r="F26" s="314"/>
      <c r="G26" s="318">
        <f ca="1">DATA!$D$11/1000000</f>
        <v>0.73581305040000011</v>
      </c>
      <c r="H26" s="318">
        <f>C26*DATA!$D$5/1000000</f>
        <v>2.8620901211405818</v>
      </c>
      <c r="I26" s="318">
        <f>(C26*DATA!$D$5*DATA!$D$7)/1000000</f>
        <v>6.4397027725663095E-2</v>
      </c>
      <c r="J26" s="316">
        <f t="shared" ca="1" si="1"/>
        <v>3.6623001992662449</v>
      </c>
      <c r="K26" s="314"/>
      <c r="L26" s="316">
        <f>((D26*DATA!$D$23)/1000000)+((E26*DATA!$D$24)/1000000)</f>
        <v>3.8140079999999998</v>
      </c>
      <c r="M26" s="316">
        <f t="shared" si="2"/>
        <v>3.8140079999999998</v>
      </c>
      <c r="N26" s="316">
        <f t="shared" ca="1" si="6"/>
        <v>0.15170780073375489</v>
      </c>
      <c r="O26" s="315">
        <f>1/(1+'[93]Asumsi I'!$C$3)^(KKF!A26)</f>
        <v>0.1161067768903709</v>
      </c>
      <c r="P26" s="316">
        <f t="shared" ca="1" si="7"/>
        <v>1.7614303772322926E-2</v>
      </c>
      <c r="Q26" s="316">
        <f t="shared" ca="1" si="9"/>
        <v>-30.487839194965566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2640</v>
      </c>
      <c r="D27" s="316">
        <f t="shared" si="5"/>
        <v>440</v>
      </c>
      <c r="E27" s="316">
        <f t="shared" si="0"/>
        <v>2200</v>
      </c>
      <c r="F27" s="314"/>
      <c r="G27" s="318">
        <f ca="1">DATA!$D$11/1000000</f>
        <v>0.73581305040000011</v>
      </c>
      <c r="H27" s="318">
        <f>C27*DATA!$D$5/1000000</f>
        <v>2.8620901211405818</v>
      </c>
      <c r="I27" s="318">
        <f>(C27*DATA!$D$5*DATA!$D$7)/1000000</f>
        <v>6.4397027725663095E-2</v>
      </c>
      <c r="J27" s="316">
        <f t="shared" ca="1" si="1"/>
        <v>3.6623001992662449</v>
      </c>
      <c r="K27" s="314"/>
      <c r="L27" s="316">
        <f>((D27*DATA!$D$23)/1000000)+((E27*DATA!$D$24)/1000000)</f>
        <v>3.8140079999999998</v>
      </c>
      <c r="M27" s="316">
        <f t="shared" si="2"/>
        <v>3.8140079999999998</v>
      </c>
      <c r="N27" s="316">
        <f t="shared" ca="1" si="6"/>
        <v>0.15170780073375489</v>
      </c>
      <c r="O27" s="315">
        <f>1/(1+'[93]Asumsi I'!$C$3)^(KKF!A27)</f>
        <v>0.1036667650806883</v>
      </c>
      <c r="P27" s="316">
        <f t="shared" ca="1" si="7"/>
        <v>1.572705693957404E-2</v>
      </c>
      <c r="Q27" s="316">
        <f t="shared" ca="1" si="9"/>
        <v>-30.472112138025992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2640</v>
      </c>
      <c r="D28" s="316">
        <f t="shared" si="5"/>
        <v>440</v>
      </c>
      <c r="E28" s="316">
        <f t="shared" si="0"/>
        <v>2200</v>
      </c>
      <c r="F28" s="314"/>
      <c r="G28" s="318">
        <f ca="1">DATA!$D$11/1000000</f>
        <v>0.73581305040000011</v>
      </c>
      <c r="H28" s="318">
        <f>C28*DATA!$D$5/1000000</f>
        <v>2.8620901211405818</v>
      </c>
      <c r="I28" s="318">
        <f>(C28*DATA!$D$5*DATA!$D$7)/1000000</f>
        <v>6.4397027725663095E-2</v>
      </c>
      <c r="J28" s="316">
        <f t="shared" ca="1" si="1"/>
        <v>3.6623001992662449</v>
      </c>
      <c r="K28" s="314"/>
      <c r="L28" s="316">
        <f>((D28*DATA!$D$23)/1000000)+((E28*DATA!$D$24)/1000000)</f>
        <v>3.8140079999999998</v>
      </c>
      <c r="M28" s="316">
        <f t="shared" si="2"/>
        <v>3.8140079999999998</v>
      </c>
      <c r="N28" s="316">
        <f t="shared" ca="1" si="6"/>
        <v>0.15170780073375489</v>
      </c>
      <c r="O28" s="315">
        <f>1/(1+'[93]Asumsi I'!$C$3)^(KKF!A28)</f>
        <v>9.2559611679185971E-2</v>
      </c>
      <c r="P28" s="316">
        <f t="shared" ca="1" si="7"/>
        <v>1.4042015124619677E-2</v>
      </c>
      <c r="Q28" s="316">
        <f t="shared" ca="1" si="9"/>
        <v>-30.458070122901372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2640</v>
      </c>
      <c r="D29" s="316">
        <f t="shared" si="5"/>
        <v>440</v>
      </c>
      <c r="E29" s="316">
        <f t="shared" si="0"/>
        <v>2200</v>
      </c>
      <c r="F29" s="314"/>
      <c r="G29" s="318">
        <f ca="1">DATA!$D$11/1000000</f>
        <v>0.73581305040000011</v>
      </c>
      <c r="H29" s="318">
        <f>C29*DATA!$D$5/1000000</f>
        <v>2.8620901211405818</v>
      </c>
      <c r="I29" s="318">
        <f>(C29*DATA!$D$5*DATA!$D$7)/1000000</f>
        <v>6.4397027725663095E-2</v>
      </c>
      <c r="J29" s="316">
        <f t="shared" ca="1" si="1"/>
        <v>3.6623001992662449</v>
      </c>
      <c r="K29" s="314"/>
      <c r="L29" s="316">
        <f>((D29*DATA!$D$23)/1000000)+((E29*DATA!$D$24)/1000000)</f>
        <v>3.8140079999999998</v>
      </c>
      <c r="M29" s="316">
        <f t="shared" si="2"/>
        <v>3.8140079999999998</v>
      </c>
      <c r="N29" s="316">
        <f t="shared" ca="1" si="6"/>
        <v>0.15170780073375489</v>
      </c>
      <c r="O29" s="315">
        <f>1/(1+'[93]Asumsi I'!$C$3)^(KKF!A29)</f>
        <v>8.2642510427844609E-2</v>
      </c>
      <c r="P29" s="316">
        <f t="shared" ca="1" si="7"/>
        <v>1.2537513504124711E-2</v>
      </c>
      <c r="Q29" s="316">
        <f t="shared" ca="1" si="9"/>
        <v>-30.445532609397247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2640</v>
      </c>
      <c r="D30" s="316">
        <f t="shared" si="5"/>
        <v>440</v>
      </c>
      <c r="E30" s="316">
        <f t="shared" si="0"/>
        <v>2200</v>
      </c>
      <c r="F30" s="314"/>
      <c r="G30" s="318">
        <f ca="1">DATA!$D$11/1000000</f>
        <v>0.73581305040000011</v>
      </c>
      <c r="H30" s="318">
        <f>C30*DATA!$D$5/1000000</f>
        <v>2.8620901211405818</v>
      </c>
      <c r="I30" s="318">
        <f>(C30*DATA!$D$5*DATA!$D$7)/1000000</f>
        <v>6.4397027725663095E-2</v>
      </c>
      <c r="J30" s="316">
        <f t="shared" ca="1" si="1"/>
        <v>3.6623001992662449</v>
      </c>
      <c r="K30" s="314"/>
      <c r="L30" s="316">
        <f>((D30*DATA!$D$23)/1000000)+((E30*DATA!$D$24)/1000000)</f>
        <v>3.8140079999999998</v>
      </c>
      <c r="M30" s="316">
        <f t="shared" si="2"/>
        <v>3.8140079999999998</v>
      </c>
      <c r="N30" s="316">
        <f t="shared" ca="1" si="6"/>
        <v>0.15170780073375489</v>
      </c>
      <c r="O30" s="315">
        <f>1/(1+'[93]Asumsi I'!$C$3)^(KKF!A30)</f>
        <v>7.3787955739146982E-2</v>
      </c>
      <c r="P30" s="316">
        <f t="shared" ca="1" si="7"/>
        <v>1.1194208485825636E-2</v>
      </c>
      <c r="Q30" s="316">
        <f t="shared" ca="1" si="9"/>
        <v>-30.434338400911422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2640</v>
      </c>
      <c r="D31" s="316">
        <f t="shared" si="5"/>
        <v>440</v>
      </c>
      <c r="E31" s="316">
        <f t="shared" si="0"/>
        <v>2200</v>
      </c>
      <c r="F31" s="314"/>
      <c r="G31" s="318">
        <f ca="1">DATA!$D$11/1000000</f>
        <v>0.73581305040000011</v>
      </c>
      <c r="H31" s="318">
        <f>C31*DATA!$D$5/1000000</f>
        <v>2.8620901211405818</v>
      </c>
      <c r="I31" s="318">
        <f>(C31*DATA!$D$5*DATA!$D$7)/1000000</f>
        <v>6.4397027725663095E-2</v>
      </c>
      <c r="J31" s="316">
        <f t="shared" ca="1" si="1"/>
        <v>3.6623001992662449</v>
      </c>
      <c r="K31" s="314"/>
      <c r="L31" s="316">
        <f>((D31*DATA!$D$23)/1000000)+((E31*DATA!$D$24)/1000000)</f>
        <v>3.8140079999999998</v>
      </c>
      <c r="M31" s="316">
        <f t="shared" si="2"/>
        <v>3.8140079999999998</v>
      </c>
      <c r="N31" s="316">
        <f t="shared" ca="1" si="6"/>
        <v>0.15170780073375489</v>
      </c>
      <c r="O31" s="315">
        <f>1/(1+'[93]Asumsi I'!$C$3)^(KKF!A31)</f>
        <v>6.5882103338524081E-2</v>
      </c>
      <c r="P31" s="316">
        <f t="shared" ca="1" si="7"/>
        <v>9.9948290052014593E-3</v>
      </c>
      <c r="Q31" s="316">
        <f ca="1">Q30+P31</f>
        <v>-30.424343571906221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2640</v>
      </c>
      <c r="D32" s="316">
        <f t="shared" si="5"/>
        <v>440</v>
      </c>
      <c r="E32" s="316">
        <f t="shared" si="0"/>
        <v>2200</v>
      </c>
      <c r="F32" s="314"/>
      <c r="G32" s="318">
        <f ca="1">DATA!$D$11/1000000</f>
        <v>0.73581305040000011</v>
      </c>
      <c r="H32" s="318">
        <f>C32*DATA!$D$5/1000000</f>
        <v>2.8620901211405818</v>
      </c>
      <c r="I32" s="318">
        <f>(C32*DATA!$D$5*DATA!$D$7)/1000000</f>
        <v>6.4397027725663095E-2</v>
      </c>
      <c r="J32" s="316">
        <f t="shared" ca="1" si="1"/>
        <v>3.6623001992662449</v>
      </c>
      <c r="K32" s="314"/>
      <c r="L32" s="316">
        <f>((D32*DATA!$D$23)/1000000)+((E32*DATA!$D$24)/1000000)</f>
        <v>3.8140079999999998</v>
      </c>
      <c r="M32" s="316">
        <f t="shared" si="2"/>
        <v>3.8140079999999998</v>
      </c>
      <c r="N32" s="316">
        <f t="shared" ca="1" si="6"/>
        <v>0.15170780073375489</v>
      </c>
      <c r="O32" s="315">
        <f>1/(1+'[93]Asumsi I'!$C$3)^(KKF!A32)</f>
        <v>5.8823306552253637E-2</v>
      </c>
      <c r="P32" s="316">
        <f t="shared" ca="1" si="7"/>
        <v>8.9239544689298737E-3</v>
      </c>
      <c r="Q32" s="316">
        <f ca="1">Q31+P32</f>
        <v>-30.415419617437291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4" t="s">
        <v>1374</v>
      </c>
      <c r="G33" s="604"/>
      <c r="H33" s="604"/>
      <c r="I33" s="324"/>
      <c r="J33" s="325">
        <f ca="1">SUM(J7:J32)</f>
        <v>131.03496198463358</v>
      </c>
      <c r="K33" s="604" t="s">
        <v>1375</v>
      </c>
      <c r="L33" s="604"/>
      <c r="M33" s="325">
        <f>SUM(M7:M32)</f>
        <v>103.22237200000002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260.22034998885715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0.78774680006474052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-27.15662465842615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-0.12303036436691506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3" priority="1" stopIfTrue="1" operator="greaterThanOrEqual">
      <formula>$F$7</formula>
    </cfRule>
    <cfRule type="cellIs" dxfId="22" priority="2" stopIfTrue="1" operator="lessThan">
      <formula>$F$7</formula>
    </cfRule>
  </conditionalFormatting>
  <conditionalFormatting sqref="Q7:Q32">
    <cfRule type="cellIs" dxfId="21" priority="3" operator="lessThan">
      <formula>0</formula>
    </cfRule>
    <cfRule type="cellIs" dxfId="20" priority="4" operator="lessThan">
      <formula>0</formula>
    </cfRule>
    <cfRule type="cellIs" dxfId="19" priority="5" operator="lessThan">
      <formula>-6395.81</formula>
    </cfRule>
    <cfRule type="cellIs" dxfId="1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0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O31" sqref="N31:O31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7" t="s">
        <v>1036</v>
      </c>
      <c r="P3" s="627"/>
      <c r="Q3" s="346"/>
      <c r="T3" s="344"/>
      <c r="U3" s="345" t="s">
        <v>1041</v>
      </c>
      <c r="V3" s="344"/>
    </row>
    <row r="4" spans="1:22" ht="15.75" customHeight="1">
      <c r="B4" s="628" t="s">
        <v>1023</v>
      </c>
      <c r="C4" s="628"/>
      <c r="D4" s="628"/>
      <c r="E4" s="628"/>
      <c r="F4" s="628"/>
      <c r="G4" s="628"/>
      <c r="H4" s="628"/>
      <c r="I4" s="628"/>
      <c r="J4" s="628"/>
      <c r="K4" s="628"/>
      <c r="O4" s="627"/>
      <c r="P4" s="62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1" t="str">
        <f>DATA!D14</f>
        <v>TSEL COE112 DS KENDUREN</v>
      </c>
      <c r="H6" s="611"/>
      <c r="I6" s="611"/>
      <c r="J6" s="611"/>
      <c r="K6" s="611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0" t="s">
        <v>0</v>
      </c>
      <c r="C11" s="632" t="s">
        <v>1</v>
      </c>
      <c r="D11" s="621" t="s">
        <v>42</v>
      </c>
      <c r="E11" s="621" t="s">
        <v>43</v>
      </c>
      <c r="F11" s="621" t="s">
        <v>2</v>
      </c>
      <c r="G11" s="635" t="s">
        <v>41</v>
      </c>
      <c r="H11" s="621" t="s">
        <v>3</v>
      </c>
      <c r="I11" s="621"/>
      <c r="J11" s="621"/>
      <c r="K11" s="622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1"/>
      <c r="C12" s="633"/>
      <c r="D12" s="625"/>
      <c r="E12" s="625"/>
      <c r="F12" s="625"/>
      <c r="G12" s="636"/>
      <c r="H12" s="623" t="s">
        <v>46</v>
      </c>
      <c r="I12" s="623" t="s">
        <v>5</v>
      </c>
      <c r="J12" s="625" t="s">
        <v>47</v>
      </c>
      <c r="K12" s="626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1"/>
      <c r="C13" s="634"/>
      <c r="D13" s="625"/>
      <c r="E13" s="625"/>
      <c r="F13" s="625"/>
      <c r="G13" s="637"/>
      <c r="H13" s="624"/>
      <c r="I13" s="624"/>
      <c r="J13" s="625"/>
      <c r="K13" s="626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1619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8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24" ca="1" si="12">IF(OR(D18="MDU",D18="MDU-KD"),(IF($O$3="RAB NON MDU","PLN KD",G18*F18)),0)</f>
        <v>0</v>
      </c>
      <c r="I18" s="361">
        <f t="shared" ref="I18:I24" ca="1" si="13">IF(D18="HDW",G18*F18,0)</f>
        <v>0</v>
      </c>
      <c r="J18" s="361">
        <f t="shared" ref="J18:J24" ca="1" si="14">IF(D18="JASA",G18*F18,0)</f>
        <v>0</v>
      </c>
      <c r="K18" s="362">
        <f t="shared" ref="K18:K24" ca="1" si="15">SUM(H18:J18)</f>
        <v>0</v>
      </c>
      <c r="L18" s="342"/>
      <c r="M18" s="342"/>
      <c r="N18" s="369"/>
      <c r="O18" s="344"/>
      <c r="P18" s="397"/>
      <c r="Q18" s="344"/>
    </row>
    <row r="19" spans="1:22" s="365" customFormat="1">
      <c r="A19" s="336"/>
      <c r="B19" s="509" t="s">
        <v>1035</v>
      </c>
      <c r="C19" s="510" t="s">
        <v>1620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1">
        <v>2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  <c r="L19" s="342"/>
      <c r="M19" s="342"/>
      <c r="N19" s="369"/>
      <c r="O19" s="344"/>
      <c r="P19" s="397"/>
      <c r="Q19" s="344"/>
    </row>
    <row r="20" spans="1:22" s="365" customFormat="1">
      <c r="A20" s="336"/>
      <c r="B20" s="509">
        <v>1</v>
      </c>
      <c r="C20" s="510" t="s">
        <v>595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501">
        <f>F19*1</f>
        <v>2</v>
      </c>
      <c r="G20" s="360">
        <f ca="1">IF(ISERROR(OFFSET('HARGA SATUAN'!$I$6,MATCH(RAB!C20,'HARGA SATUAN'!$C$7:$C$1492,0),0)),0,OFFSET('HARGA SATUAN'!$I$6,MATCH(RAB!C20,'HARGA SATUAN'!$C$7:$C$1492,0),0))</f>
        <v>78500</v>
      </c>
      <c r="H20" s="361">
        <f t="shared" ca="1" si="12"/>
        <v>0</v>
      </c>
      <c r="I20" s="361">
        <f t="shared" ca="1" si="13"/>
        <v>157000</v>
      </c>
      <c r="J20" s="361">
        <f t="shared" ca="1" si="14"/>
        <v>0</v>
      </c>
      <c r="K20" s="362">
        <f t="shared" ca="1" si="15"/>
        <v>157000</v>
      </c>
      <c r="L20" s="342"/>
      <c r="M20" s="342"/>
      <c r="N20" s="369"/>
      <c r="O20" s="344"/>
      <c r="P20" s="397"/>
      <c r="Q20" s="344"/>
    </row>
    <row r="21" spans="1:22" s="365" customFormat="1">
      <c r="A21" s="336"/>
      <c r="B21" s="509">
        <v>2</v>
      </c>
      <c r="C21" s="510" t="s">
        <v>229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501">
        <f>F19*1</f>
        <v>2</v>
      </c>
      <c r="G21" s="360">
        <f ca="1">IF(ISERROR(OFFSET('HARGA SATUAN'!$I$6,MATCH(RAB!C21,'HARGA SATUAN'!$C$7:$C$1492,0),0)),0,OFFSET('HARGA SATUAN'!$I$6,MATCH(RAB!C21,'HARGA SATUAN'!$C$7:$C$1492,0),0))</f>
        <v>4212</v>
      </c>
      <c r="H21" s="361">
        <f t="shared" ca="1" si="12"/>
        <v>0</v>
      </c>
      <c r="I21" s="361">
        <f t="shared" ca="1" si="13"/>
        <v>8424</v>
      </c>
      <c r="J21" s="361">
        <f t="shared" ca="1" si="14"/>
        <v>0</v>
      </c>
      <c r="K21" s="362">
        <f t="shared" ca="1" si="15"/>
        <v>8424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09">
        <v>3</v>
      </c>
      <c r="C22" s="510" t="s">
        <v>266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Mtr</v>
      </c>
      <c r="F22" s="501">
        <f>F19*1</f>
        <v>2</v>
      </c>
      <c r="G22" s="360">
        <f ca="1">IF(ISERROR(OFFSET('HARGA SATUAN'!$I$6,MATCH(RAB!C22,'HARGA SATUAN'!$C$7:$C$1492,0),0)),0,OFFSET('HARGA SATUAN'!$I$6,MATCH(RAB!C22,'HARGA SATUAN'!$C$7:$C$1492,0),0))</f>
        <v>23310</v>
      </c>
      <c r="H22" s="361">
        <f t="shared" ca="1" si="12"/>
        <v>0</v>
      </c>
      <c r="I22" s="361">
        <f t="shared" ca="1" si="13"/>
        <v>46620</v>
      </c>
      <c r="J22" s="361">
        <f t="shared" ca="1" si="14"/>
        <v>0</v>
      </c>
      <c r="K22" s="362">
        <f t="shared" ca="1" si="15"/>
        <v>46620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09">
        <v>4</v>
      </c>
      <c r="C23" s="510" t="s">
        <v>35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F19*1</f>
        <v>2</v>
      </c>
      <c r="G23" s="360">
        <f ca="1">IF(ISERROR(OFFSET('HARGA SATUAN'!$I$6,MATCH(RAB!C23,'HARGA SATUAN'!$C$7:$C$1492,0),0)),0,OFFSET('HARGA SATUAN'!$I$6,MATCH(RAB!C23,'HARGA SATUAN'!$C$7:$C$1492,0),0))</f>
        <v>2300</v>
      </c>
      <c r="H23" s="361">
        <f t="shared" ca="1" si="12"/>
        <v>0</v>
      </c>
      <c r="I23" s="361">
        <f t="shared" ca="1" si="13"/>
        <v>4600</v>
      </c>
      <c r="J23" s="361">
        <f t="shared" ca="1" si="14"/>
        <v>0</v>
      </c>
      <c r="K23" s="362">
        <f t="shared" ca="1" si="15"/>
        <v>4600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09">
        <v>5</v>
      </c>
      <c r="C24" s="510" t="s">
        <v>630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501">
        <f>F19*1</f>
        <v>2</v>
      </c>
      <c r="G24" s="360">
        <f ca="1">IF(ISERROR(OFFSET('HARGA SATUAN'!$I$6,MATCH(RAB!C24,'HARGA SATUAN'!$C$7:$C$1492,0),0)),0,OFFSET('HARGA SATUAN'!$I$6,MATCH(RAB!C24,'HARGA SATUAN'!$C$7:$C$1492,0),0))</f>
        <v>35700</v>
      </c>
      <c r="H24" s="361">
        <f t="shared" ca="1" si="12"/>
        <v>0</v>
      </c>
      <c r="I24" s="361">
        <f t="shared" ca="1" si="13"/>
        <v>0</v>
      </c>
      <c r="J24" s="361">
        <f t="shared" ca="1" si="14"/>
        <v>71400</v>
      </c>
      <c r="K24" s="362">
        <f t="shared" ca="1" si="15"/>
        <v>71400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09"/>
      <c r="C25" s="510"/>
      <c r="D25" s="358"/>
      <c r="E25" s="359"/>
      <c r="F25" s="501"/>
      <c r="G25" s="360"/>
      <c r="H25" s="361"/>
      <c r="I25" s="361"/>
      <c r="J25" s="361"/>
      <c r="K25" s="362"/>
      <c r="L25" s="342"/>
      <c r="M25" s="342"/>
      <c r="N25" s="369"/>
      <c r="O25" s="344"/>
      <c r="P25" s="397"/>
      <c r="Q25" s="344"/>
    </row>
    <row r="26" spans="1:22">
      <c r="B26" s="366" t="s">
        <v>1614</v>
      </c>
      <c r="C26" s="367" t="s">
        <v>1616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501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ref="H26" ca="1" si="16">IF(OR(D26="MDU",D26="MDU-KD"),(IF($O$3="RAB NON MDU","PLN KD",G26*F26)),0)</f>
        <v>0</v>
      </c>
      <c r="I26" s="361">
        <f t="shared" ref="I26" ca="1" si="17">IF(D26="HDW",G26*F26,0)</f>
        <v>0</v>
      </c>
      <c r="J26" s="361">
        <f t="shared" ref="J26" ca="1" si="18">IF(D26="JASA",G26*F26,0)</f>
        <v>0</v>
      </c>
      <c r="K26" s="362">
        <f t="shared" ref="K26" ca="1" si="19">SUM(H26:J26)</f>
        <v>0</v>
      </c>
    </row>
    <row r="27" spans="1:22">
      <c r="B27" s="494"/>
      <c r="C27" s="497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1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ref="H27:H61" ca="1" si="20">IF(OR(D27="MDU",D27="MDU-KD"),(IF($O$3="RAB NON MDU","PLN KD",G27*F27)),0)</f>
        <v>0</v>
      </c>
      <c r="I27" s="361">
        <f t="shared" ref="I27:I61" ca="1" si="21">IF(D27="HDW",G27*F27,0)</f>
        <v>0</v>
      </c>
      <c r="J27" s="361">
        <f t="shared" ref="J27:J61" ca="1" si="22">IF(D27="JASA",G27*F27,0)</f>
        <v>0</v>
      </c>
      <c r="K27" s="362">
        <f t="shared" ref="K27:K61" ca="1" si="23">SUM(H27:J27)</f>
        <v>0</v>
      </c>
    </row>
    <row r="28" spans="1:22">
      <c r="B28" s="708" t="s">
        <v>1035</v>
      </c>
      <c r="C28" s="709" t="s">
        <v>1624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23">
        <v>1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20"/>
        <v>0</v>
      </c>
      <c r="I28" s="361">
        <f t="shared" ca="1" si="21"/>
        <v>0</v>
      </c>
      <c r="J28" s="361">
        <f t="shared" ca="1" si="22"/>
        <v>0</v>
      </c>
      <c r="K28" s="362">
        <f t="shared" ca="1" si="23"/>
        <v>0</v>
      </c>
    </row>
    <row r="29" spans="1:22">
      <c r="B29" s="708">
        <v>1</v>
      </c>
      <c r="C29" s="710" t="s">
        <v>532</v>
      </c>
      <c r="D29" s="358" t="str">
        <f ca="1">IF(ISERROR(OFFSET('HARGA SATUAN'!$D$6,MATCH(RAB!C29,'HARGA SATUAN'!$C$7:$C$1492,0),0)),"",OFFSET('HARGA SATUAN'!$D$6,MATCH(RAB!C29,'HARGA SATUAN'!$C$7:$C$1492,0),0))</f>
        <v>MDU-KD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711">
        <f>F28*1</f>
        <v>1</v>
      </c>
      <c r="G29" s="360">
        <f ca="1">IF(ISERROR(OFFSET('HARGA SATUAN'!$I$6,MATCH(RAB!C29,'HARGA SATUAN'!$C$7:$C$1492,0),0)),0,OFFSET('HARGA SATUAN'!$I$6,MATCH(RAB!C29,'HARGA SATUAN'!$C$7:$C$1492,0),0))</f>
        <v>27845400</v>
      </c>
      <c r="H29" s="361">
        <f t="shared" ca="1" si="20"/>
        <v>27845400</v>
      </c>
      <c r="I29" s="361">
        <f t="shared" ca="1" si="21"/>
        <v>0</v>
      </c>
      <c r="J29" s="361">
        <f t="shared" ca="1" si="22"/>
        <v>0</v>
      </c>
      <c r="K29" s="362">
        <f t="shared" ca="1" si="23"/>
        <v>27845400</v>
      </c>
    </row>
    <row r="30" spans="1:22">
      <c r="B30" s="502">
        <v>2</v>
      </c>
      <c r="C30" s="710" t="s">
        <v>1625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711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0"/>
        <v>0</v>
      </c>
      <c r="I30" s="361">
        <f t="shared" ca="1" si="21"/>
        <v>0</v>
      </c>
      <c r="J30" s="361">
        <f t="shared" ca="1" si="22"/>
        <v>0</v>
      </c>
      <c r="K30" s="362">
        <f t="shared" ca="1" si="23"/>
        <v>0</v>
      </c>
    </row>
    <row r="31" spans="1:22">
      <c r="B31" s="502"/>
      <c r="C31" s="710" t="s">
        <v>65</v>
      </c>
      <c r="D31" s="358" t="str">
        <f ca="1">IF(ISERROR(OFFSET('HARGA SATUAN'!$D$6,MATCH(RAB!C31,'HARGA SATUAN'!$C$7:$C$1492,0),0)),"",OFFSET('HARGA SATUAN'!$D$6,MATCH(RAB!C31,'HARGA SATUAN'!$C$7:$C$1492,0),0))</f>
        <v>MDU-KD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711">
        <f>F28*2</f>
        <v>2</v>
      </c>
      <c r="G31" s="360">
        <f ca="1">IF(ISERROR(OFFSET('HARGA SATUAN'!$I$6,MATCH(RAB!C31,'HARGA SATUAN'!$C$7:$C$1492,0),0)),0,OFFSET('HARGA SATUAN'!$I$6,MATCH(RAB!C31,'HARGA SATUAN'!$C$7:$C$1492,0),0))</f>
        <v>14200</v>
      </c>
      <c r="H31" s="361">
        <f t="shared" ca="1" si="20"/>
        <v>28400</v>
      </c>
      <c r="I31" s="361">
        <f t="shared" ca="1" si="21"/>
        <v>0</v>
      </c>
      <c r="J31" s="361">
        <f t="shared" ca="1" si="22"/>
        <v>0</v>
      </c>
      <c r="K31" s="362">
        <f t="shared" ca="1" si="23"/>
        <v>28400</v>
      </c>
    </row>
    <row r="32" spans="1:22">
      <c r="B32" s="708"/>
      <c r="C32" s="109" t="s">
        <v>1402</v>
      </c>
      <c r="D32" s="358" t="str">
        <f ca="1">IF(ISERROR(OFFSET('HARGA SATUAN'!$D$6,MATCH(RAB!C32,'HARGA SATUAN'!$C$7:$C$1492,0),0)),"",OFFSET('HARGA SATUAN'!$D$6,MATCH(RAB!C32,'HARGA SATUAN'!$C$7:$C$1492,0),0))</f>
        <v>MDU-KD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711">
        <f>F28*2</f>
        <v>2</v>
      </c>
      <c r="G32" s="360">
        <f ca="1">IF(ISERROR(OFFSET('HARGA SATUAN'!$I$6,MATCH(RAB!C32,'HARGA SATUAN'!$C$7:$C$1492,0),0)),0,OFFSET('HARGA SATUAN'!$I$6,MATCH(RAB!C32,'HARGA SATUAN'!$C$7:$C$1492,0),0))</f>
        <v>53300</v>
      </c>
      <c r="H32" s="361">
        <f t="shared" ca="1" si="20"/>
        <v>106600</v>
      </c>
      <c r="I32" s="361">
        <f t="shared" ca="1" si="21"/>
        <v>0</v>
      </c>
      <c r="J32" s="361">
        <f t="shared" ca="1" si="22"/>
        <v>0</v>
      </c>
      <c r="K32" s="362">
        <f t="shared" ca="1" si="23"/>
        <v>106600</v>
      </c>
    </row>
    <row r="33" spans="2:11">
      <c r="B33" s="708">
        <v>3</v>
      </c>
      <c r="C33" s="710" t="s">
        <v>207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711">
        <f>F28*1</f>
        <v>1</v>
      </c>
      <c r="G33" s="360">
        <f ca="1">IF(ISERROR(OFFSET('HARGA SATUAN'!$I$6,MATCH(RAB!C33,'HARGA SATUAN'!$C$7:$C$1492,0),0)),0,OFFSET('HARGA SATUAN'!$I$6,MATCH(RAB!C33,'HARGA SATUAN'!$C$7:$C$1492,0),0))</f>
        <v>87000</v>
      </c>
      <c r="H33" s="361">
        <f t="shared" ca="1" si="20"/>
        <v>0</v>
      </c>
      <c r="I33" s="361">
        <f t="shared" ca="1" si="21"/>
        <v>87000</v>
      </c>
      <c r="J33" s="361">
        <f t="shared" ca="1" si="22"/>
        <v>0</v>
      </c>
      <c r="K33" s="362">
        <f t="shared" ca="1" si="23"/>
        <v>87000</v>
      </c>
    </row>
    <row r="34" spans="2:11">
      <c r="B34" s="708">
        <v>4</v>
      </c>
      <c r="C34" s="710" t="s">
        <v>176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711">
        <f>F28*2</f>
        <v>2</v>
      </c>
      <c r="G34" s="360">
        <f ca="1">IF(ISERROR(OFFSET('HARGA SATUAN'!$I$6,MATCH(RAB!C34,'HARGA SATUAN'!$C$7:$C$1492,0),0)),0,OFFSET('HARGA SATUAN'!$I$6,MATCH(RAB!C34,'HARGA SATUAN'!$C$7:$C$1492,0),0))</f>
        <v>404600</v>
      </c>
      <c r="H34" s="361">
        <f t="shared" ca="1" si="20"/>
        <v>0</v>
      </c>
      <c r="I34" s="361">
        <f t="shared" ca="1" si="21"/>
        <v>809200</v>
      </c>
      <c r="J34" s="361">
        <f t="shared" ca="1" si="22"/>
        <v>0</v>
      </c>
      <c r="K34" s="362">
        <f t="shared" ca="1" si="23"/>
        <v>809200</v>
      </c>
    </row>
    <row r="35" spans="2:11">
      <c r="B35" s="708">
        <v>5</v>
      </c>
      <c r="C35" s="710" t="s">
        <v>184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711">
        <f>F28*3</f>
        <v>3</v>
      </c>
      <c r="G35" s="360">
        <f ca="1">IF(ISERROR(OFFSET('HARGA SATUAN'!$I$6,MATCH(RAB!C35,'HARGA SATUAN'!$C$7:$C$1492,0),0)),0,OFFSET('HARGA SATUAN'!$I$6,MATCH(RAB!C35,'HARGA SATUAN'!$C$7:$C$1492,0),0))</f>
        <v>15900</v>
      </c>
      <c r="H35" s="361">
        <f t="shared" ca="1" si="20"/>
        <v>0</v>
      </c>
      <c r="I35" s="361">
        <f t="shared" ca="1" si="21"/>
        <v>47700</v>
      </c>
      <c r="J35" s="361">
        <f t="shared" ca="1" si="22"/>
        <v>0</v>
      </c>
      <c r="K35" s="362">
        <f t="shared" ca="1" si="23"/>
        <v>47700</v>
      </c>
    </row>
    <row r="36" spans="2:11">
      <c r="B36" s="708">
        <v>6</v>
      </c>
      <c r="C36" s="710" t="s">
        <v>187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711">
        <f>F28*2</f>
        <v>2</v>
      </c>
      <c r="G36" s="360">
        <f ca="1">IF(ISERROR(OFFSET('HARGA SATUAN'!$I$6,MATCH(RAB!C36,'HARGA SATUAN'!$C$7:$C$1492,0),0)),0,OFFSET('HARGA SATUAN'!$I$6,MATCH(RAB!C36,'HARGA SATUAN'!$C$7:$C$1492,0),0))</f>
        <v>17100</v>
      </c>
      <c r="H36" s="361">
        <f t="shared" ca="1" si="20"/>
        <v>0</v>
      </c>
      <c r="I36" s="361">
        <f t="shared" ca="1" si="21"/>
        <v>34200</v>
      </c>
      <c r="J36" s="361">
        <f t="shared" ca="1" si="22"/>
        <v>0</v>
      </c>
      <c r="K36" s="362">
        <f t="shared" ca="1" si="23"/>
        <v>34200</v>
      </c>
    </row>
    <row r="37" spans="2:11">
      <c r="B37" s="708">
        <v>7</v>
      </c>
      <c r="C37" s="109" t="s">
        <v>1569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711">
        <f>F28*4</f>
        <v>4</v>
      </c>
      <c r="G37" s="360">
        <f ca="1">IF(ISERROR(OFFSET('HARGA SATUAN'!$I$6,MATCH(RAB!C37,'HARGA SATUAN'!$C$7:$C$1492,0),0)),0,OFFSET('HARGA SATUAN'!$I$6,MATCH(RAB!C37,'HARGA SATUAN'!$C$7:$C$1492,0),0))</f>
        <v>49000</v>
      </c>
      <c r="H37" s="361">
        <f t="shared" ca="1" si="20"/>
        <v>0</v>
      </c>
      <c r="I37" s="361">
        <f t="shared" ca="1" si="21"/>
        <v>196000</v>
      </c>
      <c r="J37" s="361">
        <f t="shared" ca="1" si="22"/>
        <v>0</v>
      </c>
      <c r="K37" s="362">
        <f t="shared" ca="1" si="23"/>
        <v>196000</v>
      </c>
    </row>
    <row r="38" spans="2:11">
      <c r="B38" s="708">
        <v>8</v>
      </c>
      <c r="C38" s="710" t="s">
        <v>149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Set</v>
      </c>
      <c r="F38" s="711">
        <f>F28*1</f>
        <v>1</v>
      </c>
      <c r="G38" s="360">
        <f ca="1">IF(ISERROR(OFFSET('HARGA SATUAN'!$I$6,MATCH(RAB!C38,'HARGA SATUAN'!$C$7:$C$1492,0),0)),0,OFFSET('HARGA SATUAN'!$I$6,MATCH(RAB!C38,'HARGA SATUAN'!$C$7:$C$1492,0),0))</f>
        <v>67800</v>
      </c>
      <c r="H38" s="361">
        <f t="shared" ca="1" si="20"/>
        <v>0</v>
      </c>
      <c r="I38" s="361">
        <f t="shared" ca="1" si="21"/>
        <v>67800</v>
      </c>
      <c r="J38" s="361">
        <f t="shared" ca="1" si="22"/>
        <v>0</v>
      </c>
      <c r="K38" s="362">
        <f t="shared" ca="1" si="23"/>
        <v>67800</v>
      </c>
    </row>
    <row r="39" spans="2:11">
      <c r="B39" s="708">
        <v>9</v>
      </c>
      <c r="C39" s="710" t="s">
        <v>32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711">
        <f>F28*2</f>
        <v>2</v>
      </c>
      <c r="G39" s="360">
        <f ca="1">IF(ISERROR(OFFSET('HARGA SATUAN'!$I$6,MATCH(RAB!C39,'HARGA SATUAN'!$C$7:$C$1492,0),0)),0,OFFSET('HARGA SATUAN'!$I$6,MATCH(RAB!C39,'HARGA SATUAN'!$C$7:$C$1492,0),0))</f>
        <v>30000</v>
      </c>
      <c r="H39" s="361">
        <f t="shared" ca="1" si="20"/>
        <v>0</v>
      </c>
      <c r="I39" s="361">
        <f t="shared" ca="1" si="21"/>
        <v>60000</v>
      </c>
      <c r="J39" s="361">
        <f t="shared" ca="1" si="22"/>
        <v>0</v>
      </c>
      <c r="K39" s="362">
        <f t="shared" ca="1" si="23"/>
        <v>60000</v>
      </c>
    </row>
    <row r="40" spans="2:11">
      <c r="B40" s="708">
        <v>10</v>
      </c>
      <c r="C40" s="710" t="s">
        <v>781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711">
        <f>F28*1</f>
        <v>1</v>
      </c>
      <c r="G40" s="360">
        <f ca="1">IF(ISERROR(OFFSET('HARGA SATUAN'!$I$6,MATCH(RAB!C40,'HARGA SATUAN'!$C$7:$C$1492,0),0)),0,OFFSET('HARGA SATUAN'!$I$6,MATCH(RAB!C40,'HARGA SATUAN'!$C$7:$C$1492,0),0))</f>
        <v>346400</v>
      </c>
      <c r="H40" s="361">
        <f t="shared" ca="1" si="20"/>
        <v>0</v>
      </c>
      <c r="I40" s="361">
        <f t="shared" ca="1" si="21"/>
        <v>0</v>
      </c>
      <c r="J40" s="361">
        <f t="shared" ca="1" si="22"/>
        <v>346400</v>
      </c>
      <c r="K40" s="362">
        <f t="shared" ca="1" si="23"/>
        <v>346400</v>
      </c>
    </row>
    <row r="41" spans="2:11">
      <c r="B41" s="494"/>
      <c r="C41" s="497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501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20"/>
        <v>0</v>
      </c>
      <c r="I41" s="361">
        <f t="shared" ca="1" si="21"/>
        <v>0</v>
      </c>
      <c r="J41" s="361">
        <f t="shared" ca="1" si="22"/>
        <v>0</v>
      </c>
      <c r="K41" s="362">
        <f t="shared" ca="1" si="23"/>
        <v>0</v>
      </c>
    </row>
    <row r="42" spans="2:11">
      <c r="B42" s="502" t="s">
        <v>1035</v>
      </c>
      <c r="C42" s="503" t="s">
        <v>1626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v>2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0"/>
        <v>0</v>
      </c>
      <c r="I42" s="361">
        <f t="shared" ca="1" si="21"/>
        <v>0</v>
      </c>
      <c r="J42" s="361">
        <f t="shared" ca="1" si="22"/>
        <v>0</v>
      </c>
      <c r="K42" s="362">
        <f t="shared" ca="1" si="23"/>
        <v>0</v>
      </c>
    </row>
    <row r="43" spans="2:11">
      <c r="B43" s="502">
        <v>1</v>
      </c>
      <c r="C43" s="504" t="s">
        <v>29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F42*1</f>
        <v>2</v>
      </c>
      <c r="G43" s="360">
        <f ca="1">IF(ISERROR(OFFSET('HARGA SATUAN'!$I$6,MATCH(RAB!C43,'HARGA SATUAN'!$C$7:$C$1492,0),0)),0,OFFSET('HARGA SATUAN'!$I$6,MATCH(RAB!C43,'HARGA SATUAN'!$C$7:$C$1492,0),0))</f>
        <v>185200</v>
      </c>
      <c r="H43" s="361">
        <f t="shared" ca="1" si="20"/>
        <v>0</v>
      </c>
      <c r="I43" s="361">
        <f t="shared" ca="1" si="21"/>
        <v>370400</v>
      </c>
      <c r="J43" s="361">
        <f t="shared" ca="1" si="22"/>
        <v>0</v>
      </c>
      <c r="K43" s="362">
        <f t="shared" ca="1" si="23"/>
        <v>370400</v>
      </c>
    </row>
    <row r="44" spans="2:11">
      <c r="B44" s="708">
        <v>2</v>
      </c>
      <c r="C44" s="709" t="s">
        <v>30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F42*1</f>
        <v>2</v>
      </c>
      <c r="G44" s="360">
        <f ca="1">IF(ISERROR(OFFSET('HARGA SATUAN'!$I$6,MATCH(RAB!C44,'HARGA SATUAN'!$C$7:$C$1492,0),0)),0,OFFSET('HARGA SATUAN'!$I$6,MATCH(RAB!C44,'HARGA SATUAN'!$C$7:$C$1492,0),0))</f>
        <v>47459</v>
      </c>
      <c r="H44" s="361">
        <f t="shared" ca="1" si="20"/>
        <v>0</v>
      </c>
      <c r="I44" s="361">
        <f t="shared" ca="1" si="21"/>
        <v>94918</v>
      </c>
      <c r="J44" s="361">
        <f t="shared" ca="1" si="22"/>
        <v>0</v>
      </c>
      <c r="K44" s="362">
        <f t="shared" ca="1" si="23"/>
        <v>94918</v>
      </c>
    </row>
    <row r="45" spans="2:11">
      <c r="B45" s="708">
        <v>3</v>
      </c>
      <c r="C45" s="709" t="s">
        <v>31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1">
        <f>F42*1</f>
        <v>2</v>
      </c>
      <c r="G45" s="360">
        <f ca="1">IF(ISERROR(OFFSET('HARGA SATUAN'!$I$6,MATCH(RAB!C45,'HARGA SATUAN'!$C$7:$C$1492,0),0)),0,OFFSET('HARGA SATUAN'!$I$6,MATCH(RAB!C45,'HARGA SATUAN'!$C$7:$C$1492,0),0))</f>
        <v>4880</v>
      </c>
      <c r="H45" s="361">
        <f t="shared" ca="1" si="20"/>
        <v>0</v>
      </c>
      <c r="I45" s="361">
        <f t="shared" ca="1" si="21"/>
        <v>9760</v>
      </c>
      <c r="J45" s="361">
        <f t="shared" ca="1" si="22"/>
        <v>0</v>
      </c>
      <c r="K45" s="362">
        <f t="shared" ca="1" si="23"/>
        <v>9760</v>
      </c>
    </row>
    <row r="46" spans="2:11">
      <c r="B46" s="708">
        <v>4</v>
      </c>
      <c r="C46" s="709" t="s">
        <v>32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Mtr</v>
      </c>
      <c r="F46" s="501">
        <f>F42*10</f>
        <v>20</v>
      </c>
      <c r="G46" s="360">
        <f ca="1">IF(ISERROR(OFFSET('HARGA SATUAN'!$I$6,MATCH(RAB!C46,'HARGA SATUAN'!$C$7:$C$1492,0),0)),0,OFFSET('HARGA SATUAN'!$I$6,MATCH(RAB!C46,'HARGA SATUAN'!$C$7:$C$1492,0),0))</f>
        <v>30000</v>
      </c>
      <c r="H46" s="361">
        <f t="shared" ca="1" si="20"/>
        <v>0</v>
      </c>
      <c r="I46" s="361">
        <f t="shared" ca="1" si="21"/>
        <v>600000</v>
      </c>
      <c r="J46" s="361">
        <f t="shared" ca="1" si="22"/>
        <v>0</v>
      </c>
      <c r="K46" s="362">
        <f t="shared" ca="1" si="23"/>
        <v>600000</v>
      </c>
    </row>
    <row r="47" spans="2:11">
      <c r="B47" s="708">
        <v>5</v>
      </c>
      <c r="C47" s="709" t="s">
        <v>33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1">
        <f>F42*2</f>
        <v>4</v>
      </c>
      <c r="G47" s="360">
        <f ca="1">IF(ISERROR(OFFSET('HARGA SATUAN'!$I$6,MATCH(RAB!C47,'HARGA SATUAN'!$C$7:$C$1492,0),0)),0,OFFSET('HARGA SATUAN'!$I$6,MATCH(RAB!C47,'HARGA SATUAN'!$C$7:$C$1492,0),0))</f>
        <v>9500</v>
      </c>
      <c r="H47" s="361">
        <f t="shared" ca="1" si="20"/>
        <v>0</v>
      </c>
      <c r="I47" s="361">
        <f t="shared" ca="1" si="21"/>
        <v>38000</v>
      </c>
      <c r="J47" s="361">
        <f t="shared" ca="1" si="22"/>
        <v>0</v>
      </c>
      <c r="K47" s="362">
        <f t="shared" ca="1" si="23"/>
        <v>38000</v>
      </c>
    </row>
    <row r="48" spans="2:11">
      <c r="B48" s="708">
        <v>6</v>
      </c>
      <c r="C48" s="709" t="s">
        <v>34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1">
        <f>F42*5.5</f>
        <v>11</v>
      </c>
      <c r="G48" s="360">
        <f ca="1">IF(ISERROR(OFFSET('HARGA SATUAN'!$I$6,MATCH(RAB!C48,'HARGA SATUAN'!$C$7:$C$1492,0),0)),0,OFFSET('HARGA SATUAN'!$I$6,MATCH(RAB!C48,'HARGA SATUAN'!$C$7:$C$1492,0),0))</f>
        <v>6100</v>
      </c>
      <c r="H48" s="361">
        <f t="shared" ca="1" si="20"/>
        <v>0</v>
      </c>
      <c r="I48" s="361">
        <f t="shared" ca="1" si="21"/>
        <v>67100</v>
      </c>
      <c r="J48" s="361">
        <f t="shared" ca="1" si="22"/>
        <v>0</v>
      </c>
      <c r="K48" s="362">
        <f t="shared" ca="1" si="23"/>
        <v>67100</v>
      </c>
    </row>
    <row r="49" spans="2:11">
      <c r="B49" s="708">
        <v>7</v>
      </c>
      <c r="C49" s="709" t="s">
        <v>35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F42*6</f>
        <v>12</v>
      </c>
      <c r="G49" s="360">
        <f ca="1">IF(ISERROR(OFFSET('HARGA SATUAN'!$I$6,MATCH(RAB!C49,'HARGA SATUAN'!$C$7:$C$1492,0),0)),0,OFFSET('HARGA SATUAN'!$I$6,MATCH(RAB!C49,'HARGA SATUAN'!$C$7:$C$1492,0),0))</f>
        <v>2300</v>
      </c>
      <c r="H49" s="361">
        <f t="shared" ca="1" si="20"/>
        <v>0</v>
      </c>
      <c r="I49" s="361">
        <f t="shared" ca="1" si="21"/>
        <v>27600</v>
      </c>
      <c r="J49" s="361">
        <f t="shared" ca="1" si="22"/>
        <v>0</v>
      </c>
      <c r="K49" s="362">
        <f t="shared" ca="1" si="23"/>
        <v>27600</v>
      </c>
    </row>
    <row r="50" spans="2:11">
      <c r="B50" s="708">
        <v>8</v>
      </c>
      <c r="C50" s="709" t="s">
        <v>1627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501">
        <f>F42*4.8</f>
        <v>9.6</v>
      </c>
      <c r="G50" s="360">
        <f ca="1">IF(ISERROR(OFFSET('HARGA SATUAN'!$I$6,MATCH(RAB!C50,'HARGA SATUAN'!$C$7:$C$1492,0),0)),0,OFFSET('HARGA SATUAN'!$I$6,MATCH(RAB!C50,'HARGA SATUAN'!$C$7:$C$1492,0),0))</f>
        <v>23310</v>
      </c>
      <c r="H50" s="361">
        <f t="shared" ca="1" si="20"/>
        <v>0</v>
      </c>
      <c r="I50" s="361">
        <f t="shared" ca="1" si="21"/>
        <v>223776</v>
      </c>
      <c r="J50" s="361">
        <f t="shared" ca="1" si="22"/>
        <v>0</v>
      </c>
      <c r="K50" s="362">
        <f t="shared" ca="1" si="23"/>
        <v>223776</v>
      </c>
    </row>
    <row r="51" spans="2:11">
      <c r="B51" s="708">
        <v>9</v>
      </c>
      <c r="C51" s="709" t="s">
        <v>736</v>
      </c>
      <c r="D51" s="358" t="str">
        <f ca="1">IF(ISERROR(OFFSET('HARGA SATUAN'!$D$6,MATCH(RAB!C51,'HARGA SATUAN'!$C$7:$C$1492,0),0)),"",OFFSET('HARGA SATUAN'!$D$6,MATCH(RAB!C51,'HARGA SATUAN'!$C$7:$C$1492,0),0))</f>
        <v>JASA</v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1">
        <f>F42*1</f>
        <v>2</v>
      </c>
      <c r="G51" s="360">
        <f ca="1">IF(ISERROR(OFFSET('HARGA SATUAN'!$I$6,MATCH(RAB!C51,'HARGA SATUAN'!$C$7:$C$1492,0),0)),0,OFFSET('HARGA SATUAN'!$I$6,MATCH(RAB!C51,'HARGA SATUAN'!$C$7:$C$1492,0),0))</f>
        <v>65400</v>
      </c>
      <c r="H51" s="361">
        <f t="shared" ca="1" si="20"/>
        <v>0</v>
      </c>
      <c r="I51" s="361">
        <f t="shared" ca="1" si="21"/>
        <v>0</v>
      </c>
      <c r="J51" s="361">
        <f t="shared" ca="1" si="22"/>
        <v>130800</v>
      </c>
      <c r="K51" s="362">
        <f t="shared" ca="1" si="23"/>
        <v>130800</v>
      </c>
    </row>
    <row r="52" spans="2:11">
      <c r="B52" s="494"/>
      <c r="C52" s="497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501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20"/>
        <v>0</v>
      </c>
      <c r="I52" s="361">
        <f t="shared" ca="1" si="21"/>
        <v>0</v>
      </c>
      <c r="J52" s="361">
        <f t="shared" ca="1" si="22"/>
        <v>0</v>
      </c>
      <c r="K52" s="362">
        <f t="shared" ca="1" si="23"/>
        <v>0</v>
      </c>
    </row>
    <row r="53" spans="2:11">
      <c r="B53" s="708" t="s">
        <v>1035</v>
      </c>
      <c r="C53" s="709" t="s">
        <v>1628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712">
        <v>1</v>
      </c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20"/>
        <v>0</v>
      </c>
      <c r="I53" s="361">
        <f t="shared" ca="1" si="21"/>
        <v>0</v>
      </c>
      <c r="J53" s="361">
        <f t="shared" ca="1" si="22"/>
        <v>0</v>
      </c>
      <c r="K53" s="362">
        <f t="shared" ca="1" si="23"/>
        <v>0</v>
      </c>
    </row>
    <row r="54" spans="2:11">
      <c r="B54" s="708">
        <v>1</v>
      </c>
      <c r="C54" s="709" t="s">
        <v>535</v>
      </c>
      <c r="D54" s="358" t="str">
        <f ca="1">IF(ISERROR(OFFSET('HARGA SATUAN'!$D$6,MATCH(RAB!C54,'HARGA SATUAN'!$C$7:$C$1492,0),0)),"",OFFSET('HARGA SATUAN'!$D$6,MATCH(RAB!C54,'HARGA SATUAN'!$C$7:$C$1492,0),0))</f>
        <v>MDU-KD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712">
        <f>F53*1</f>
        <v>1</v>
      </c>
      <c r="G54" s="360">
        <f ca="1">IF(ISERROR(OFFSET('HARGA SATUAN'!$I$6,MATCH(RAB!C54,'HARGA SATUAN'!$C$7:$C$1492,0),0)),0,OFFSET('HARGA SATUAN'!$I$6,MATCH(RAB!C54,'HARGA SATUAN'!$C$7:$C$1492,0),0))</f>
        <v>848250</v>
      </c>
      <c r="H54" s="361">
        <f t="shared" ref="H54:H58" ca="1" si="24">IF(OR(D54="MDU",D54="MDU-KD"),(IF($O$3="RAB NON MDU","PLN KD",G54*F54)),0)</f>
        <v>848250</v>
      </c>
      <c r="I54" s="361">
        <f t="shared" ref="I54:I58" ca="1" si="25">IF(D54="HDW",G54*F54,0)</f>
        <v>0</v>
      </c>
      <c r="J54" s="361">
        <f t="shared" ref="J54:J58" ca="1" si="26">IF(D54="JASA",G54*F54,0)</f>
        <v>0</v>
      </c>
      <c r="K54" s="362">
        <f t="shared" ref="K54:K58" ca="1" si="27">SUM(H54:J54)</f>
        <v>848250</v>
      </c>
    </row>
    <row r="55" spans="2:11">
      <c r="B55" s="708">
        <v>2</v>
      </c>
      <c r="C55" s="109" t="s">
        <v>62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712">
        <f>F53*1</f>
        <v>1</v>
      </c>
      <c r="G55" s="360">
        <f ca="1">IF(ISERROR(OFFSET('HARGA SATUAN'!$I$6,MATCH(RAB!C55,'HARGA SATUAN'!$C$7:$C$1492,0),0)),0,OFFSET('HARGA SATUAN'!$I$6,MATCH(RAB!C55,'HARGA SATUAN'!$C$7:$C$1492,0),0))</f>
        <v>32500</v>
      </c>
      <c r="H55" s="361">
        <f t="shared" ca="1" si="24"/>
        <v>0</v>
      </c>
      <c r="I55" s="361">
        <f t="shared" ca="1" si="25"/>
        <v>32500</v>
      </c>
      <c r="J55" s="361">
        <f t="shared" ca="1" si="26"/>
        <v>0</v>
      </c>
      <c r="K55" s="362">
        <f t="shared" ca="1" si="27"/>
        <v>32500</v>
      </c>
    </row>
    <row r="56" spans="2:11">
      <c r="B56" s="708">
        <v>3</v>
      </c>
      <c r="C56" s="709" t="s">
        <v>187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712">
        <f>F53*1</f>
        <v>1</v>
      </c>
      <c r="G56" s="360">
        <f ca="1">IF(ISERROR(OFFSET('HARGA SATUAN'!$I$6,MATCH(RAB!C56,'HARGA SATUAN'!$C$7:$C$1492,0),0)),0,OFFSET('HARGA SATUAN'!$I$6,MATCH(RAB!C56,'HARGA SATUAN'!$C$7:$C$1492,0),0))</f>
        <v>17100</v>
      </c>
      <c r="H56" s="361">
        <f t="shared" ca="1" si="24"/>
        <v>0</v>
      </c>
      <c r="I56" s="361">
        <f t="shared" ca="1" si="25"/>
        <v>17100</v>
      </c>
      <c r="J56" s="361">
        <f t="shared" ca="1" si="26"/>
        <v>0</v>
      </c>
      <c r="K56" s="362">
        <f t="shared" ca="1" si="27"/>
        <v>17100</v>
      </c>
    </row>
    <row r="57" spans="2:11">
      <c r="B57" s="708">
        <v>4</v>
      </c>
      <c r="C57" s="109" t="s">
        <v>174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712">
        <f>F53*1</f>
        <v>1</v>
      </c>
      <c r="G57" s="360">
        <f ca="1">IF(ISERROR(OFFSET('HARGA SATUAN'!$I$6,MATCH(RAB!C57,'HARGA SATUAN'!$C$7:$C$1492,0),0)),0,OFFSET('HARGA SATUAN'!$I$6,MATCH(RAB!C57,'HARGA SATUAN'!$C$7:$C$1492,0),0))</f>
        <v>67700</v>
      </c>
      <c r="H57" s="361">
        <f t="shared" ca="1" si="24"/>
        <v>0</v>
      </c>
      <c r="I57" s="361">
        <f t="shared" ca="1" si="25"/>
        <v>67700</v>
      </c>
      <c r="J57" s="361">
        <f t="shared" ca="1" si="26"/>
        <v>0</v>
      </c>
      <c r="K57" s="362">
        <f t="shared" ca="1" si="27"/>
        <v>67700</v>
      </c>
    </row>
    <row r="58" spans="2:11">
      <c r="B58" s="708">
        <v>5</v>
      </c>
      <c r="C58" s="709" t="s">
        <v>747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712">
        <f>F53*1</f>
        <v>1</v>
      </c>
      <c r="G58" s="360">
        <f ca="1">IF(ISERROR(OFFSET('HARGA SATUAN'!$I$6,MATCH(RAB!C58,'HARGA SATUAN'!$C$7:$C$1492,0),0)),0,OFFSET('HARGA SATUAN'!$I$6,MATCH(RAB!C58,'HARGA SATUAN'!$C$7:$C$1492,0),0))</f>
        <v>58400</v>
      </c>
      <c r="H58" s="361">
        <f t="shared" ca="1" si="24"/>
        <v>0</v>
      </c>
      <c r="I58" s="361">
        <f t="shared" ca="1" si="25"/>
        <v>0</v>
      </c>
      <c r="J58" s="361">
        <f t="shared" ca="1" si="26"/>
        <v>58400</v>
      </c>
      <c r="K58" s="362">
        <f t="shared" ca="1" si="27"/>
        <v>58400</v>
      </c>
    </row>
    <row r="59" spans="2:11">
      <c r="B59" s="494"/>
      <c r="C59" s="497"/>
      <c r="D59" s="358"/>
      <c r="E59" s="359"/>
      <c r="F59" s="501"/>
      <c r="G59" s="360"/>
      <c r="H59" s="361"/>
      <c r="I59" s="361"/>
      <c r="J59" s="361"/>
      <c r="K59" s="362"/>
    </row>
    <row r="60" spans="2:11">
      <c r="B60" s="495" t="s">
        <v>1615</v>
      </c>
      <c r="C60" s="500" t="s">
        <v>1618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501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0"/>
        <v>0</v>
      </c>
      <c r="I60" s="361">
        <f t="shared" ca="1" si="21"/>
        <v>0</v>
      </c>
      <c r="J60" s="361">
        <f t="shared" ca="1" si="22"/>
        <v>0</v>
      </c>
      <c r="K60" s="362">
        <f t="shared" ca="1" si="23"/>
        <v>0</v>
      </c>
    </row>
    <row r="61" spans="2:11">
      <c r="B61" s="495"/>
      <c r="C61" s="496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501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20"/>
        <v>0</v>
      </c>
      <c r="I61" s="361">
        <f t="shared" ca="1" si="21"/>
        <v>0</v>
      </c>
      <c r="J61" s="361">
        <f t="shared" ca="1" si="22"/>
        <v>0</v>
      </c>
      <c r="K61" s="362">
        <f t="shared" ca="1" si="23"/>
        <v>0</v>
      </c>
    </row>
    <row r="62" spans="2:11">
      <c r="B62" s="495" t="s">
        <v>1035</v>
      </c>
      <c r="C62" s="496" t="s">
        <v>1629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714">
        <v>1</v>
      </c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ref="H62:H66" ca="1" si="28">IF(OR(D62="MDU",D62="MDU-KD"),(IF($O$3="RAB NON MDU","PLN KD",G62*F62)),0)</f>
        <v>0</v>
      </c>
      <c r="I62" s="361">
        <f t="shared" ref="I62:I66" ca="1" si="29">IF(D62="HDW",G62*F62,0)</f>
        <v>0</v>
      </c>
      <c r="J62" s="361">
        <f t="shared" ref="J62:J66" ca="1" si="30">IF(D62="JASA",G62*F62,0)</f>
        <v>0</v>
      </c>
      <c r="K62" s="362">
        <f t="shared" ref="K62:K66" ca="1" si="31">SUM(H62:J62)</f>
        <v>0</v>
      </c>
    </row>
    <row r="63" spans="2:11" ht="30">
      <c r="B63" s="708">
        <v>1</v>
      </c>
      <c r="C63" s="109" t="s">
        <v>484</v>
      </c>
      <c r="D63" s="358" t="str">
        <f ca="1">IF(ISERROR(OFFSET('HARGA SATUAN'!$D$6,MATCH(RAB!C63,'HARGA SATUAN'!$C$7:$C$1492,0),0)),"",OFFSET('HARGA SATUAN'!$D$6,MATCH(RAB!C63,'HARGA SATUAN'!$C$7:$C$1492,0),0))</f>
        <v>MDU-KD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714">
        <f>F62*1</f>
        <v>1</v>
      </c>
      <c r="G63" s="360">
        <f ca="1">IF(ISERROR(OFFSET('HARGA SATUAN'!$I$6,MATCH(RAB!C63,'HARGA SATUAN'!$C$7:$C$1492,0),0)),0,OFFSET('HARGA SATUAN'!$I$6,MATCH(RAB!C63,'HARGA SATUAN'!$C$7:$C$1492,0),0))</f>
        <v>168200</v>
      </c>
      <c r="H63" s="361">
        <f t="shared" ca="1" si="28"/>
        <v>168200</v>
      </c>
      <c r="I63" s="361">
        <f t="shared" ca="1" si="29"/>
        <v>0</v>
      </c>
      <c r="J63" s="361">
        <f t="shared" ca="1" si="30"/>
        <v>0</v>
      </c>
      <c r="K63" s="362">
        <f t="shared" ca="1" si="31"/>
        <v>168200</v>
      </c>
    </row>
    <row r="64" spans="2:11">
      <c r="B64" s="708">
        <v>2</v>
      </c>
      <c r="C64" s="713" t="s">
        <v>491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714">
        <f>F62*1</f>
        <v>1</v>
      </c>
      <c r="G64" s="360">
        <f ca="1">IF(ISERROR(OFFSET('HARGA SATUAN'!$I$6,MATCH(RAB!C64,'HARGA SATUAN'!$C$7:$C$1492,0),0)),0,OFFSET('HARGA SATUAN'!$I$6,MATCH(RAB!C64,'HARGA SATUAN'!$C$7:$C$1492,0),0))</f>
        <v>39000</v>
      </c>
      <c r="H64" s="361">
        <f t="shared" ca="1" si="28"/>
        <v>39000</v>
      </c>
      <c r="I64" s="361">
        <f t="shared" ca="1" si="29"/>
        <v>0</v>
      </c>
      <c r="J64" s="361">
        <f t="shared" ca="1" si="30"/>
        <v>0</v>
      </c>
      <c r="K64" s="362">
        <f t="shared" ca="1" si="31"/>
        <v>39000</v>
      </c>
    </row>
    <row r="65" spans="2:11">
      <c r="B65" s="708">
        <v>3</v>
      </c>
      <c r="C65" s="713" t="s">
        <v>74</v>
      </c>
      <c r="D65" s="358" t="str">
        <f ca="1">IF(ISERROR(OFFSET('HARGA SATUAN'!$D$6,MATCH(RAB!C65,'HARGA SATUAN'!$C$7:$C$1492,0),0)),"",OFFSET('HARGA SATUAN'!$D$6,MATCH(RAB!C65,'HARGA SATUAN'!$C$7:$C$1492,0),0))</f>
        <v>MDU-KD</v>
      </c>
      <c r="E65" s="359" t="str">
        <f ca="1">IF(B65="+","Unit",IF(ISERROR(OFFSET('HARGA SATUAN'!$E$6,MATCH(RAB!C65,'HARGA SATUAN'!$C$7:$C$1492,0),0)),"",OFFSET('HARGA SATUAN'!$E$6,MATCH(RAB!C65,'HARGA SATUAN'!$C$7:$C$1492,0),0)))</f>
        <v>Mtr</v>
      </c>
      <c r="F65" s="714">
        <f>F62*35</f>
        <v>35</v>
      </c>
      <c r="G65" s="360">
        <f ca="1">IF(ISERROR(OFFSET('HARGA SATUAN'!$I$6,MATCH(RAB!C65,'HARGA SATUAN'!$C$7:$C$1492,0),0)),0,OFFSET('HARGA SATUAN'!$I$6,MATCH(RAB!C65,'HARGA SATUAN'!$C$7:$C$1492,0),0))</f>
        <v>6600</v>
      </c>
      <c r="H65" s="361">
        <f t="shared" ca="1" si="28"/>
        <v>231000</v>
      </c>
      <c r="I65" s="361">
        <f t="shared" ca="1" si="29"/>
        <v>0</v>
      </c>
      <c r="J65" s="361">
        <f t="shared" ca="1" si="30"/>
        <v>0</v>
      </c>
      <c r="K65" s="362">
        <f t="shared" ca="1" si="31"/>
        <v>231000</v>
      </c>
    </row>
    <row r="66" spans="2:11">
      <c r="B66" s="708">
        <v>4</v>
      </c>
      <c r="C66" s="713" t="s">
        <v>798</v>
      </c>
      <c r="D66" s="358" t="str">
        <f ca="1">IF(ISERROR(OFFSET('HARGA SATUAN'!$D$6,MATCH(RAB!C66,'HARGA SATUAN'!$C$7:$C$1492,0),0)),"",OFFSET('HARGA SATUAN'!$D$6,MATCH(RAB!C66,'HARGA SATUAN'!$C$7:$C$1492,0),0))</f>
        <v>JASA</v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714">
        <f>F62*1</f>
        <v>1</v>
      </c>
      <c r="G66" s="360">
        <f ca="1">IF(ISERROR(OFFSET('HARGA SATUAN'!$I$6,MATCH(RAB!C66,'HARGA SATUAN'!$C$7:$C$1492,0),0)),0,OFFSET('HARGA SATUAN'!$I$6,MATCH(RAB!C66,'HARGA SATUAN'!$C$7:$C$1492,0),0))</f>
        <v>54400</v>
      </c>
      <c r="H66" s="361">
        <f t="shared" ca="1" si="28"/>
        <v>0</v>
      </c>
      <c r="I66" s="361">
        <f t="shared" ca="1" si="29"/>
        <v>0</v>
      </c>
      <c r="J66" s="361">
        <f t="shared" ca="1" si="30"/>
        <v>54400</v>
      </c>
      <c r="K66" s="362">
        <f t="shared" ca="1" si="31"/>
        <v>54400</v>
      </c>
    </row>
    <row r="67" spans="2:11">
      <c r="B67" s="374"/>
      <c r="C67" s="505"/>
      <c r="D67" s="358" t="str">
        <f ca="1">IF(ISERROR(OFFSET('HARGA SATUAN'!$D$6,MATCH(RAB!C67,'HARGA SATUAN'!$C$7:$C$1492,0),0)),"",OFFSET('HARGA SATUAN'!$D$6,MATCH(RAB!C67,'HARGA SATUAN'!$C$7:$C$1492,0),0))</f>
        <v/>
      </c>
      <c r="E67" s="359" t="str">
        <f ca="1">IF(B67="+","Unit",IF(ISERROR(OFFSET('HARGA SATUAN'!$E$6,MATCH(RAB!C67,'HARGA SATUAN'!$C$7:$C$1492,0),0)),"",OFFSET('HARGA SATUAN'!$E$6,MATCH(RAB!C67,'HARGA SATUAN'!$C$7:$C$1492,0),0)))</f>
        <v/>
      </c>
      <c r="F67" s="368"/>
      <c r="G67" s="360">
        <f ca="1">IF(ISERROR(OFFSET('HARGA SATUAN'!$I$6,MATCH(RAB!C67,'HARGA SATUAN'!$C$7:$C$1492,0),0)),0,OFFSET('HARGA SATUAN'!$I$6,MATCH(RAB!C67,'HARGA SATUAN'!$C$7:$C$1492,0),0))</f>
        <v>0</v>
      </c>
      <c r="H67" s="361">
        <f t="shared" ref="H67:H79" ca="1" si="32">IF(OR(D67="MDU",D67="MDU-KD"),(IF($O$3="RAB NON MDU","PLN KD",G67*F67)),0)</f>
        <v>0</v>
      </c>
      <c r="I67" s="361">
        <f t="shared" ref="I67:I79" ca="1" si="33">IF(D67="HDW",G67*F67,0)</f>
        <v>0</v>
      </c>
      <c r="J67" s="361">
        <f t="shared" ref="J67:J79" ca="1" si="34">IF(D67="JASA",G67*F67,0)</f>
        <v>0</v>
      </c>
      <c r="K67" s="362">
        <f t="shared" ref="K67:K79" ca="1" si="35">SUM(H67:J67)</f>
        <v>0</v>
      </c>
    </row>
    <row r="68" spans="2:11">
      <c r="B68" s="506" t="s">
        <v>1035</v>
      </c>
      <c r="C68" s="507" t="s">
        <v>1621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08">
        <f>F62</f>
        <v>1</v>
      </c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2"/>
        <v>0</v>
      </c>
      <c r="I68" s="361">
        <f t="shared" ca="1" si="33"/>
        <v>0</v>
      </c>
      <c r="J68" s="361">
        <f t="shared" ca="1" si="34"/>
        <v>0</v>
      </c>
      <c r="K68" s="362">
        <f t="shared" ca="1" si="35"/>
        <v>0</v>
      </c>
    </row>
    <row r="69" spans="2:11">
      <c r="B69" s="506">
        <v>1</v>
      </c>
      <c r="C69" s="507" t="s">
        <v>115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Set</v>
      </c>
      <c r="F69" s="508">
        <f>F68*1</f>
        <v>1</v>
      </c>
      <c r="G69" s="360">
        <f ca="1">IF(ISERROR(OFFSET('HARGA SATUAN'!$I$6,MATCH(RAB!C69,'HARGA SATUAN'!$C$7:$C$1492,0),0)),0,OFFSET('HARGA SATUAN'!$I$6,MATCH(RAB!C69,'HARGA SATUAN'!$C$7:$C$1492,0),0))</f>
        <v>11500</v>
      </c>
      <c r="H69" s="361">
        <f t="shared" ca="1" si="32"/>
        <v>0</v>
      </c>
      <c r="I69" s="361">
        <f t="shared" ca="1" si="33"/>
        <v>11500</v>
      </c>
      <c r="J69" s="361">
        <f t="shared" ca="1" si="34"/>
        <v>0</v>
      </c>
      <c r="K69" s="362">
        <f t="shared" ca="1" si="35"/>
        <v>11500</v>
      </c>
    </row>
    <row r="70" spans="2:11">
      <c r="B70" s="506">
        <v>2</v>
      </c>
      <c r="C70" s="507" t="s">
        <v>145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Set</v>
      </c>
      <c r="F70" s="508">
        <f>F68*1</f>
        <v>1</v>
      </c>
      <c r="G70" s="360">
        <f ca="1">IF(ISERROR(OFFSET('HARGA SATUAN'!$I$6,MATCH(RAB!C70,'HARGA SATUAN'!$C$7:$C$1492,0),0)),0,OFFSET('HARGA SATUAN'!$I$6,MATCH(RAB!C70,'HARGA SATUAN'!$C$7:$C$1492,0),0))</f>
        <v>6200</v>
      </c>
      <c r="H70" s="361">
        <f t="shared" ca="1" si="32"/>
        <v>0</v>
      </c>
      <c r="I70" s="361">
        <f t="shared" ca="1" si="33"/>
        <v>6200</v>
      </c>
      <c r="J70" s="361">
        <f t="shared" ca="1" si="34"/>
        <v>0</v>
      </c>
      <c r="K70" s="362">
        <f t="shared" ca="1" si="35"/>
        <v>6200</v>
      </c>
    </row>
    <row r="71" spans="2:11">
      <c r="B71" s="506">
        <v>3</v>
      </c>
      <c r="C71" s="507" t="s">
        <v>587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Btg</v>
      </c>
      <c r="F71" s="508">
        <f>F68*1</f>
        <v>1</v>
      </c>
      <c r="G71" s="360">
        <f ca="1">IF(ISERROR(OFFSET('HARGA SATUAN'!$I$6,MATCH(RAB!C71,'HARGA SATUAN'!$C$7:$C$1492,0),0)),0,OFFSET('HARGA SATUAN'!$I$6,MATCH(RAB!C71,'HARGA SATUAN'!$C$7:$C$1492,0),0))</f>
        <v>45796</v>
      </c>
      <c r="H71" s="361">
        <f t="shared" ca="1" si="32"/>
        <v>0</v>
      </c>
      <c r="I71" s="361">
        <f t="shared" ca="1" si="33"/>
        <v>45796</v>
      </c>
      <c r="J71" s="361">
        <f t="shared" ca="1" si="34"/>
        <v>0</v>
      </c>
      <c r="K71" s="362">
        <f t="shared" ca="1" si="35"/>
        <v>45796</v>
      </c>
    </row>
    <row r="72" spans="2:11">
      <c r="B72" s="506">
        <v>4</v>
      </c>
      <c r="C72" s="507" t="s">
        <v>118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Set</v>
      </c>
      <c r="F72" s="508">
        <f>F68*1</f>
        <v>1</v>
      </c>
      <c r="G72" s="360">
        <f ca="1">IF(ISERROR(OFFSET('HARGA SATUAN'!$I$6,MATCH(RAB!C72,'HARGA SATUAN'!$C$7:$C$1492,0),0)),0,OFFSET('HARGA SATUAN'!$I$6,MATCH(RAB!C72,'HARGA SATUAN'!$C$7:$C$1492,0),0))</f>
        <v>5300</v>
      </c>
      <c r="H72" s="361">
        <f t="shared" ca="1" si="32"/>
        <v>0</v>
      </c>
      <c r="I72" s="361">
        <f t="shared" ca="1" si="33"/>
        <v>5300</v>
      </c>
      <c r="J72" s="361">
        <f t="shared" ca="1" si="34"/>
        <v>0</v>
      </c>
      <c r="K72" s="362">
        <f t="shared" ca="1" si="35"/>
        <v>5300</v>
      </c>
    </row>
    <row r="73" spans="2:11">
      <c r="B73" s="506">
        <v>5</v>
      </c>
      <c r="C73" s="507" t="s">
        <v>117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8">
        <f>F68*1</f>
        <v>1</v>
      </c>
      <c r="G73" s="360">
        <f ca="1">IF(ISERROR(OFFSET('HARGA SATUAN'!$I$6,MATCH(RAB!C73,'HARGA SATUAN'!$C$7:$C$1492,0),0)),0,OFFSET('HARGA SATUAN'!$I$6,MATCH(RAB!C73,'HARGA SATUAN'!$C$7:$C$1492,0),0))</f>
        <v>58600</v>
      </c>
      <c r="H73" s="361">
        <f t="shared" ca="1" si="32"/>
        <v>0</v>
      </c>
      <c r="I73" s="361">
        <f t="shared" ca="1" si="33"/>
        <v>58600</v>
      </c>
      <c r="J73" s="361">
        <f t="shared" ca="1" si="34"/>
        <v>0</v>
      </c>
      <c r="K73" s="362">
        <f t="shared" ca="1" si="35"/>
        <v>58600</v>
      </c>
    </row>
    <row r="74" spans="2:11">
      <c r="B74" s="506">
        <v>6</v>
      </c>
      <c r="C74" s="109" t="s">
        <v>1154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Set</v>
      </c>
      <c r="F74" s="508">
        <f>F68*1</f>
        <v>1</v>
      </c>
      <c r="G74" s="360">
        <f ca="1">IF(ISERROR(OFFSET('HARGA SATUAN'!$I$6,MATCH(RAB!C74,'HARGA SATUAN'!$C$7:$C$1492,0),0)),0,OFFSET('HARGA SATUAN'!$I$6,MATCH(RAB!C74,'HARGA SATUAN'!$C$7:$C$1492,0),0))</f>
        <v>3888</v>
      </c>
      <c r="H74" s="361">
        <f t="shared" ca="1" si="32"/>
        <v>0</v>
      </c>
      <c r="I74" s="361">
        <f t="shared" ca="1" si="33"/>
        <v>3888</v>
      </c>
      <c r="J74" s="361">
        <f t="shared" ca="1" si="34"/>
        <v>0</v>
      </c>
      <c r="K74" s="362">
        <f t="shared" ca="1" si="35"/>
        <v>3888</v>
      </c>
    </row>
    <row r="75" spans="2:11">
      <c r="B75" s="506">
        <v>7</v>
      </c>
      <c r="C75" s="507" t="s">
        <v>119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Set</v>
      </c>
      <c r="F75" s="508">
        <f>F68*2</f>
        <v>2</v>
      </c>
      <c r="G75" s="360">
        <f ca="1">IF(ISERROR(OFFSET('HARGA SATUAN'!$I$6,MATCH(RAB!C75,'HARGA SATUAN'!$C$7:$C$1492,0),0)),0,OFFSET('HARGA SATUAN'!$I$6,MATCH(RAB!C75,'HARGA SATUAN'!$C$7:$C$1492,0),0))</f>
        <v>8900</v>
      </c>
      <c r="H75" s="361">
        <f t="shared" ca="1" si="32"/>
        <v>0</v>
      </c>
      <c r="I75" s="361">
        <f t="shared" ca="1" si="33"/>
        <v>17800</v>
      </c>
      <c r="J75" s="361">
        <f t="shared" ca="1" si="34"/>
        <v>0</v>
      </c>
      <c r="K75" s="362">
        <f t="shared" ca="1" si="35"/>
        <v>17800</v>
      </c>
    </row>
    <row r="76" spans="2:11">
      <c r="B76" s="374"/>
      <c r="C76" s="505"/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368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32"/>
        <v>0</v>
      </c>
      <c r="I76" s="361">
        <f t="shared" ca="1" si="33"/>
        <v>0</v>
      </c>
      <c r="J76" s="361">
        <f t="shared" ca="1" si="34"/>
        <v>0</v>
      </c>
      <c r="K76" s="362">
        <f t="shared" ca="1" si="35"/>
        <v>0</v>
      </c>
    </row>
    <row r="77" spans="2:11">
      <c r="B77" s="366" t="s">
        <v>22</v>
      </c>
      <c r="C77" s="367" t="s">
        <v>1617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368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32"/>
        <v>0</v>
      </c>
      <c r="I77" s="361">
        <f t="shared" ca="1" si="33"/>
        <v>0</v>
      </c>
      <c r="J77" s="361">
        <f t="shared" ca="1" si="34"/>
        <v>0</v>
      </c>
      <c r="K77" s="362">
        <f t="shared" ca="1" si="35"/>
        <v>0</v>
      </c>
    </row>
    <row r="78" spans="2:11">
      <c r="B78" s="374"/>
      <c r="C78" s="373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368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32"/>
        <v>0</v>
      </c>
      <c r="I78" s="361">
        <f t="shared" ca="1" si="33"/>
        <v>0</v>
      </c>
      <c r="J78" s="361">
        <f t="shared" ca="1" si="34"/>
        <v>0</v>
      </c>
      <c r="K78" s="362">
        <f t="shared" ca="1" si="35"/>
        <v>0</v>
      </c>
    </row>
    <row r="79" spans="2:11">
      <c r="B79" s="375"/>
      <c r="C79" s="376" t="s">
        <v>475</v>
      </c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368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32"/>
        <v>0</v>
      </c>
      <c r="I79" s="361">
        <f t="shared" ca="1" si="33"/>
        <v>0</v>
      </c>
      <c r="J79" s="361">
        <f t="shared" ca="1" si="34"/>
        <v>0</v>
      </c>
      <c r="K79" s="362">
        <f t="shared" ca="1" si="35"/>
        <v>0</v>
      </c>
    </row>
    <row r="80" spans="2:11">
      <c r="B80" s="378">
        <v>1</v>
      </c>
      <c r="C80" s="379" t="s">
        <v>1091</v>
      </c>
      <c r="D80" s="380" t="str">
        <f ca="1">IF(ISERROR(OFFSET('HARGA SATUAN'!$D$6,MATCH(RAB!C80,'HARGA SATUAN'!$C$7:$C$1492,0),0)),"",OFFSET('HARGA SATUAN'!$D$6,MATCH(RAB!C80,'HARGA SATUAN'!$C$7:$C$1492,0),0))</f>
        <v>JASA</v>
      </c>
      <c r="E80" s="381" t="str">
        <f ca="1">IF(ISERROR(OFFSET('HARGA SATUAN'!$E$6,MATCH(RAB!C80,'HARGA SATUAN'!$C$7:$C$1492,0),0)),"",OFFSET('HARGA SATUAN'!$E$6,MATCH(RAB!C80,'HARGA SATUAN'!$C$7:$C$1492,0),0))</f>
        <v>Lot</v>
      </c>
      <c r="F80" s="382">
        <v>1</v>
      </c>
      <c r="G80" s="383">
        <f ca="1">IF(ISERROR(OFFSET('HARGA SATUAN'!$I$6,MATCH(RAB!C80,'HARGA SATUAN'!$C$7:$C$1492,0),0)),0,OFFSET('HARGA SATUAN'!$I$6,MATCH(RAB!C80,'HARGA SATUAN'!$C$7:$C$1492,0),0))</f>
        <v>2.5000000000000001E-2</v>
      </c>
      <c r="H80" s="384"/>
      <c r="I80" s="384"/>
      <c r="J80" s="384">
        <f ca="1">SUM(K15:K17)*G80</f>
        <v>0</v>
      </c>
      <c r="K80" s="385">
        <f ca="1">SUM(H80:J80)</f>
        <v>0</v>
      </c>
    </row>
    <row r="81" spans="2:13">
      <c r="B81" s="386"/>
      <c r="C81" s="387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IF(ISERROR(OFFSET('HARGA SATUAN'!$E$6,MATCH(RAB!C81,'HARGA SATUAN'!$C$7:$C$1492,0),0)),"",OFFSET('HARGA SATUAN'!$E$6,MATCH(RAB!C81,'HARGA SATUAN'!$C$7:$C$1492,0),0))</f>
        <v/>
      </c>
      <c r="F81" s="377"/>
      <c r="G81" s="360" t="str">
        <f ca="1">IF(ISERROR(OFFSET('HARGA SATUAN'!$I$6,MATCH(RAB!C81,'HARGA SATUAN'!$C$7:$C$1492,0),0)),"",OFFSET('HARGA SATUAN'!$I$6,MATCH(RAB!C81,'HARGA SATUAN'!$C$7:$C$1492,0),0))</f>
        <v/>
      </c>
      <c r="H81" s="361">
        <f ca="1">IF(OR(D81="MDU",D81="MDU-KD"),IF(G81="PLN",0,G81*F81),0)</f>
        <v>0</v>
      </c>
      <c r="I81" s="361">
        <f ca="1">IF(D81="HDW",IF(G81="PLN",0,G81*F81),0)</f>
        <v>0</v>
      </c>
      <c r="J81" s="361">
        <f ca="1">IF(D81="JASA",IF(G81="PLN",0,G81*F81),0)</f>
        <v>0</v>
      </c>
      <c r="K81" s="362">
        <f ca="1">SUM(H81:J81)</f>
        <v>0</v>
      </c>
    </row>
    <row r="82" spans="2:13" ht="15.75" thickBot="1">
      <c r="B82" s="388"/>
      <c r="C82" s="389"/>
      <c r="D82" s="390"/>
      <c r="E82" s="391"/>
      <c r="F82" s="391"/>
      <c r="G82" s="391"/>
      <c r="H82" s="392"/>
      <c r="I82" s="392"/>
      <c r="J82" s="392"/>
      <c r="K82" s="393"/>
    </row>
    <row r="83" spans="2:13">
      <c r="B83" s="394"/>
      <c r="C83" s="629" t="s">
        <v>1008</v>
      </c>
      <c r="D83" s="629"/>
      <c r="E83" s="629"/>
      <c r="F83" s="629"/>
      <c r="G83" s="395" t="s">
        <v>9</v>
      </c>
      <c r="H83" s="396">
        <f ca="1">SUM(H14:H81)</f>
        <v>29266850</v>
      </c>
      <c r="I83" s="396">
        <f ca="1">SUM(I14:I81)</f>
        <v>3216482</v>
      </c>
      <c r="J83" s="396">
        <f ca="1">SUM(J14:J81)</f>
        <v>661400</v>
      </c>
      <c r="K83" s="396">
        <f ca="1">SUM(K14:K81)</f>
        <v>33144732</v>
      </c>
    </row>
    <row r="84" spans="2:13">
      <c r="B84" s="398"/>
      <c r="C84" s="612" t="s">
        <v>1457</v>
      </c>
      <c r="D84" s="612"/>
      <c r="E84" s="612"/>
      <c r="F84" s="612"/>
      <c r="G84" s="399" t="s">
        <v>9</v>
      </c>
      <c r="H84" s="400">
        <f ca="1">H83*0.11</f>
        <v>3219353.5</v>
      </c>
      <c r="I84" s="400">
        <f ca="1">I83*0.11</f>
        <v>353813.02</v>
      </c>
      <c r="J84" s="400">
        <f ca="1">J83*0.11</f>
        <v>72754</v>
      </c>
      <c r="K84" s="400">
        <f ca="1">K83*0.11</f>
        <v>3645920.52</v>
      </c>
    </row>
    <row r="85" spans="2:13" ht="15.75" thickBot="1">
      <c r="B85" s="398"/>
      <c r="C85" s="610" t="s">
        <v>463</v>
      </c>
      <c r="D85" s="610"/>
      <c r="E85" s="610"/>
      <c r="F85" s="610"/>
      <c r="G85" s="401" t="s">
        <v>9</v>
      </c>
      <c r="H85" s="402">
        <f ca="1">SUM(H83:H84)</f>
        <v>32486203.5</v>
      </c>
      <c r="I85" s="402">
        <f ca="1">SUM(I83:I84)</f>
        <v>3570295.02</v>
      </c>
      <c r="J85" s="401">
        <f ca="1">SUM(J83:J84)</f>
        <v>734154</v>
      </c>
      <c r="K85" s="401">
        <f ca="1">SUM(K83:K84)</f>
        <v>36790652.520000003</v>
      </c>
      <c r="M85" s="484"/>
    </row>
    <row r="86" spans="2:13">
      <c r="B86" s="613" t="str">
        <f ca="1">"Terbilang : "&amp;PROPER(IF(K85=0,"nol",IF(K85&lt;0,"minus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IF(--MID(TEXT(ABS(K85),"000000000000000"),1,3)=0,"",MID(TEXT(ABS(K85),"000000000000000"),1,1)&amp;" ratus "&amp;MID(TEXT(ABS(K85),"000000000000000"),2,1)&amp;" puluh "&amp;MID(TEXT(ABS(K85),"000000000000000"),3,1)&amp;" trilyun ")&amp; IF(--MID(TEXT(ABS(K85),"000000000000000"),4,3)=0,"",MID(TEXT(ABS(K85),"000000000000000"),4,1)&amp;" ratus "&amp;MID(TEXT(ABS(K85),"000000000000000"),5,1)&amp;" puluh "&amp;MID(TEXT(ABS(K85),"000000000000000"),6,1)&amp;" milyar ")&amp; IF(--MID(TEXT(ABS(K85),"000000000000000"),7,3)=0,"",MID(TEXT(ABS(K85),"000000000000000"),7,1)&amp;" ratus "&amp;MID(TEXT(ABS(K85),"000000000000000"),8,1)&amp;" puluh "&amp;MID(TEXT(ABS(K85),"000000000000000"),9,1)&amp;" juta ")&amp; IF(--MID(TEXT(ABS(K85),"000000000000000"),10,3)=0,"",IF(--MID(TEXT(ABS(K85),"000000000000000"),10,3)=1,"*",MID(TEXT(ABS(K85),"000000000000000"),10,1)&amp;" ratus "&amp;MID(TEXT(ABS(K85),"000000000000000"),11,1)&amp;" puluh ")&amp;MID(TEXT(ABS(K85),"000000000000000"),12,1)&amp;" ribu ")&amp; IF(--MID(TEXT(ABS(K85),"000000000000000"),13,3)=0,"",MID(TEXT(ABS(K85),"000000000000000"),13,1)&amp;" ratus "&amp;MID(TEXT(ABS(K85),"000000000000000"),14,1)&amp;" puluh "&amp;MID(TEXT(ABS(K85),"000000000000000"),15,1)),1,"satu"),2,"dua"),3,"tiga"),4,"empat"),5,"lima"),6,"enam"),7,"tujuh"),8,"delapan"),9,"sembilan"),"0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Enam Juta Tujuh Ratus Sembilan Puluh Ribu Enam Ratus Lima Puluh Tiga Rupiah</v>
      </c>
      <c r="C86" s="614"/>
      <c r="D86" s="614"/>
      <c r="E86" s="614"/>
      <c r="F86" s="614"/>
      <c r="G86" s="614"/>
      <c r="H86" s="614"/>
      <c r="I86" s="614"/>
      <c r="J86" s="614"/>
      <c r="K86" s="615"/>
    </row>
    <row r="87" spans="2:13">
      <c r="B87" s="616"/>
      <c r="C87" s="617"/>
      <c r="D87" s="617"/>
      <c r="E87" s="617"/>
      <c r="F87" s="617"/>
      <c r="G87" s="617"/>
      <c r="H87" s="617"/>
      <c r="I87" s="617"/>
      <c r="J87" s="617"/>
      <c r="K87" s="618"/>
    </row>
    <row r="88" spans="2:13" ht="15.75" thickBot="1">
      <c r="B88" s="403" t="str">
        <f>"Harga yang dipakai adalah "&amp;'HARGA SATUAN'!I5&amp;""</f>
        <v>Harga yang dipakai adalah RAB HSS 2023</v>
      </c>
      <c r="C88" s="404"/>
      <c r="D88" s="405"/>
      <c r="E88" s="405"/>
      <c r="F88" s="405"/>
      <c r="G88" s="406"/>
      <c r="H88" s="406"/>
      <c r="I88" s="406"/>
      <c r="J88" s="406"/>
      <c r="K88" s="407"/>
    </row>
    <row r="89" spans="2:13">
      <c r="C89" s="408"/>
      <c r="E89" s="410"/>
      <c r="F89" s="410"/>
      <c r="G89" s="410"/>
    </row>
    <row r="90" spans="2:13">
      <c r="C90" s="337"/>
      <c r="E90" s="410"/>
      <c r="F90" s="410"/>
      <c r="G90" s="410"/>
      <c r="H90" s="619"/>
      <c r="I90" s="619"/>
      <c r="J90" s="620"/>
      <c r="K90" s="620"/>
    </row>
    <row r="91" spans="2:13">
      <c r="C91" s="337"/>
      <c r="E91" s="410"/>
      <c r="F91" s="410"/>
      <c r="G91" s="410"/>
      <c r="H91" s="411"/>
      <c r="I91" s="609" t="s">
        <v>1610</v>
      </c>
      <c r="J91" s="609"/>
      <c r="K91" s="609"/>
    </row>
    <row r="92" spans="2:13">
      <c r="C92" s="337"/>
      <c r="E92" s="410"/>
      <c r="F92" s="410"/>
      <c r="G92" s="410"/>
      <c r="H92" s="411"/>
      <c r="I92" s="609" t="s">
        <v>1546</v>
      </c>
      <c r="J92" s="609"/>
      <c r="K92" s="609"/>
    </row>
    <row r="93" spans="2:13">
      <c r="C93" s="337"/>
      <c r="E93" s="410"/>
      <c r="F93" s="410"/>
      <c r="G93" s="410"/>
      <c r="H93" s="412"/>
      <c r="I93" s="413"/>
      <c r="J93" s="413"/>
      <c r="K93" s="413"/>
    </row>
    <row r="94" spans="2:13">
      <c r="C94" s="337"/>
      <c r="E94" s="410"/>
      <c r="F94" s="410"/>
      <c r="G94" s="410"/>
      <c r="H94" s="412"/>
      <c r="I94" s="412"/>
      <c r="J94" s="412"/>
      <c r="K94" s="412"/>
    </row>
    <row r="95" spans="2:13">
      <c r="C95" s="337"/>
      <c r="E95" s="410"/>
      <c r="F95" s="410"/>
      <c r="G95" s="410"/>
      <c r="H95" s="412"/>
      <c r="I95" s="412"/>
      <c r="J95" s="412"/>
      <c r="K95" s="412"/>
    </row>
    <row r="96" spans="2:13">
      <c r="C96" s="337"/>
      <c r="E96" s="410"/>
      <c r="F96" s="410"/>
      <c r="G96" s="410"/>
      <c r="H96" s="412"/>
      <c r="I96" s="412"/>
      <c r="J96" s="412"/>
      <c r="K96" s="412"/>
    </row>
    <row r="97" spans="3:11">
      <c r="C97" s="337"/>
      <c r="E97" s="410"/>
      <c r="F97" s="410"/>
      <c r="G97" s="410"/>
      <c r="H97" s="414"/>
      <c r="I97" s="609" t="s">
        <v>1547</v>
      </c>
      <c r="J97" s="609"/>
      <c r="K97" s="609"/>
    </row>
    <row r="98" spans="3:11">
      <c r="C98" s="408"/>
      <c r="E98" s="410"/>
      <c r="F98" s="410"/>
      <c r="G98" s="410"/>
      <c r="H98" s="412"/>
      <c r="I98" s="412"/>
      <c r="J98" s="412"/>
      <c r="K98" s="412"/>
    </row>
    <row r="99" spans="3:11">
      <c r="C99" s="408"/>
      <c r="E99" s="410"/>
      <c r="F99" s="410"/>
      <c r="G99" s="410"/>
      <c r="H99" s="412"/>
      <c r="I99" s="412"/>
      <c r="J99" s="412"/>
      <c r="K99" s="412"/>
    </row>
    <row r="100" spans="3:11">
      <c r="C100" s="408"/>
      <c r="E100" s="410"/>
      <c r="F100" s="410"/>
      <c r="G100" s="410"/>
      <c r="H100" s="412"/>
      <c r="I100" s="412"/>
      <c r="J100" s="412"/>
      <c r="K100" s="412"/>
    </row>
  </sheetData>
  <sheetProtection sort="0" autoFilter="0"/>
  <protectedRanges>
    <protectedRange sqref="B78 B61:B76" name="Range1_1"/>
    <protectedRange sqref="F14:F41 F52 F59:F79" name="Range1_1_2_2"/>
    <protectedRange sqref="C78 C61:C62 C66:C76 C64" name="Range1_1_1"/>
    <protectedRange sqref="B27:C31 B33:C36 B32 B38:C41 B37 B52:C52 B59:C60" name="Range1_6_2"/>
    <protectedRange sqref="C65" name="Range1_1_3_13"/>
    <protectedRange sqref="C32" name="Range1_1_3_3"/>
    <protectedRange sqref="C37" name="Range1_1_3_4"/>
    <protectedRange sqref="C63" name="Range1_1_3_5"/>
  </protectedRanges>
  <mergeCells count="22">
    <mergeCell ref="O3:P4"/>
    <mergeCell ref="B4:K4"/>
    <mergeCell ref="C83:F83"/>
    <mergeCell ref="B11:B13"/>
    <mergeCell ref="C11:C13"/>
    <mergeCell ref="D11:D13"/>
    <mergeCell ref="E11:E13"/>
    <mergeCell ref="F11:F13"/>
    <mergeCell ref="G11:G13"/>
    <mergeCell ref="I12:I13"/>
    <mergeCell ref="I92:K92"/>
    <mergeCell ref="I97:K97"/>
    <mergeCell ref="C85:F85"/>
    <mergeCell ref="G6:K6"/>
    <mergeCell ref="I91:K91"/>
    <mergeCell ref="C84:F84"/>
    <mergeCell ref="B86:K87"/>
    <mergeCell ref="H90:K90"/>
    <mergeCell ref="H11:K11"/>
    <mergeCell ref="H12:H13"/>
    <mergeCell ref="J12:J13"/>
    <mergeCell ref="K12:K13"/>
  </mergeCells>
  <phoneticPr fontId="139" type="noConversion"/>
  <conditionalFormatting sqref="C15 C17">
    <cfRule type="cellIs" dxfId="17" priority="521" operator="equal">
      <formula>0</formula>
    </cfRule>
  </conditionalFormatting>
  <conditionalFormatting sqref="C26">
    <cfRule type="cellIs" dxfId="16" priority="146" operator="equal">
      <formula>0</formula>
    </cfRule>
  </conditionalFormatting>
  <conditionalFormatting sqref="C74">
    <cfRule type="cellIs" dxfId="14" priority="37" operator="equal">
      <formula>0</formula>
    </cfRule>
  </conditionalFormatting>
  <conditionalFormatting sqref="C77">
    <cfRule type="cellIs" dxfId="13" priority="144" operator="equal">
      <formula>0</formula>
    </cfRule>
  </conditionalFormatting>
  <conditionalFormatting sqref="E1:E3 G1:G13 E5:E13 H12:I12 O13 E80:G80 H80:K82 E81:H81 E82:F82 S14:V17 E14:K27 E41:K41 E28:E40 G28:K40 E42:E51 G42:K51 E52:K52 E53:E58 G53:K58 E59:K61 E67:K79 E62:E66 G62:K66">
    <cfRule type="cellIs" dxfId="12" priority="1101" stopIfTrue="1" operator="equal">
      <formula>0</formula>
    </cfRule>
  </conditionalFormatting>
  <conditionalFormatting sqref="G81:G65547 E86:E65547">
    <cfRule type="cellIs" dxfId="11" priority="235" stopIfTrue="1" operator="equal">
      <formula>0</formula>
    </cfRule>
  </conditionalFormatting>
  <conditionalFormatting sqref="F29:F40">
    <cfRule type="cellIs" dxfId="10" priority="11" stopIfTrue="1" operator="equal">
      <formula>0</formula>
    </cfRule>
  </conditionalFormatting>
  <conditionalFormatting sqref="C32">
    <cfRule type="cellIs" dxfId="9" priority="10" operator="equal">
      <formula>0</formula>
    </cfRule>
  </conditionalFormatting>
  <conditionalFormatting sqref="C37">
    <cfRule type="cellIs" dxfId="8" priority="9" operator="equal">
      <formula>0</formula>
    </cfRule>
  </conditionalFormatting>
  <conditionalFormatting sqref="F42:F51">
    <cfRule type="cellIs" dxfId="7" priority="8" stopIfTrue="1" operator="equal">
      <formula>0</formula>
    </cfRule>
  </conditionalFormatting>
  <conditionalFormatting sqref="C55">
    <cfRule type="cellIs" dxfId="6" priority="6" operator="equal">
      <formula>0</formula>
    </cfRule>
  </conditionalFormatting>
  <conditionalFormatting sqref="C57">
    <cfRule type="cellIs" dxfId="5" priority="7" operator="equal">
      <formula>0</formula>
    </cfRule>
  </conditionalFormatting>
  <conditionalFormatting sqref="F53:F56 F58">
    <cfRule type="cellIs" dxfId="4" priority="5" stopIfTrue="1" operator="equal">
      <formula>0</formula>
    </cfRule>
  </conditionalFormatting>
  <conditionalFormatting sqref="F57">
    <cfRule type="cellIs" dxfId="3" priority="4" stopIfTrue="1" operator="equal">
      <formula>0</formula>
    </cfRule>
  </conditionalFormatting>
  <conditionalFormatting sqref="F62:F66">
    <cfRule type="cellIs" dxfId="1" priority="2" stopIfTrue="1" operator="equal">
      <formula>0</formula>
    </cfRule>
  </conditionalFormatting>
  <conditionalFormatting sqref="C6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30:C31 C38:C40 F19:F27 F29:F61 H14:K82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4" zoomScale="85" zoomScaleNormal="115" zoomScaleSheetLayoutView="85" workbookViewId="0">
      <selection activeCell="N42" sqref="N42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2" t="s">
        <v>1439</v>
      </c>
      <c r="X2" s="693"/>
      <c r="Y2" s="693"/>
      <c r="Z2" s="693"/>
      <c r="AA2" s="693"/>
      <c r="AB2" s="693"/>
      <c r="AC2" s="693"/>
      <c r="AD2" s="694"/>
    </row>
    <row r="3" spans="3:30">
      <c r="C3" s="238"/>
      <c r="W3" s="695"/>
      <c r="X3" s="696"/>
      <c r="Y3" s="696"/>
      <c r="Z3" s="696"/>
      <c r="AA3" s="696"/>
      <c r="AB3" s="696"/>
      <c r="AC3" s="696"/>
      <c r="AD3" s="69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1" t="s">
        <v>990</v>
      </c>
      <c r="Y5" s="641"/>
      <c r="Z5" s="641"/>
      <c r="AA5" s="641" t="s">
        <v>988</v>
      </c>
      <c r="AB5" s="641"/>
      <c r="AC5" s="641" t="s">
        <v>989</v>
      </c>
      <c r="AD5" s="642"/>
    </row>
    <row r="6" spans="3:30">
      <c r="C6" s="238"/>
      <c r="W6" s="241">
        <v>1</v>
      </c>
      <c r="X6" s="641" t="s">
        <v>993</v>
      </c>
      <c r="Y6" s="641"/>
      <c r="Z6" s="641"/>
      <c r="AA6" s="641"/>
      <c r="AB6" s="641"/>
      <c r="AC6" s="641"/>
      <c r="AD6" s="642"/>
    </row>
    <row r="7" spans="3:30">
      <c r="C7" s="238"/>
      <c r="E7" s="490" t="str">
        <f>PETA!C6</f>
        <v>KOORDINAT :-6.798804, 110.643519</v>
      </c>
      <c r="W7" s="241">
        <v>2</v>
      </c>
      <c r="X7" s="641" t="s">
        <v>994</v>
      </c>
      <c r="Y7" s="641"/>
      <c r="Z7" s="641"/>
      <c r="AA7" s="641"/>
      <c r="AB7" s="641"/>
      <c r="AC7" s="641"/>
      <c r="AD7" s="642"/>
    </row>
    <row r="8" spans="3:30">
      <c r="C8" s="238"/>
      <c r="W8" s="241">
        <v>3</v>
      </c>
      <c r="X8" s="641" t="s">
        <v>995</v>
      </c>
      <c r="Y8" s="641"/>
      <c r="Z8" s="641"/>
      <c r="AA8" s="641"/>
      <c r="AB8" s="641"/>
      <c r="AC8" s="641"/>
      <c r="AD8" s="642"/>
    </row>
    <row r="9" spans="3:30">
      <c r="C9" s="238"/>
      <c r="W9" s="241">
        <v>4</v>
      </c>
      <c r="X9" s="641" t="s">
        <v>996</v>
      </c>
      <c r="Y9" s="641"/>
      <c r="Z9" s="641"/>
      <c r="AA9" s="641"/>
      <c r="AB9" s="641"/>
      <c r="AC9" s="641"/>
      <c r="AD9" s="642"/>
    </row>
    <row r="10" spans="3:30">
      <c r="C10" s="238"/>
      <c r="W10" s="241">
        <v>5</v>
      </c>
      <c r="X10" s="641" t="s">
        <v>997</v>
      </c>
      <c r="Y10" s="641"/>
      <c r="Z10" s="641"/>
      <c r="AA10" s="641"/>
      <c r="AB10" s="641"/>
      <c r="AC10" s="641"/>
      <c r="AD10" s="642"/>
    </row>
    <row r="11" spans="3:30">
      <c r="C11" s="238"/>
      <c r="W11" s="241">
        <v>6</v>
      </c>
      <c r="X11" s="641" t="s">
        <v>998</v>
      </c>
      <c r="Y11" s="641"/>
      <c r="Z11" s="641"/>
      <c r="AA11" s="641"/>
      <c r="AB11" s="641"/>
      <c r="AC11" s="641"/>
      <c r="AD11" s="642"/>
    </row>
    <row r="12" spans="3:30">
      <c r="C12" s="238"/>
      <c r="W12" s="241">
        <v>7</v>
      </c>
      <c r="X12" s="641" t="s">
        <v>999</v>
      </c>
      <c r="Y12" s="641"/>
      <c r="Z12" s="641"/>
      <c r="AA12" s="641"/>
      <c r="AB12" s="641"/>
      <c r="AC12" s="641"/>
      <c r="AD12" s="642"/>
    </row>
    <row r="13" spans="3:30" ht="12.75" customHeight="1">
      <c r="C13" s="238"/>
      <c r="W13" s="241">
        <v>8</v>
      </c>
      <c r="X13" s="641" t="s">
        <v>1000</v>
      </c>
      <c r="Y13" s="641"/>
      <c r="Z13" s="641"/>
      <c r="AA13" s="641"/>
      <c r="AB13" s="641"/>
      <c r="AC13" s="641"/>
      <c r="AD13" s="642"/>
    </row>
    <row r="14" spans="3:30">
      <c r="C14" s="238"/>
      <c r="W14" s="241">
        <v>9</v>
      </c>
      <c r="X14" s="641" t="s">
        <v>1001</v>
      </c>
      <c r="Y14" s="641"/>
      <c r="Z14" s="641"/>
      <c r="AA14" s="641"/>
      <c r="AB14" s="641"/>
      <c r="AC14" s="641"/>
      <c r="AD14" s="642"/>
    </row>
    <row r="15" spans="3:30">
      <c r="C15" s="238"/>
      <c r="W15" s="241">
        <v>10</v>
      </c>
      <c r="X15" s="641" t="s">
        <v>1010</v>
      </c>
      <c r="Y15" s="641"/>
      <c r="Z15" s="641"/>
      <c r="AA15" s="641"/>
      <c r="AB15" s="641"/>
      <c r="AC15" s="641"/>
      <c r="AD15" s="642"/>
    </row>
    <row r="16" spans="3:30">
      <c r="C16" s="238"/>
      <c r="W16" s="241">
        <v>11</v>
      </c>
      <c r="X16" s="641" t="s">
        <v>1455</v>
      </c>
      <c r="Y16" s="641"/>
      <c r="Z16" s="641"/>
      <c r="AA16" s="641"/>
      <c r="AB16" s="641"/>
      <c r="AC16" s="641"/>
      <c r="AD16" s="642"/>
    </row>
    <row r="17" spans="3:30">
      <c r="C17" s="238"/>
      <c r="S17" s="242"/>
      <c r="W17" s="241">
        <v>12</v>
      </c>
      <c r="X17" s="641" t="s">
        <v>1011</v>
      </c>
      <c r="Y17" s="641"/>
      <c r="Z17" s="641"/>
      <c r="AA17" s="641"/>
      <c r="AB17" s="641"/>
      <c r="AC17" s="641"/>
      <c r="AD17" s="642"/>
    </row>
    <row r="18" spans="3:30">
      <c r="C18" s="243"/>
      <c r="D18" s="244"/>
      <c r="E18" s="244"/>
      <c r="W18" s="241">
        <v>13</v>
      </c>
      <c r="X18" s="641"/>
      <c r="Y18" s="641"/>
      <c r="Z18" s="641"/>
      <c r="AA18" s="641"/>
      <c r="AB18" s="641"/>
      <c r="AC18" s="641"/>
      <c r="AD18" s="642"/>
    </row>
    <row r="19" spans="3:30">
      <c r="C19" s="238"/>
      <c r="W19" s="245"/>
      <c r="X19" s="690"/>
      <c r="Y19" s="690"/>
      <c r="Z19" s="690"/>
      <c r="AA19" s="690"/>
      <c r="AB19" s="690"/>
      <c r="AC19" s="690"/>
      <c r="AD19" s="691"/>
    </row>
    <row r="20" spans="3:30">
      <c r="C20" s="238"/>
      <c r="W20" s="677" t="s">
        <v>992</v>
      </c>
      <c r="X20" s="678"/>
      <c r="Y20" s="678"/>
      <c r="Z20" s="678"/>
      <c r="AA20" s="678"/>
      <c r="AB20" s="678"/>
      <c r="AC20" s="678"/>
      <c r="AD20" s="679"/>
    </row>
    <row r="21" spans="3:30">
      <c r="C21" s="238"/>
      <c r="W21" s="680" t="s">
        <v>985</v>
      </c>
      <c r="X21" s="681"/>
      <c r="Y21" s="681"/>
      <c r="Z21" s="682"/>
      <c r="AA21" s="683" t="s">
        <v>986</v>
      </c>
      <c r="AB21" s="684"/>
      <c r="AC21" s="684"/>
      <c r="AD21" s="685"/>
    </row>
    <row r="22" spans="3:30">
      <c r="C22" s="238"/>
      <c r="W22" s="686"/>
      <c r="X22" s="687"/>
      <c r="Y22" s="492"/>
      <c r="Z22" s="493"/>
      <c r="AA22" s="688"/>
      <c r="AB22" s="689"/>
      <c r="AC22" s="248"/>
      <c r="AD22" s="249"/>
    </row>
    <row r="23" spans="3:30">
      <c r="C23" s="238"/>
      <c r="W23" s="686"/>
      <c r="X23" s="687"/>
      <c r="Y23" s="492"/>
      <c r="Z23" s="493"/>
      <c r="AA23" s="675"/>
      <c r="AB23" s="676"/>
      <c r="AC23" s="248"/>
      <c r="AD23" s="249"/>
    </row>
    <row r="24" spans="3:30">
      <c r="C24" s="238"/>
      <c r="W24" s="670"/>
      <c r="X24" s="672"/>
      <c r="Y24" s="246"/>
      <c r="Z24" s="247"/>
      <c r="AA24" s="673"/>
      <c r="AB24" s="674"/>
      <c r="AC24" s="248"/>
      <c r="AD24" s="249"/>
    </row>
    <row r="25" spans="3:30">
      <c r="C25" s="238"/>
      <c r="W25" s="670"/>
      <c r="X25" s="672"/>
      <c r="Y25" s="246"/>
      <c r="Z25" s="247"/>
      <c r="AA25" s="675"/>
      <c r="AB25" s="676"/>
      <c r="AC25" s="248"/>
      <c r="AD25" s="249"/>
    </row>
    <row r="26" spans="3:30">
      <c r="C26" s="238"/>
      <c r="W26" s="480"/>
      <c r="X26" s="481"/>
      <c r="Y26" s="246"/>
      <c r="Z26" s="247"/>
      <c r="AA26" s="675"/>
      <c r="AB26" s="676"/>
      <c r="AC26" s="248"/>
      <c r="AD26" s="249"/>
    </row>
    <row r="27" spans="3:30">
      <c r="C27" s="238"/>
      <c r="W27" s="480"/>
      <c r="X27" s="481"/>
      <c r="Y27" s="246"/>
      <c r="Z27" s="247"/>
      <c r="AA27" s="669"/>
      <c r="AB27" s="664"/>
      <c r="AC27" s="248"/>
      <c r="AD27" s="249"/>
    </row>
    <row r="28" spans="3:30">
      <c r="C28" s="238"/>
      <c r="W28" s="480"/>
      <c r="X28" s="481"/>
      <c r="Y28" s="246"/>
      <c r="Z28" s="247"/>
      <c r="AA28" s="669"/>
      <c r="AB28" s="664"/>
      <c r="AC28" s="248"/>
      <c r="AD28" s="249"/>
    </row>
    <row r="29" spans="3:30">
      <c r="C29" s="238"/>
      <c r="W29" s="480"/>
      <c r="X29" s="481"/>
      <c r="Y29" s="246"/>
      <c r="Z29" s="247"/>
      <c r="AA29" s="669"/>
      <c r="AB29" s="664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9"/>
      <c r="AB30" s="664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9"/>
      <c r="AB31" s="664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9"/>
      <c r="AB32" s="664"/>
      <c r="AC32" s="248"/>
      <c r="AD32" s="249"/>
    </row>
    <row r="33" spans="3:30">
      <c r="C33" s="238"/>
      <c r="W33" s="480"/>
      <c r="X33" s="481"/>
      <c r="Y33" s="246"/>
      <c r="Z33" s="247"/>
      <c r="AA33" s="669"/>
      <c r="AB33" s="664"/>
      <c r="AC33" s="248"/>
      <c r="AD33" s="249"/>
    </row>
    <row r="34" spans="3:30">
      <c r="C34" s="238"/>
      <c r="W34" s="480"/>
      <c r="X34" s="481"/>
      <c r="Y34" s="246"/>
      <c r="Z34" s="247"/>
      <c r="AA34" s="669"/>
      <c r="AB34" s="664"/>
      <c r="AC34" s="248"/>
      <c r="AD34" s="249"/>
    </row>
    <row r="35" spans="3:30">
      <c r="C35" s="238"/>
      <c r="W35" s="670"/>
      <c r="X35" s="671"/>
      <c r="Y35" s="246"/>
      <c r="Z35" s="247"/>
      <c r="AA35" s="669"/>
      <c r="AB35" s="664"/>
      <c r="AC35" s="248"/>
      <c r="AD35" s="249"/>
    </row>
    <row r="36" spans="3:30">
      <c r="C36" s="238"/>
      <c r="W36" s="661"/>
      <c r="X36" s="662"/>
      <c r="Y36" s="246"/>
      <c r="Z36" s="251"/>
      <c r="AA36" s="663"/>
      <c r="AB36" s="664"/>
      <c r="AC36" s="248"/>
      <c r="AD36" s="249"/>
    </row>
    <row r="37" spans="3:30" ht="12.75" customHeight="1">
      <c r="C37" s="238"/>
      <c r="W37" s="665"/>
      <c r="X37" s="666"/>
      <c r="Y37" s="246"/>
      <c r="Z37" s="251"/>
      <c r="AA37" s="667"/>
      <c r="AB37" s="668"/>
      <c r="AC37" s="252"/>
      <c r="AD37" s="253"/>
    </row>
    <row r="38" spans="3:30" ht="12.75" customHeight="1">
      <c r="C38" s="238"/>
      <c r="W38" s="665"/>
      <c r="X38" s="666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5"/>
      <c r="X39" s="666"/>
      <c r="Y39" s="254"/>
      <c r="Z39" s="257"/>
      <c r="AA39" s="657"/>
      <c r="AB39" s="658"/>
      <c r="AC39" s="252"/>
      <c r="AD39" s="253"/>
    </row>
    <row r="40" spans="3:30" ht="12" customHeight="1">
      <c r="C40" s="238"/>
      <c r="W40" s="653"/>
      <c r="X40" s="654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5"/>
      <c r="X41" s="656"/>
      <c r="Y41" s="260"/>
      <c r="Z41" s="261"/>
      <c r="AA41" s="657"/>
      <c r="AB41" s="658"/>
      <c r="AC41" s="252"/>
      <c r="AD41" s="253"/>
    </row>
    <row r="42" spans="3:30" ht="12" customHeight="1">
      <c r="C42" s="238"/>
      <c r="W42" s="659" t="s">
        <v>1456</v>
      </c>
      <c r="X42" s="660"/>
      <c r="Y42" s="660"/>
      <c r="Z42" s="66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38" t="s">
        <v>11</v>
      </c>
      <c r="X44" s="639"/>
      <c r="Y44" s="641"/>
      <c r="Z44" s="641"/>
      <c r="AA44" s="641"/>
      <c r="AB44" s="641"/>
      <c r="AC44" s="641"/>
      <c r="AD44" s="642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38" t="s">
        <v>984</v>
      </c>
      <c r="X45" s="639"/>
      <c r="Y45" s="641">
        <v>1</v>
      </c>
      <c r="Z45" s="641"/>
      <c r="AA45" s="641"/>
      <c r="AB45" s="641" t="s">
        <v>12</v>
      </c>
      <c r="AC45" s="64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38" t="s">
        <v>15</v>
      </c>
      <c r="X46" s="639"/>
      <c r="Y46" s="652"/>
      <c r="Z46" s="652"/>
      <c r="AA46" s="652"/>
      <c r="AB46" s="641" t="s">
        <v>16</v>
      </c>
      <c r="AC46" s="64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6" t="s">
        <v>17</v>
      </c>
      <c r="X47" s="646"/>
      <c r="Y47" s="646"/>
      <c r="Z47" s="646"/>
      <c r="AA47" s="646"/>
      <c r="AB47" s="646"/>
      <c r="AC47" s="646"/>
      <c r="AD47" s="64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48" t="str">
        <f>RAB!G6</f>
        <v>TSEL COE112 DS KENDUREN</v>
      </c>
      <c r="X48" s="648"/>
      <c r="Y48" s="648"/>
      <c r="Z48" s="648"/>
      <c r="AA48" s="648"/>
      <c r="AB48" s="648"/>
      <c r="AC48" s="648"/>
      <c r="AD48" s="64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48"/>
      <c r="X49" s="648"/>
      <c r="Y49" s="648"/>
      <c r="Z49" s="648"/>
      <c r="AA49" s="648"/>
      <c r="AB49" s="648"/>
      <c r="AC49" s="648"/>
      <c r="AD49" s="64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48"/>
      <c r="X50" s="648"/>
      <c r="Y50" s="648"/>
      <c r="Z50" s="648"/>
      <c r="AA50" s="648"/>
      <c r="AB50" s="648"/>
      <c r="AC50" s="648"/>
      <c r="AD50" s="64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0"/>
      <c r="X51" s="650"/>
      <c r="Y51" s="650"/>
      <c r="Z51" s="650"/>
      <c r="AA51" s="650"/>
      <c r="AB51" s="650"/>
      <c r="AC51" s="650"/>
      <c r="AD51" s="65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38" t="s">
        <v>18</v>
      </c>
      <c r="X52" s="639"/>
      <c r="Y52" s="641" t="s">
        <v>1549</v>
      </c>
      <c r="Z52" s="641"/>
      <c r="AA52" s="641"/>
      <c r="AB52" s="641"/>
      <c r="AC52" s="641"/>
      <c r="AD52" s="64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38" t="s">
        <v>19</v>
      </c>
      <c r="X53" s="639"/>
      <c r="Y53" s="641" t="s">
        <v>1549</v>
      </c>
      <c r="Z53" s="641"/>
      <c r="AA53" s="641"/>
      <c r="AB53" s="641"/>
      <c r="AC53" s="641"/>
      <c r="AD53" s="64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38" t="s">
        <v>20</v>
      </c>
      <c r="X54" s="639"/>
      <c r="Y54" s="640" t="s">
        <v>1550</v>
      </c>
      <c r="Z54" s="640"/>
      <c r="AA54" s="640"/>
      <c r="AB54" s="641"/>
      <c r="AC54" s="641"/>
      <c r="AD54" s="64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3" t="s">
        <v>21</v>
      </c>
      <c r="X55" s="644"/>
      <c r="Y55" s="640" t="s">
        <v>1551</v>
      </c>
      <c r="Z55" s="640"/>
      <c r="AA55" s="640"/>
      <c r="AB55" s="640"/>
      <c r="AC55" s="640"/>
      <c r="AD55" s="645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V36" sqref="V3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8" t="s">
        <v>1528</v>
      </c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699"/>
      <c r="AC4" s="700"/>
      <c r="AD4" s="217"/>
      <c r="AE4" s="216"/>
      <c r="AF4" s="216"/>
    </row>
    <row r="5" spans="2:32" ht="13.5" customHeight="1">
      <c r="B5" s="215"/>
      <c r="C5" s="215"/>
      <c r="D5" s="701"/>
      <c r="E5" s="702"/>
      <c r="F5" s="702"/>
      <c r="G5" s="702"/>
      <c r="H5" s="702"/>
      <c r="I5" s="702"/>
      <c r="J5" s="702"/>
      <c r="K5" s="702"/>
      <c r="L5" s="702"/>
      <c r="M5" s="702"/>
      <c r="N5" s="702"/>
      <c r="O5" s="702"/>
      <c r="P5" s="702"/>
      <c r="Q5" s="702"/>
      <c r="R5" s="702"/>
      <c r="S5" s="702"/>
      <c r="T5" s="702"/>
      <c r="U5" s="702"/>
      <c r="V5" s="702"/>
      <c r="W5" s="702"/>
      <c r="X5" s="702"/>
      <c r="Y5" s="702"/>
      <c r="Z5" s="702"/>
      <c r="AA5" s="702"/>
      <c r="AB5" s="702"/>
      <c r="AC5" s="703"/>
      <c r="AD5" s="217"/>
      <c r="AE5" s="216"/>
      <c r="AF5" s="216"/>
    </row>
    <row r="6" spans="2:32" ht="12.75" customHeight="1">
      <c r="B6" s="215"/>
      <c r="C6" s="215"/>
      <c r="D6" s="701"/>
      <c r="E6" s="702"/>
      <c r="F6" s="702"/>
      <c r="G6" s="702"/>
      <c r="H6" s="702"/>
      <c r="I6" s="702"/>
      <c r="J6" s="702"/>
      <c r="K6" s="702"/>
      <c r="L6" s="702"/>
      <c r="M6" s="702"/>
      <c r="N6" s="702"/>
      <c r="O6" s="702"/>
      <c r="P6" s="702"/>
      <c r="Q6" s="702"/>
      <c r="R6" s="702"/>
      <c r="S6" s="702"/>
      <c r="T6" s="702"/>
      <c r="U6" s="702"/>
      <c r="V6" s="702"/>
      <c r="W6" s="702"/>
      <c r="X6" s="702"/>
      <c r="Y6" s="702"/>
      <c r="Z6" s="702"/>
      <c r="AA6" s="702"/>
      <c r="AB6" s="702"/>
      <c r="AC6" s="703"/>
      <c r="AE6" s="216"/>
      <c r="AF6" s="216"/>
    </row>
    <row r="7" spans="2:32" ht="12.75" customHeight="1" thickBot="1">
      <c r="B7" s="215"/>
      <c r="C7" s="215"/>
      <c r="D7" s="704"/>
      <c r="E7" s="705"/>
      <c r="F7" s="705"/>
      <c r="G7" s="705"/>
      <c r="H7" s="705"/>
      <c r="I7" s="705"/>
      <c r="J7" s="705"/>
      <c r="K7" s="705"/>
      <c r="L7" s="705"/>
      <c r="M7" s="705"/>
      <c r="N7" s="705"/>
      <c r="O7" s="705"/>
      <c r="P7" s="705"/>
      <c r="Q7" s="705"/>
      <c r="R7" s="705"/>
      <c r="S7" s="705"/>
      <c r="T7" s="705"/>
      <c r="U7" s="705"/>
      <c r="V7" s="705"/>
      <c r="W7" s="705"/>
      <c r="X7" s="705"/>
      <c r="Y7" s="705"/>
      <c r="Z7" s="705"/>
      <c r="AA7" s="705"/>
      <c r="AB7" s="705"/>
      <c r="AC7" s="70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U22" sqref="U22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2" t="s">
        <v>1527</v>
      </c>
      <c r="D3" s="702"/>
      <c r="E3" s="702"/>
      <c r="F3" s="702"/>
      <c r="G3" s="702"/>
      <c r="H3" s="702"/>
      <c r="I3" s="702"/>
      <c r="J3" s="702"/>
      <c r="K3" s="702"/>
      <c r="L3" s="702"/>
      <c r="M3" s="702"/>
      <c r="N3" s="702"/>
      <c r="O3" s="702"/>
      <c r="P3" s="702"/>
      <c r="Q3" s="702"/>
      <c r="R3" s="702"/>
      <c r="S3" s="702"/>
      <c r="T3" s="702"/>
      <c r="U3" s="702"/>
      <c r="V3" s="702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2"/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07" t="s">
        <v>1623</v>
      </c>
      <c r="D6" s="707"/>
      <c r="E6" s="707"/>
      <c r="F6" s="707"/>
      <c r="G6" s="707"/>
      <c r="H6" s="707"/>
      <c r="I6" s="707"/>
      <c r="J6" s="707"/>
      <c r="K6" s="707"/>
      <c r="L6" s="707"/>
      <c r="M6" s="707"/>
      <c r="W6" s="182"/>
      <c r="Y6" s="428"/>
      <c r="Z6" s="428"/>
      <c r="AA6" s="428"/>
      <c r="AB6" s="429"/>
      <c r="AC6" s="429"/>
    </row>
    <row r="7" spans="1:29" ht="18" customHeight="1">
      <c r="A7" s="181"/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2024-05-09T05:03:44Z</dcterms:modified>
</cp:coreProperties>
</file>