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4C54B9B3-578F-476B-968C-3DCF8CA8EA87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0" i="11" l="1"/>
  <c r="F89" i="11"/>
  <c r="F88" i="11"/>
  <c r="F87" i="11"/>
  <c r="F86" i="11"/>
  <c r="F85" i="11"/>
  <c r="F84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4" i="11"/>
  <c r="F35" i="11"/>
  <c r="F34" i="11"/>
  <c r="F33" i="11"/>
  <c r="F32" i="11"/>
  <c r="F31" i="11"/>
  <c r="G29" i="11"/>
  <c r="G30" i="11"/>
  <c r="G31" i="11"/>
  <c r="G32" i="11"/>
  <c r="G33" i="11"/>
  <c r="G34" i="11"/>
  <c r="G35" i="11"/>
  <c r="G36" i="11"/>
  <c r="G37" i="11"/>
  <c r="G38" i="11"/>
  <c r="G39" i="11"/>
  <c r="H39" i="11"/>
  <c r="I39" i="11"/>
  <c r="G40" i="11"/>
  <c r="G41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I35" i="11" s="1"/>
  <c r="E35" i="11"/>
  <c r="D36" i="11"/>
  <c r="I36" i="11" s="1"/>
  <c r="E36" i="11"/>
  <c r="D37" i="11"/>
  <c r="H37" i="11" s="1"/>
  <c r="E37" i="11"/>
  <c r="D38" i="11"/>
  <c r="H38" i="11" s="1"/>
  <c r="E38" i="11"/>
  <c r="G18" i="11"/>
  <c r="D18" i="11"/>
  <c r="I18" i="11" s="1"/>
  <c r="E18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E28" i="11"/>
  <c r="G28" i="11"/>
  <c r="G17" i="11"/>
  <c r="D17" i="11"/>
  <c r="H17" i="11" s="1"/>
  <c r="E17" i="11"/>
  <c r="I31" i="11" l="1"/>
  <c r="I30" i="11"/>
  <c r="H36" i="11"/>
  <c r="J38" i="11"/>
  <c r="I34" i="11"/>
  <c r="H31" i="11"/>
  <c r="J29" i="11"/>
  <c r="H35" i="11"/>
  <c r="J33" i="11"/>
  <c r="I38" i="11"/>
  <c r="J37" i="11"/>
  <c r="H34" i="11"/>
  <c r="I33" i="11"/>
  <c r="J32" i="11"/>
  <c r="H30" i="11"/>
  <c r="I29" i="11"/>
  <c r="I37" i="11"/>
  <c r="J36" i="11"/>
  <c r="J35" i="11"/>
  <c r="I32" i="11"/>
  <c r="J31" i="11"/>
  <c r="J18" i="11"/>
  <c r="H18" i="11"/>
  <c r="I23" i="11"/>
  <c r="I27" i="11"/>
  <c r="I22" i="11"/>
  <c r="H22" i="11"/>
  <c r="H27" i="11"/>
  <c r="I26" i="11"/>
  <c r="J25" i="11"/>
  <c r="H23" i="11"/>
  <c r="I25" i="11"/>
  <c r="J28" i="11"/>
  <c r="I28" i="11"/>
  <c r="I24" i="11"/>
  <c r="H28" i="11"/>
  <c r="J26" i="11"/>
  <c r="H24" i="11"/>
  <c r="J17" i="11"/>
  <c r="I17" i="11"/>
  <c r="D43" i="11"/>
  <c r="J43" i="11" s="1"/>
  <c r="E43" i="11"/>
  <c r="G43" i="11"/>
  <c r="J44" i="11"/>
  <c r="E44" i="11"/>
  <c r="G44" i="11"/>
  <c r="D45" i="11"/>
  <c r="H45" i="11" s="1"/>
  <c r="E45" i="11"/>
  <c r="G45" i="11"/>
  <c r="D46" i="11"/>
  <c r="E46" i="11"/>
  <c r="G46" i="11"/>
  <c r="D47" i="11"/>
  <c r="J47" i="11" s="1"/>
  <c r="E47" i="11"/>
  <c r="G47" i="11"/>
  <c r="D48" i="11"/>
  <c r="E48" i="11"/>
  <c r="G48" i="11"/>
  <c r="D49" i="11"/>
  <c r="E49" i="11"/>
  <c r="G49" i="11"/>
  <c r="F81" i="11"/>
  <c r="F80" i="11"/>
  <c r="F79" i="11"/>
  <c r="F78" i="11"/>
  <c r="H49" i="11" l="1"/>
  <c r="H46" i="11"/>
  <c r="K29" i="11"/>
  <c r="K36" i="11"/>
  <c r="K30" i="11"/>
  <c r="K38" i="11"/>
  <c r="K32" i="11"/>
  <c r="K35" i="11"/>
  <c r="K34" i="11"/>
  <c r="K31" i="11"/>
  <c r="K37" i="11"/>
  <c r="K33" i="11"/>
  <c r="K18" i="11"/>
  <c r="K23" i="11"/>
  <c r="K22" i="11"/>
  <c r="K26" i="11"/>
  <c r="K27" i="11"/>
  <c r="K25" i="11"/>
  <c r="K28" i="11"/>
  <c r="K24" i="11"/>
  <c r="K17" i="11"/>
  <c r="H47" i="11"/>
  <c r="I46" i="11"/>
  <c r="J45" i="11"/>
  <c r="J48" i="11"/>
  <c r="I43" i="11"/>
  <c r="I49" i="11"/>
  <c r="I47" i="11"/>
  <c r="I45" i="11"/>
  <c r="H43" i="11"/>
  <c r="I48" i="11"/>
  <c r="I44" i="11"/>
  <c r="J49" i="11"/>
  <c r="H48" i="11"/>
  <c r="J46" i="11"/>
  <c r="H44" i="11"/>
  <c r="K44" i="11" s="1"/>
  <c r="K45" i="11" l="1"/>
  <c r="K43" i="11"/>
  <c r="K47" i="11"/>
  <c r="K46" i="11"/>
  <c r="K48" i="11"/>
  <c r="K49" i="11"/>
  <c r="G82" i="11" l="1"/>
  <c r="G83" i="11"/>
  <c r="G84" i="11"/>
  <c r="G85" i="11"/>
  <c r="G86" i="11"/>
  <c r="G87" i="11"/>
  <c r="G88" i="11"/>
  <c r="G89" i="11"/>
  <c r="G90" i="11"/>
  <c r="G91" i="11"/>
  <c r="G92" i="11"/>
  <c r="G93" i="11"/>
  <c r="G94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H86" i="11" s="1"/>
  <c r="E86" i="11"/>
  <c r="D87" i="11"/>
  <c r="J87" i="11" s="1"/>
  <c r="E87" i="11"/>
  <c r="D88" i="11"/>
  <c r="E88" i="11"/>
  <c r="D89" i="11"/>
  <c r="H89" i="11" s="1"/>
  <c r="E89" i="11"/>
  <c r="D90" i="11"/>
  <c r="H90" i="11" s="1"/>
  <c r="E90" i="11"/>
  <c r="D91" i="11"/>
  <c r="J91" i="11" s="1"/>
  <c r="E91" i="11"/>
  <c r="D92" i="11"/>
  <c r="J92" i="11" s="1"/>
  <c r="E92" i="11"/>
  <c r="D93" i="11"/>
  <c r="I93" i="11" s="1"/>
  <c r="E93" i="11"/>
  <c r="D94" i="11"/>
  <c r="H94" i="11" s="1"/>
  <c r="E94" i="11"/>
  <c r="D40" i="11"/>
  <c r="E40" i="11"/>
  <c r="D41" i="11"/>
  <c r="E41" i="11"/>
  <c r="D42" i="11"/>
  <c r="J42" i="11" s="1"/>
  <c r="E42" i="11"/>
  <c r="G42" i="11"/>
  <c r="F39" i="11"/>
  <c r="J39" i="11" s="1"/>
  <c r="K39" i="11" s="1"/>
  <c r="I40" i="11" l="1"/>
  <c r="J40" i="11"/>
  <c r="H40" i="11"/>
  <c r="H41" i="11"/>
  <c r="I41" i="11"/>
  <c r="J41" i="11"/>
  <c r="I88" i="11"/>
  <c r="I84" i="11"/>
  <c r="I90" i="11"/>
  <c r="J82" i="11"/>
  <c r="H93" i="11"/>
  <c r="J86" i="11"/>
  <c r="H84" i="11"/>
  <c r="I82" i="11"/>
  <c r="J90" i="11"/>
  <c r="H88" i="11"/>
  <c r="I86" i="11"/>
  <c r="I92" i="11"/>
  <c r="I91" i="11"/>
  <c r="I87" i="11"/>
  <c r="I83" i="11"/>
  <c r="J94" i="11"/>
  <c r="H92" i="11"/>
  <c r="H91" i="11"/>
  <c r="J89" i="11"/>
  <c r="H87" i="11"/>
  <c r="J85" i="11"/>
  <c r="H83" i="11"/>
  <c r="I94" i="11"/>
  <c r="J93" i="11"/>
  <c r="I89" i="11"/>
  <c r="J88" i="11"/>
  <c r="I85" i="11"/>
  <c r="J84" i="11"/>
  <c r="I42" i="11"/>
  <c r="H42" i="11"/>
  <c r="K41" i="11" l="1"/>
  <c r="K40" i="11"/>
  <c r="K91" i="11"/>
  <c r="K86" i="11"/>
  <c r="K88" i="11"/>
  <c r="K85" i="11"/>
  <c r="K94" i="11"/>
  <c r="K83" i="11"/>
  <c r="K92" i="11"/>
  <c r="K90" i="11"/>
  <c r="K89" i="11"/>
  <c r="K84" i="11"/>
  <c r="K82" i="11"/>
  <c r="K93" i="11"/>
  <c r="K87" i="11"/>
  <c r="K42" i="11"/>
  <c r="D76" i="11" l="1"/>
  <c r="D77" i="11"/>
  <c r="D78" i="11"/>
  <c r="D79" i="11"/>
  <c r="D80" i="11"/>
  <c r="D81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63" i="11"/>
  <c r="D63" i="11"/>
  <c r="J63" i="11" s="1"/>
  <c r="E63" i="11"/>
  <c r="J21" i="11" l="1"/>
  <c r="I21" i="11"/>
  <c r="I19" i="11"/>
  <c r="H19" i="11"/>
  <c r="I15" i="11"/>
  <c r="H15" i="11"/>
  <c r="I16" i="11"/>
  <c r="H16" i="11"/>
  <c r="I63" i="11"/>
  <c r="H63" i="11"/>
  <c r="K21" i="11" l="1"/>
  <c r="K19" i="11"/>
  <c r="K15" i="11"/>
  <c r="K63" i="11"/>
  <c r="K16" i="11"/>
  <c r="F73" i="11" l="1"/>
  <c r="F72" i="11"/>
  <c r="F71" i="11"/>
  <c r="F70" i="11"/>
  <c r="F69" i="11"/>
  <c r="F68" i="11"/>
  <c r="F67" i="11"/>
  <c r="F66" i="11"/>
  <c r="F65" i="11"/>
  <c r="D64" i="11"/>
  <c r="H64" i="11" s="1"/>
  <c r="E64" i="11"/>
  <c r="G64" i="11"/>
  <c r="D65" i="11"/>
  <c r="J65" i="11" s="1"/>
  <c r="E65" i="11"/>
  <c r="G65" i="11"/>
  <c r="D66" i="11"/>
  <c r="J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E73" i="11"/>
  <c r="G73" i="11"/>
  <c r="D74" i="11"/>
  <c r="J74" i="11" s="1"/>
  <c r="E74" i="11"/>
  <c r="G74" i="11"/>
  <c r="D50" i="11"/>
  <c r="J50" i="11" s="1"/>
  <c r="E50" i="11"/>
  <c r="G50" i="11"/>
  <c r="D51" i="11"/>
  <c r="E51" i="11"/>
  <c r="G51" i="11"/>
  <c r="D52" i="11"/>
  <c r="J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E55" i="11"/>
  <c r="G55" i="11"/>
  <c r="D56" i="11"/>
  <c r="J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E62" i="11"/>
  <c r="G62" i="11"/>
  <c r="G6" i="11"/>
  <c r="D75" i="11"/>
  <c r="J75" i="11" s="1"/>
  <c r="E75" i="11"/>
  <c r="G75" i="11"/>
  <c r="H76" i="11"/>
  <c r="E76" i="11"/>
  <c r="G76" i="11"/>
  <c r="E77" i="11"/>
  <c r="G77" i="11"/>
  <c r="J78" i="11"/>
  <c r="E78" i="11"/>
  <c r="G78" i="11"/>
  <c r="J79" i="11"/>
  <c r="E79" i="11"/>
  <c r="G79" i="11"/>
  <c r="E80" i="11"/>
  <c r="G80" i="11"/>
  <c r="H81" i="11"/>
  <c r="E81" i="11"/>
  <c r="G81" i="11"/>
  <c r="D20" i="60"/>
  <c r="I51" i="11" l="1"/>
  <c r="I55" i="11"/>
  <c r="J62" i="11"/>
  <c r="J73" i="11"/>
  <c r="J72" i="11"/>
  <c r="J64" i="11"/>
  <c r="I68" i="11"/>
  <c r="I64" i="11"/>
  <c r="I70" i="11"/>
  <c r="H70" i="11"/>
  <c r="H66" i="11"/>
  <c r="I66" i="11"/>
  <c r="I74" i="11"/>
  <c r="I72" i="11"/>
  <c r="I71" i="11"/>
  <c r="J51" i="11"/>
  <c r="H74" i="11"/>
  <c r="H68" i="11"/>
  <c r="I67" i="11"/>
  <c r="I73" i="11"/>
  <c r="H73" i="11"/>
  <c r="J71" i="11"/>
  <c r="H69" i="11"/>
  <c r="J67" i="11"/>
  <c r="H65" i="11"/>
  <c r="I69" i="11"/>
  <c r="I65" i="11"/>
  <c r="I59" i="11"/>
  <c r="J55" i="11"/>
  <c r="H55" i="11"/>
  <c r="H59" i="11"/>
  <c r="J60" i="11"/>
  <c r="H56" i="11"/>
  <c r="I53" i="11"/>
  <c r="I52" i="11"/>
  <c r="I60" i="11"/>
  <c r="I56" i="11"/>
  <c r="H51" i="11"/>
  <c r="H61" i="11"/>
  <c r="H57" i="11"/>
  <c r="H52" i="11"/>
  <c r="I57" i="11"/>
  <c r="H53" i="11"/>
  <c r="I61" i="11"/>
  <c r="I58" i="11"/>
  <c r="I50" i="11"/>
  <c r="H62" i="11"/>
  <c r="H58" i="11"/>
  <c r="H54" i="11"/>
  <c r="H50" i="11"/>
  <c r="I62" i="11"/>
  <c r="I54" i="11"/>
  <c r="H77" i="11"/>
  <c r="H80" i="11"/>
  <c r="J81" i="11"/>
  <c r="J80" i="11"/>
  <c r="I78" i="11"/>
  <c r="H78" i="11"/>
  <c r="J77" i="11"/>
  <c r="J76" i="11"/>
  <c r="I76" i="11"/>
  <c r="I80" i="11"/>
  <c r="H79" i="11"/>
  <c r="H75" i="11"/>
  <c r="I79" i="11"/>
  <c r="I75" i="11"/>
  <c r="I81" i="11"/>
  <c r="I77" i="11"/>
  <c r="D14" i="11"/>
  <c r="J14" i="11" s="1"/>
  <c r="E14" i="11"/>
  <c r="G14" i="11"/>
  <c r="K19" i="60"/>
  <c r="D19" i="60"/>
  <c r="K53" i="11" l="1"/>
  <c r="K70" i="11"/>
  <c r="K58" i="11"/>
  <c r="K64" i="11"/>
  <c r="K68" i="11"/>
  <c r="K55" i="11"/>
  <c r="K72" i="11"/>
  <c r="K60" i="11"/>
  <c r="K71" i="11"/>
  <c r="K59" i="11"/>
  <c r="K66" i="11"/>
  <c r="K56" i="11"/>
  <c r="K52" i="11"/>
  <c r="K51" i="11"/>
  <c r="K74" i="11"/>
  <c r="K67" i="11"/>
  <c r="K65" i="11"/>
  <c r="K73" i="11"/>
  <c r="K69" i="11"/>
  <c r="K57" i="11"/>
  <c r="K61" i="11"/>
  <c r="K62" i="11"/>
  <c r="K50" i="11"/>
  <c r="K54" i="11"/>
  <c r="K76" i="11"/>
  <c r="K78" i="11"/>
  <c r="K80" i="11"/>
  <c r="K81" i="11"/>
  <c r="K77" i="11"/>
  <c r="K75" i="11"/>
  <c r="K79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9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5" i="11"/>
  <c r="D96" i="11"/>
  <c r="H96" i="11" s="1"/>
  <c r="E9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5" i="11"/>
  <c r="J95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6" i="11"/>
  <c r="I96" i="11"/>
  <c r="H95" i="11" l="1"/>
  <c r="I95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6" i="11"/>
  <c r="K95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8" i="11"/>
  <c r="H99" i="11" s="1"/>
  <c r="I98" i="11"/>
  <c r="I99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0" i="11"/>
  <c r="I10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8" i="11" l="1"/>
  <c r="K99" i="11" s="1"/>
  <c r="K100" i="11" s="1"/>
  <c r="B101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8" i="11"/>
  <c r="J9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<sst xmlns="http://schemas.openxmlformats.org/spreadsheetml/2006/main" count="4772" uniqueCount="1644">
  <si>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</si>
  <si>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</si>
  <si>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</si>
  <si>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</si>
  <si>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</si>
  <si>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</si>
  <si>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</si>
  <si>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</si>
  <si>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</si>
  <si>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</si>
  <si>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</si>
  <si>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</si>
  <si>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</si>
  <si>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</si>
  <si>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</si>
  <si>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</si>
  <si>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</si>
  <si>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</si>
  <si>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</si>
  <si>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</si>
  <si>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</si>
  <si>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</si>
  <si>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</si>
  <si>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</si>
  <si>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</si>
  <si>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</si>
  <si>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</si>
  <si>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</si>
  <si>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</si>
  <si>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</si>
  <si>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</si>
  <si>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</si>
  <si>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</si>
  <si>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</si>
  <si>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</si>
  <si>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</si>
  <si>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</si>
  <si>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</si>
  <si>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</si>
  <si>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</si>
  <si>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</si>
  <si>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</si>
  <si>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</si>
  <si>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</si>
  <si>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</si>
  <si>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</si>
  <si>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</si>
  <si>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</si>
  <si>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</si>
  <si>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</si>
  <si>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</si>
  <si>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</si>
  <si>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</si>
  <si>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</si>
  <si>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</si>
  <si>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</si>
  <si>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</si>
  <si>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</si>
  <si>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</si>
  <si>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</si>
  <si>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</si>
  <si>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</si>
  <si>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</si>
  <si>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</si>
  <si>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</si>
  <si>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</si>
  <si>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</si>
  <si>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</si>
  <si>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</si>
  <si>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</si>
  <si>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</si>
  <si>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</si>
  <si>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</si>
  <si>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</si>
  <si>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</si>
  <si>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</si>
  <si>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</si>
  <si>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</si>
  <si>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</si>
  <si>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</si>
  <si>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</si>
  <si>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</si>
  <si>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</si>
  <si>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</si>
  <si>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</si>
  <si>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</si>
  <si>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</si>
  <si>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</si>
  <si>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</si>
  <si>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</si>
  <si>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</si>
  <si>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</si>
  <si>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</si>
  <si>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</si>
  <si>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</si>
  <si>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</si>
  <si>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</si>
  <si>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</si>
  <si>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</si>
  <si>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</si>
  <si>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</si>
  <si>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</si>
  <si>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</si>
  <si>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</si>
  <si>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</si>
  <si>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</si>
  <si>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</si>
  <si>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</si>
  <si>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</si>
  <si>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</si>
  <si>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</si>
  <si>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</si>
  <si>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</si>
  <si>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</si>
  <si>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</si>
  <si>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</si>
  <si>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</si>
  <si>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</si>
  <si>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</si>
  <si>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</si>
  <si>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</si>
  <si>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</si>
  <si>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</si>
  <si>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</si>
  <si>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</si>
  <si>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</si>
  <si>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</si>
  <si>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</si>
  <si>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</si>
  <si>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</si>
  <si>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</si>
  <si>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</si>
  <si>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</si>
  <si>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</si>
  <si>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</si>
  <si>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</si>
  <si>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</si>
  <si>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</si>
  <si>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</si>
  <si>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</si>
  <si>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</si>
  <si>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</si>
  <si>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</si>
  <si>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</si>
  <si>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</si>
  <si>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</si>
  <si>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</si>
  <si>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</si>
  <si>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</si>
  <si>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</si>
  <si>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</si>
  <si>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</si>
  <si>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</si>
  <si>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</si>
  <si>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</si>
  <si>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</si>
  <si>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</si>
  <si>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</si>
  <si>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</si>
  <si>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</si>
  <si>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</si>
  <si>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</si>
  <si>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</si>
  <si>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</si>
  <si>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</si>
  <si>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</si>
  <si>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</si>
  <si>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</si>
  <si>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</si>
  <si>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</si>
  <si>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</si>
  <si>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</si>
  <si>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</si>
  <si>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</si>
  <si>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</si>
  <si>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</si>
  <si>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</si>
  <si>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</si>
  <si>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</si>
  <si>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</si>
  <si>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</si>
  <si>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</si>
  <si>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</si>
  <si>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</si>
  <si>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</si>
  <si>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</si>
  <si>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</si>
  <si>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</si>
  <si>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</si>
  <si>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</si>
  <si>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</si>
  <si>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</si>
  <si>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</si>
  <si>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</si>
  <si>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</si>
  <si>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</si>
  <si>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</si>
  <si>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</si>
  <si>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</si>
  <si>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</si>
  <si>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</si>
  <si>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</si>
  <si>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</si>
  <si>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</si>
  <si>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</si>
  <si>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</si>
  <si>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</si>
  <si>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</si>
  <si>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</si>
  <si>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</si>
  <si>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</si>
  <si>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</si>
  <si>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</si>
  <si>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</si>
  <si>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</si>
  <si>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</si>
  <si>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</si>
  <si>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</si>
  <si>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</si>
  <si>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</si>
  <si>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</si>
  <si>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</si>
  <si>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</si>
  <si>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</si>
  <si>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</si>
  <si>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</si>
  <si>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</si>
  <si>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</si>
  <si>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</si>
  <si>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</si>
  <si>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</si>
  <si>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</si>
  <si>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</si>
  <si>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</si>
  <si>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</si>
  <si>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</si>
  <si>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</si>
  <si>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</si>
  <si>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</si>
  <si>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</si>
  <si>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</si>
  <si>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</si>
  <si>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</si>
  <si>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</si>
  <si>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</si>
  <si>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</si>
  <si>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</si>
  <si>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</si>
  <si>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</si>
  <si>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</si>
  <si>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</si>
  <si>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</si>
  <si>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</si>
  <si>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</si>
  <si>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</si>
  <si>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</si>
  <si>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</si>
  <si>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</si>
  <si>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</si>
  <si>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</si>
  <si>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</si>
  <si>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</si>
  <si>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</si>
  <si>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</si>
  <si>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</si>
  <si>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</si>
  <si>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</si>
  <si>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</si>
  <si>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</si>
  <si>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</si>
  <si>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</si>
  <si>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</si>
  <si>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</si>
  <si>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</si>
  <si>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</si>
  <si>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</si>
  <si>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</si>
  <si>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</si>
  <si>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</si>
  <si>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</si>
  <si>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</si>
  <si>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</si>
  <si>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</si>
  <si>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</si>
  <si>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</si>
  <si>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</si>
  <si>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</si>
  <si>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</si>
  <si>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</si>
  <si>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</si>
  <si>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</si>
  <si>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</si>
  <si>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</si>
  <si>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</si>
  <si>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</si>
  <si>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</si>
  <si>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</si>
  <si>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</si>
  <si>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</si>
  <si>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</si>
  <si>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</si>
  <si>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</si>
  <si>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</si>
  <si>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</si>
  <si>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</si>
  <si>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</si>
  <si>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</si>
  <si>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</si>
  <si>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</si>
  <si>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</si>
  <si>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</si>
  <si>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</si>
  <si>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</si>
  <si>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</si>
  <si>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</si>
  <si>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</si>
  <si>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</si>
  <si>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</si>
  <si>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</si>
  <si>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</si>
  <si>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</si>
  <si>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</si>
  <si>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</si>
  <si>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</si>
  <si>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</si>
  <si>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</si>
  <si>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</si>
  <si>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</si>
  <si>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</si>
  <si>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</si>
  <si>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</si>
  <si>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</si>
  <si>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</si>
  <si>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</si>
  <si>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</si>
  <si>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</si>
  <si>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</si>
  <si>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</si>
  <si>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</si>
  <si>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</si>
  <si>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</si>
  <si>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</si>
  <si>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</si>
  <si>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</si>
  <si>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</si>
  <si>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</si>
  <si>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</si>
  <si>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</si>
  <si>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</si>
  <si>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</si>
  <si>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</si>
  <si>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</si>
  <si>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</si>
  <si>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</si>
  <si>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</si>
  <si>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</si>
  <si>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</si>
  <si>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</si>
  <si>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</si>
  <si>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</si>
  <si>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</si>
  <si>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</si>
  <si>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</si>
  <si>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</si>
  <si>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</si>
  <si>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</si>
  <si>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</si>
  <si>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</si>
  <si>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</si>
  <si>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</si>
  <si>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</si>
  <si>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</si>
  <si>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</si>
  <si>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</si>
  <si>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</si>
  <si>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</si>
  <si>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</si>
  <si>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</si>
  <si>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</si>
  <si>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</si>
  <si>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</si>
  <si>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</si>
  <si>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</si>
  <si>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</si>
  <si>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</si>
  <si>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</si>
  <si>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</si>
  <si>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</si>
  <si>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</si>
  <si>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</si>
  <si>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</si>
  <si>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</si>
  <si>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</si>
  <si>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</si>
  <si>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</si>
  <si>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</si>
  <si>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</si>
  <si>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</si>
  <si>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</si>
  <si>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</si>
  <si>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</si>
  <si>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</si>
  <si>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</si>
  <si>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</si>
  <si>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</si>
  <si>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</si>
  <si>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</si>
  <si>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</si>
  <si>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</si>
  <si>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</si>
  <si>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</si>
  <si>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</si>
  <si>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</si>
  <si>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</si>
  <si>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</si>
  <si>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</si>
  <si>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</si>
  <si>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</si>
  <si>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</si>
  <si>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</si>
  <si>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</si>
  <si>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</si>
  <si>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</si>
  <si>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</si>
  <si>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</si>
  <si>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</si>
  <si>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</si>
  <si>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</si>
  <si>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</si>
  <si>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</si>
  <si>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</si>
  <si>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</si>
  <si>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</si>
  <si>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</si>
  <si>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</si>
  <si>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</si>
  <si>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</si>
  <si>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</si>
  <si>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</si>
  <si>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</si>
  <si>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</si>
  <si>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</si>
  <si>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</si>
  <si>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</si>
  <si>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</si>
  <si>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</si>
  <si>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</si>
  <si>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</si>
  <si>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</si>
  <si>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</si>
  <si>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</si>
  <si>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</si>
  <si>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</si>
  <si>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</si>
  <si>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</si>
  <si>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</si>
  <si>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</si>
  <si>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</si>
  <si>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</si>
  <si>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</si>
  <si>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</si>
  <si>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</si>
  <si>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</si>
  <si>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</si>
  <si>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</si>
  <si>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</si>
  <si>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</si>
  <si>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</si>
  <si>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</si>
  <si>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</si>
  <si>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</si>
  <si>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</si>
  <si>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</si>
  <si>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</si>
  <si>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</si>
  <si>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</si>
  <si>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</si>
  <si>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</si>
  <si>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</si>
  <si>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</si>
  <si>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</si>
  <si>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</si>
  <si>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</si>
  <si>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</si>
  <si>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</si>
  <si>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</si>
  <si>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</si>
  <si>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</si>
  <si>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</si>
  <si>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</si>
  <si>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</si>
  <si>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</si>
  <si>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</si>
  <si>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</si>
  <si>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</si>
  <si>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</si>
  <si>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</si>
  <si>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</si>
  <si>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</si>
  <si>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</si>
  <si>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</si>
  <si>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</si>
  <si>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</si>
  <si>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</si>
  <si>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</si>
  <si>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</si>
  <si>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</si>
  <si>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</si>
  <si>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</si>
  <si>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</si>
  <si>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</si>
  <si>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</si>
  <si>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</si>
  <si>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</si>
  <si>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</si>
  <si>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</si>
  <si>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</si>
  <si>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</si>
  <si>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</si>
  <si>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</si>
  <si>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</si>
  <si>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</si>
  <si>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</si>
  <si>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</si>
  <si>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</si>
  <si>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</si>
  <si>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</si>
  <si>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</si>
  <si>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</si>
  <si>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</si>
  <si>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</si>
  <si>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</si>
  <si>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</si>
  <si>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</si>
  <si>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</si>
  <si>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</si>
  <si>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</si>
  <si>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</si>
  <si>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</si>
  <si>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</si>
  <si>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</si>
  <si>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</si>
  <si>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</si>
  <si>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</si>
  <si>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</si>
  <si>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</si>
  <si>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</si>
  <si>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</si>
  <si>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</si>
  <si>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</si>
  <si>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</si>
  <si>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</si>
  <si>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</si>
  <si>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</si>
  <si>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</si>
  <si>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</si>
  <si>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</si>
  <si>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</si>
  <si>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</si>
  <si>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</si>
  <si>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</si>
  <si>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</si>
  <si>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</si>
  <si>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</si>
  <si>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</si>
  <si>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</si>
  <si>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</si>
  <si>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</si>
  <si>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</si>
  <si>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</si>
  <si>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</si>
  <si>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</si>
  <si>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</si>
  <si>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</si>
  <si>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</si>
  <si>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</si>
  <si>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</si>
  <si>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</si>
  <si>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</si>
  <si>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</si>
  <si>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</si>
  <si>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</si>
  <si>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</si>
  <si>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</si>
  <si>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</si>
  <si>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</si>
  <si>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</si>
  <si>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</si>
  <si>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</si>
  <si>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</si>
  <si>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</si>
  <si>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</si>
  <si>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</si>
  <si>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</si>
  <si>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</si>
  <si>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</si>
  <si>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</si>
  <si>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</si>
  <si>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</si>
  <si>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</si>
  <si>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</si>
  <si>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</si>
  <si>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</si>
  <si>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</si>
  <si>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</si>
  <si>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</si>
  <si>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</si>
  <si>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</si>
  <si>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</si>
  <si>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</si>
  <si>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</si>
  <si>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</si>
  <si>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</si>
  <si>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</si>
  <si>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</si>
  <si>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</si>
  <si>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</si>
  <si>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</si>
  <si>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</si>
  <si>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</si>
  <si>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</si>
  <si>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</si>
  <si>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</si>
  <si>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</si>
  <si>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</si>
  <si>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</si>
  <si>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</si>
  <si>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</si>
  <si>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</si>
  <si>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</si>
  <si>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</si>
  <si>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</si>
  <si>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</si>
  <si>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</si>
  <si>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</si>
  <si>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</si>
  <si>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</si>
  <si>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</si>
  <si>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</si>
  <si>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</si>
  <si>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</si>
  <si>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</si>
  <si>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</si>
  <si>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</si>
  <si>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</si>
  <si>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</si>
  <si>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</si>
  <si>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</si>
  <si>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</si>
  <si>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</si>
  <si>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</si>
  <si>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</si>
  <si>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</si>
  <si>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</si>
  <si>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</si>
  <si>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</si>
  <si>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</si>
  <si>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</si>
  <si>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</si>
  <si>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</si>
  <si>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</si>
  <si>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</si>
  <si>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</si>
  <si>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</si>
  <si>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</si>
  <si>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</si>
  <si>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</si>
  <si>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</si>
  <si>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</si>
  <si>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</si>
  <si>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</si>
  <si>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</si>
  <si>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</si>
  <si>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</si>
  <si>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</si>
  <si>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</si>
  <si>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</si>
  <si>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</si>
  <si>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</si>
  <si>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</si>
  <si>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</si>
  <si>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</si>
  <si>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</si>
  <si>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</si>
  <si>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</si>
  <si>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</si>
  <si>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</si>
  <si>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</si>
  <si>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</si>
  <si>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</si>
  <si>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</si>
  <si>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</si>
  <si>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</si>
  <si>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</si>
  <si>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</si>
  <si>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</si>
  <si>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</si>
  <si>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</si>
  <si>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</si>
  <si>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</si>
  <si>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</si>
  <si>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</si>
  <si>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</si>
  <si>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</si>
  <si>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</si>
  <si>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</si>
  <si>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</si>
  <si>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</si>
  <si>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</si>
  <si>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</si>
  <si>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</si>
  <si>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</si>
  <si>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</si>
  <si>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</si>
  <si>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</si>
  <si>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</si>
  <si>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</si>
  <si>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</si>
  <si>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</si>
  <si>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</si>
  <si>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</si>
  <si>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</si>
  <si>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</si>
  <si>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</si>
  <si>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</si>
  <si>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</si>
  <si>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</si>
  <si>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</si>
  <si>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</si>
  <si>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</si>
  <si>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</si>
  <si>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</si>
  <si>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</si>
  <si>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</si>
  <si>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</si>
  <si>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</si>
  <si>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</si>
  <si>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</si>
  <si>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</si>
  <si>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</si>
  <si>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</si>
  <si>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</si>
  <si>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</si>
  <si>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</si>
  <si>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</si>
  <si>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</si>
  <si>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</si>
  <si>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</si>
  <si>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</si>
  <si>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</si>
  <si>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</si>
  <si>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</si>
  <si>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</si>
  <si>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</si>
  <si>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</si>
  <si>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</si>
  <si>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</si>
  <si>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</si>
  <si>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</si>
  <si>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</si>
  <si>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</si>
  <si>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</si>
  <si>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</si>
  <si>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</si>
  <si>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</si>
  <si>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</si>
  <si>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</si>
  <si>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</si>
  <si>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</si>
  <si>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</si>
  <si>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</si>
  <si>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</si>
  <si>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</si>
  <si>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</si>
  <si>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</si>
  <si>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</si>
  <si>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</si>
  <si>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</si>
  <si>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</si>
  <si>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</si>
  <si>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</si>
  <si>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</si>
  <si>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</si>
  <si>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</si>
  <si>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</si>
  <si>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</si>
  <si>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</si>
  <si>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</si>
  <si>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</si>
  <si>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</si>
  <si>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</si>
  <si>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</si>
  <si>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</si>
  <si>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</si>
  <si>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</si>
  <si>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</si>
  <si>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</si>
  <si>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</si>
  <si>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</si>
  <si>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</si>
  <si>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</si>
  <si>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</si>
  <si>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</si>
  <si>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</si>
  <si>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</si>
  <si>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</si>
  <si>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</si>
  <si>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</si>
  <si>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</si>
  <si>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</si>
  <si>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</si>
  <si>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</si>
  <si>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</si>
  <si>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</si>
  <si>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</si>
  <si>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</si>
  <si>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</si>
  <si>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</si>
  <si>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</si>
  <si>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</si>
  <si>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</si>
  <si>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</si>
  <si>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</si>
  <si>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</si>
  <si>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</si>
  <si>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</si>
  <si>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</si>
  <si>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</si>
  <si>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</si>
  <si>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</si>
  <si>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</si>
  <si>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</si>
  <si>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</si>
  <si>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</si>
  <si>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</si>
  <si>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</si>
  <si>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</si>
  <si>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</si>
  <si>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</si>
  <si>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</si>
  <si>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</si>
  <si>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</si>
  <si>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</si>
  <si>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</si>
  <si>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</si>
  <si>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</si>
  <si>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</si>
  <si>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</si>
  <si>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</si>
  <si>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</si>
  <si>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</si>
  <si>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</si>
  <si>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</si>
  <si>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</si>
  <si>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</si>
  <si>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</si>
  <si>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</si>
  <si>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</si>
  <si>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</si>
  <si>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</si>
  <si>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</si>
  <si>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</si>
  <si>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</si>
  <si>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</si>
  <si>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</si>
  <si>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</si>
  <si>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</si>
  <si>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</si>
  <si>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</si>
  <si>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</si>
  <si>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</si>
  <si>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</si>
  <si>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</si>
  <si>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</si>
  <si>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</si>
  <si>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</si>
  <si>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</si>
  <si>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</si>
  <si>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</si>
  <si>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</si>
  <si>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</si>
  <si>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</si>
  <si>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</si>
  <si>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</si>
  <si>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</si>
  <si>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</si>
  <si>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</si>
  <si>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</si>
  <si>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</si>
  <si>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</si>
  <si>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</si>
  <si>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</si>
  <si>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</si>
  <si>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</si>
  <si>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</si>
  <si>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</si>
  <si>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</si>
  <si>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</si>
  <si>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</si>
  <si>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</si>
  <si>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</si>
  <si>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</si>
  <si>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</si>
  <si>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</si>
  <si>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</si>
  <si>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</si>
  <si>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</si>
  <si>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</si>
  <si>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</si>
  <si>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</si>
  <si>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</si>
  <si>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</si>
  <si>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</si>
  <si>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</si>
  <si>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</si>
  <si>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</si>
  <si>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</si>
  <si>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</si>
  <si>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</si>
  <si>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</si>
  <si>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</si>
  <si>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</si>
  <si>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</si>
  <si>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</si>
  <si>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</si>
  <si>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</si>
  <si>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</si>
  <si>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</si>
  <si>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</si>
  <si>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</si>
  <si>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</si>
  <si>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</si>
  <si>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</si>
  <si>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</si>
  <si>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</si>
  <si>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</si>
  <si>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</si>
  <si>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</si>
  <si>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</si>
  <si>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</si>
  <si>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</si>
  <si>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</si>
  <si>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</si>
  <si>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</si>
  <si>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</si>
  <si>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</si>
  <si>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</si>
  <si>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</si>
  <si>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</si>
  <si>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</si>
  <si>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</si>
  <si>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</si>
  <si>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</si>
  <si>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</si>
  <si>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</si>
  <si>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</si>
  <si>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</si>
  <si>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</si>
  <si>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</si>
  <si>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</si>
  <si>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</si>
  <si>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</si>
  <si>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</si>
  <si>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</si>
  <si>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</si>
  <si>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</si>
  <si>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</si>
  <si>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</si>
  <si>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</si>
  <si>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</si>
  <si>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</si>
  <si>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</si>
  <si>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</si>
  <si>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</si>
  <si>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</si>
  <si>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</si>
  <si>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</si>
  <si>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</si>
  <si>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</si>
  <si>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</si>
  <si>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</si>
  <si>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</si>
  <si>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</si>
  <si>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</si>
  <si>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</si>
  <si>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</si>
  <si>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</si>
  <si>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</si>
  <si>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</si>
  <si>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</si>
  <si>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</si>
  <si>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</si>
  <si>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</si>
  <si>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</si>
  <si>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</si>
  <si>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</si>
  <si>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</si>
  <si>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</si>
  <si>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</si>
  <si>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</si>
  <si>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</si>
  <si>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</si>
  <si>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</si>
  <si>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</si>
  <si>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</si>
  <si>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</si>
  <si>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</si>
  <si>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</si>
  <si>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</si>
  <si>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</si>
  <si>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</si>
  <si>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</si>
  <si>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</si>
  <si>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</si>
  <si>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</si>
  <si>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</si>
  <si>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</si>
  <si>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</si>
  <si>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</si>
  <si>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</si>
  <si>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</si>
  <si>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</si>
  <si>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</si>
  <si>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</si>
  <si>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</si>
  <si>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</si>
  <si>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</si>
  <si>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</si>
  <si>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</si>
  <si>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</si>
  <si>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</si>
  <si>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</si>
  <si>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</si>
  <si>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</si>
  <si>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</si>
  <si>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</si>
  <si>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</si>
  <si>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</si>
  <si>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</si>
  <si>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</si>
  <si>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</si>
  <si>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</si>
  <si>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</si>
  <si>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</si>
  <si>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</si>
  <si>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</si>
  <si>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</si>
  <si>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</si>
  <si>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</si>
  <si>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</si>
  <si>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</si>
  <si>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</si>
  <si>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</si>
  <si>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</si>
  <si>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</si>
  <si>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</si>
  <si>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</si>
  <si>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</si>
  <si>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</si>
  <si>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</si>
  <si>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</si>
  <si>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</si>
  <si>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</si>
  <si>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</si>
  <si>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</si>
  <si>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</si>
  <si>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</si>
  <si>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</si>
  <si>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</si>
  <si>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</si>
  <si>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</si>
  <si>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</si>
  <si>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</si>
  <si>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</si>
  <si>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</si>
  <si>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</si>
  <si>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</si>
  <si>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</si>
  <si>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</si>
  <si>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</si>
  <si>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</si>
  <si>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</si>
  <si>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</si>
  <si>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</si>
  <si>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</si>
  <si>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</si>
  <si>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</si>
  <si>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</si>
  <si>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</si>
  <si>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</si>
  <si>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</si>
  <si>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</si>
  <si>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</si>
  <si>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</si>
  <si>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</si>
  <si>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</si>
  <si>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</si>
  <si>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</si>
  <si>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</si>
  <si>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</si>
  <si>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</si>
  <si>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</si>
  <si>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</si>
  <si>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</si>
  <si>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</si>
  <si>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</si>
  <si>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</si>
  <si>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</si>
  <si>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</si>
  <si>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</si>
  <si>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</si>
  <si>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</si>
  <si>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</si>
  <si>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</si>
  <si>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</si>
  <si>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</si>
  <si>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</si>
  <si>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</si>
  <si>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</si>
  <si>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</si>
  <si>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</si>
  <si>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</si>
  <si>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</si>
  <si>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</si>
  <si>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</si>
  <si>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</si>
  <si>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</si>
  <si>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</si>
  <si>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</si>
  <si>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</si>
  <si>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</si>
  <si>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</si>
  <si>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</si>
  <si>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</si>
  <si>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</si>
  <si>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</si>
  <si>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</si>
  <si>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</si>
  <si>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</si>
  <si>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</si>
  <si>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</si>
  <si>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</si>
  <si>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</si>
  <si>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</si>
  <si>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</si>
  <si>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</si>
  <si>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</si>
  <si>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</si>
  <si>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</si>
  <si>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</si>
  <si>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</si>
  <si>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</si>
  <si>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</si>
  <si>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</si>
  <si>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</si>
  <si>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</si>
  <si>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</si>
  <si>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</si>
  <si>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</si>
  <si>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</si>
  <si>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</si>
  <si>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</si>
  <si>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</si>
  <si>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</si>
  <si>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</si>
  <si>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</si>
  <si>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</si>
  <si>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</si>
  <si>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</si>
  <si>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</si>
  <si>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</si>
  <si>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</si>
  <si>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</si>
  <si>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</si>
  <si>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</si>
  <si>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</si>
  <si>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</si>
  <si>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</si>
  <si>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</si>
  <si>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</si>
  <si>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</si>
  <si>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</si>
  <si>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</si>
  <si>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</si>
  <si>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</si>
  <si>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</si>
  <si>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</si>
  <si>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</si>
  <si>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</si>
  <si>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</si>
  <si>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</si>
  <si>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</si>
  <si>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</si>
  <si>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</si>
  <si>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</si>
  <si>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</si>
  <si>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</si>
  <si>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</si>
  <si>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</si>
  <si>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</si>
  <si>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</si>
  <si>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</si>
  <si>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</si>
  <si>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</si>
  <si>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</si>
  <si>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</si>
  <si>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</si>
  <si>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</si>
  <si>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</si>
  <si>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</si>
  <si>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</si>
  <si>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</si>
  <si>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</si>
  <si>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</si>
  <si>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</si>
  <si>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</si>
  <si>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</si>
  <si>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</si>
  <si>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</si>
  <si>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</si>
  <si>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</si>
  <si>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</si>
  <si>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</si>
  <si>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</si>
  <si>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</si>
  <si>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</si>
  <si>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</si>
  <si>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</si>
  <si>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</si>
  <si>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</si>
  <si>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</si>
  <si>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</si>
  <si>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</si>
  <si>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</si>
  <si>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</si>
  <si>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</si>
  <si>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</si>
  <si>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</si>
  <si>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</si>
  <si>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</si>
  <si>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</si>
  <si>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</si>
  <si>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</si>
  <si>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</si>
  <si>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</si>
  <si>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</si>
  <si>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</si>
  <si>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</si>
  <si>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</si>
  <si>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</si>
  <si>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</si>
  <si>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</si>
  <si>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</si>
  <si>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</si>
  <si>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</si>
  <si>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</si>
  <si>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</si>
  <si>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</si>
  <si>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</si>
  <si>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</si>
  <si>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</si>
  <si>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</si>
  <si>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</si>
  <si>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</si>
  <si>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</si>
  <si>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</si>
  <si>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</si>
  <si>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</si>
  <si>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</si>
  <si>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</si>
  <si>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</si>
  <si>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</si>
  <si>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</si>
  <si>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</si>
  <si>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</si>
  <si>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</si>
  <si>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</si>
  <si>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</si>
  <si>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</si>
  <si>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</si>
  <si>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</si>
  <si>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</si>
  <si>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</si>
  <si>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</si>
  <si>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</si>
  <si>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</si>
  <si>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</si>
  <si>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</si>
  <si>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</si>
  <si>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</si>
  <si>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</si>
  <si>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</si>
  <si>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</si>
  <si>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</si>
  <si>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</si>
  <si>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</si>
  <si>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</si>
  <si>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</si>
  <si>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</si>
  <si>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</si>
  <si>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</si>
  <si>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</si>
  <si>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</si>
  <si>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</si>
  <si>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</si>
  <si>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</si>
  <si>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</si>
  <si>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</si>
  <si>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</si>
  <si>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</si>
  <si>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</si>
  <si>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</si>
  <si>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</si>
  <si>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</si>
  <si>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</si>
  <si>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</si>
  <si>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</si>
  <si>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</si>
  <si>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</si>
  <si>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</si>
  <si>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</si>
  <si>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</si>
  <si>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</si>
  <si>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</si>
  <si>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</si>
  <si>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</si>
  <si>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</si>
  <si>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</si>
  <si>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</si>
  <si>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</si>
  <si>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</si>
  <si>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</si>
  <si>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</si>
  <si>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</si>
  <si>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</si>
  <si>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</si>
  <si>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</si>
  <si>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</si>
  <si>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</si>
  <si>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</si>
  <si>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</si>
  <si>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</si>
  <si>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</si>
  <si>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</si>
  <si>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</si>
  <si>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</si>
  <si>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</si>
  <si>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</si>
  <si>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</si>
  <si>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</si>
  <si>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</si>
  <si>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</si>
  <si>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</si>
  <si>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</si>
  <si>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</si>
  <si>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</si>
  <si>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</si>
  <si>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</si>
  <si>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</si>
  <si>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</si>
  <si>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</si>
  <si>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</si>
  <si>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</si>
  <si>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</si>
  <si>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</si>
  <si>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</si>
  <si>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</si>
  <si>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</si>
  <si>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</si>
  <si>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</si>
  <si>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</si>
  <si>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</si>
  <si>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</si>
  <si>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</si>
  <si>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</si>
  <si>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</si>
  <si>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</si>
  <si>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</si>
  <si>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</si>
  <si>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</si>
  <si>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</si>
  <si>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</si>
  <si>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</si>
  <si>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</si>
  <si>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</si>
  <si>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</si>
  <si>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</si>
  <si>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</si>
  <si>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</si>
  <si>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</si>
  <si>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</si>
  <si>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</si>
  <si>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</si>
  <si>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</si>
  <si>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</si>
  <si>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</si>
  <si>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</si>
  <si>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</si>
  <si>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</si>
  <si>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</si>
  <si>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</si>
  <si>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</si>
  <si>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</si>
  <si>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</si>
  <si>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</si>
  <si>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</si>
  <si>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</si>
  <si>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</si>
  <si>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</si>
  <si>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</si>
  <si>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</si>
  <si>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</si>
  <si>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</si>
  <si>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</si>
  <si>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</si>
  <si>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</si>
  <si>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</si>
  <si>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</si>
  <si>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</si>
  <si>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</si>
  <si>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</si>
  <si>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</si>
  <si>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</si>
  <si>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</si>
  <si>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</si>
  <si>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</si>
  <si>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</si>
  <si>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</si>
  <si>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</si>
  <si>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</si>
  <si>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</si>
  <si>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</si>
  <si>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</si>
  <si>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</si>
  <si>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</si>
  <si>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</si>
  <si>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</si>
  <si>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</si>
  <si>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</si>
  <si>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</si>
  <si>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</si>
  <si>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</si>
  <si>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</si>
  <si>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</si>
  <si>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</si>
  <si>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</si>
  <si>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</si>
  <si>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</si>
  <si>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</si>
  <si>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</si>
  <si>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</si>
  <si>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</si>
  <si>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</si>
  <si>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</si>
  <si>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</si>
  <si>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</si>
  <si>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</si>
  <si>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</si>
  <si>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</si>
  <si>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</si>
  <si>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</si>
  <si>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</si>
  <si>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</si>
  <si>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</si>
  <si>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</si>
  <si>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</si>
  <si>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</si>
  <si>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</si>
  <si>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</si>
  <si>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</si>
  <si>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</si>
  <si>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</si>
  <si>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</si>
  <si>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</si>
  <si>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</si>
  <si>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</si>
  <si>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</si>
  <si>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</si>
  <si>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</si>
  <si>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</si>
  <si>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</si>
  <si>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</si>
  <si>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</si>
  <si>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</si>
  <si>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</si>
  <si>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</si>
  <si>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</si>
  <si>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</si>
  <si>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</si>
  <si>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</si>
  <si>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</si>
  <si>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</si>
  <si>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</si>
  <si>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</si>
  <si>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</si>
  <si>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</si>
  <si>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</si>
  <si>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</si>
  <si>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</si>
  <si>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</si>
  <si>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</si>
  <si>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</si>
  <si>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</si>
  <si>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</si>
  <si>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</si>
  <si>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</si>
  <si>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</si>
  <si>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</si>
  <si>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</si>
  <si>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</si>
  <si>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</si>
  <si>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</si>
  <si>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</si>
  <si>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</si>
  <si>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</si>
  <si>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</si>
  <si>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</si>
  <si>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</si>
  <si>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</si>
  <si>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</si>
  <si>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</si>
  <si>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</si>
  <si>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</si>
  <si>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</si>
  <si>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</si>
  <si>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</si>
  <si>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</si>
  <si>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</si>
  <si>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</si>
  <si>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</si>
  <si>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</si>
  <si>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</si>
  <si>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</si>
  <si>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</si>
  <si>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</si>
  <si>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</si>
  <si>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</si>
  <si>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</si>
  <si>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</si>
  <si>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</si>
  <si>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</si>
  <si>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</si>
  <si>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</si>
  <si>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</si>
  <si>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</si>
  <si>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</si>
  <si>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</si>
  <si>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</si>
  <si>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</si>
  <si>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</si>
  <si>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</si>
  <si>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</si>
  <si>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</si>
  <si>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</si>
  <si>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</si>
  <si>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</si>
  <si>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</si>
  <si>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</si>
  <si>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</si>
  <si>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</si>
  <si>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</si>
  <si>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</si>
  <si>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</si>
  <si>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</si>
  <si>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</si>
  <si>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</si>
  <si>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</si>
  <si>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</si>
  <si>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</si>
  <si>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</si>
  <si>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</si>
  <si>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</si>
  <si>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</si>
  <si>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</si>
  <si>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</si>
  <si>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</si>
  <si>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</si>
  <si>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</si>
  <si>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</si>
  <si>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</si>
  <si>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</si>
  <si>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</si>
  <si>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</si>
  <si>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</si>
  <si>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</si>
  <si>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</si>
  <si>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</si>
  <si>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</si>
  <si>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</si>
  <si>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</si>
  <si>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</si>
  <si>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</si>
  <si>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</si>
  <si>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</si>
  <si>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</si>
  <si>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</si>
  <si>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</si>
  <si>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</si>
  <si>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</si>
  <si>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</si>
  <si>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</si>
  <si>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</si>
  <si>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</si>
  <si>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</si>
  <si>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</si>
  <si>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</si>
  <si>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</si>
  <si>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</si>
  <si>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</si>
  <si>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</si>
  <si>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</si>
  <si>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</si>
  <si>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</si>
  <si>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</si>
  <si>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</si>
  <si>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</si>
  <si>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</si>
  <si>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</si>
  <si>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</si>
  <si>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</si>
  <si>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</si>
  <si>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</si>
  <si>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</si>
  <si>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</si>
  <si>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KONDUKTOR</t>
  </si>
  <si>
    <t>CJ5-T</t>
  </si>
  <si>
    <t>C12-200</t>
  </si>
  <si>
    <t>CG105</t>
  </si>
  <si>
    <t>B2</t>
  </si>
  <si>
    <t>MJ6-T</t>
  </si>
  <si>
    <t>KOORDINAT : -6.869605, 110.527378</t>
  </si>
  <si>
    <t>PANAMI MAKMUR : 11 KVA</t>
  </si>
  <si>
    <t>TAMBAK UDANG 7.7 KVA</t>
  </si>
  <si>
    <t>PAMSIMAS : 3.5 KVA</t>
  </si>
  <si>
    <t>TNK RASNO : 2 X 11 KVA</t>
  </si>
  <si>
    <t>MASJID : 3.5 KVA</t>
  </si>
  <si>
    <t>PJU : 3.5</t>
  </si>
  <si>
    <t>UMUM</t>
  </si>
  <si>
    <t>TSEL MTEL SURODADI SAYUNG</t>
  </si>
  <si>
    <t>DS SURODADI KEC SAYUNG</t>
  </si>
  <si>
    <t>Trafo 3 Fasa 50 KVA 1 Tiang (G312-A)</t>
  </si>
  <si>
    <t>Daya 10.600 VA</t>
  </si>
  <si>
    <t>Pemasangan APP 3 Fasa Di Bangunan</t>
  </si>
  <si>
    <t>ATB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</si>
</sst>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</cellStyleXfs>
  <cellXfs count="722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0" fontId="130" fillId="48" borderId="21" xfId="1652" applyFont="1" applyFill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8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52" fillId="48" borderId="21" xfId="1614" applyFont="1" applyFill="1" applyBorder="1" applyAlignment="1">
      <alignment horizontal="center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7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7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110</xdr:row>
      <xdr:rowOff>81642</xdr:rowOff>
    </xdr:from>
    <xdr:to>
      <xdr:col>12</xdr:col>
      <xdr:colOff>41108</xdr:colOff>
      <xdr:row>113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192471</xdr:colOff>
      <xdr:row>15</xdr:row>
      <xdr:rowOff>142875</xdr:rowOff>
    </xdr:from>
    <xdr:to>
      <xdr:col>15</xdr:col>
      <xdr:colOff>285750</xdr:colOff>
      <xdr:row>16</xdr:row>
      <xdr:rowOff>20364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>
          <a:off x="2021271" y="2457450"/>
          <a:ext cx="3522279" cy="298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224459</xdr:colOff>
      <xdr:row>16</xdr:row>
      <xdr:rowOff>2071</xdr:rowOff>
    </xdr:from>
    <xdr:to>
      <xdr:col>10</xdr:col>
      <xdr:colOff>231913</xdr:colOff>
      <xdr:row>43</xdr:row>
      <xdr:rowOff>8282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3587198" y="2437158"/>
          <a:ext cx="7454" cy="405640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355528</xdr:colOff>
      <xdr:row>32</xdr:row>
      <xdr:rowOff>39131</xdr:rowOff>
    </xdr:from>
    <xdr:to>
      <xdr:col>13</xdr:col>
      <xdr:colOff>59428</xdr:colOff>
      <xdr:row>32</xdr:row>
      <xdr:rowOff>138595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4474269" y="4906734"/>
          <a:ext cx="84900" cy="994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123</xdr:colOff>
      <xdr:row>31</xdr:row>
      <xdr:rowOff>123651</xdr:rowOff>
    </xdr:from>
    <xdr:to>
      <xdr:col>14</xdr:col>
      <xdr:colOff>353794</xdr:colOff>
      <xdr:row>33</xdr:row>
      <xdr:rowOff>120399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4875732" y="4927823"/>
          <a:ext cx="353671" cy="306310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12</xdr:col>
      <xdr:colOff>168519</xdr:colOff>
      <xdr:row>15</xdr:row>
      <xdr:rowOff>142652</xdr:rowOff>
    </xdr:from>
    <xdr:to>
      <xdr:col>12</xdr:col>
      <xdr:colOff>311394</xdr:colOff>
      <xdr:row>16</xdr:row>
      <xdr:rowOff>142652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4282128" y="2482230"/>
          <a:ext cx="142875" cy="154781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357357</xdr:colOff>
      <xdr:row>12</xdr:row>
      <xdr:rowOff>71228</xdr:rowOff>
    </xdr:from>
    <xdr:to>
      <xdr:col>14</xdr:col>
      <xdr:colOff>168111</xdr:colOff>
      <xdr:row>16</xdr:row>
      <xdr:rowOff>111921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4470966" y="1940509"/>
          <a:ext cx="572754" cy="66577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CC1-A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CG312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80069</xdr:colOff>
      <xdr:row>17</xdr:row>
      <xdr:rowOff>17605</xdr:rowOff>
    </xdr:from>
    <xdr:to>
      <xdr:col>10</xdr:col>
      <xdr:colOff>168435</xdr:colOff>
      <xdr:row>17</xdr:row>
      <xdr:rowOff>111744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436810" y="2625484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228347</xdr:colOff>
      <xdr:row>18</xdr:row>
      <xdr:rowOff>15122</xdr:rowOff>
    </xdr:from>
    <xdr:to>
      <xdr:col>11</xdr:col>
      <xdr:colOff>36628</xdr:colOff>
      <xdr:row>20</xdr:row>
      <xdr:rowOff>43630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4232260">
          <a:off x="3522386" y="2817083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297722</xdr:colOff>
      <xdr:row>32</xdr:row>
      <xdr:rowOff>11556</xdr:rowOff>
    </xdr:from>
    <xdr:to>
      <xdr:col>12</xdr:col>
      <xdr:colOff>251740</xdr:colOff>
      <xdr:row>33</xdr:row>
      <xdr:rowOff>53750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9B7247B-60D1-41E3-8E63-C456F49423A4}"/>
            </a:ext>
          </a:extLst>
        </xdr:cNvPr>
        <xdr:cNvSpPr/>
      </xdr:nvSpPr>
      <xdr:spPr>
        <a:xfrm rot="232057">
          <a:off x="4035463" y="4879159"/>
          <a:ext cx="335018" cy="193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168435</xdr:colOff>
      <xdr:row>17</xdr:row>
      <xdr:rowOff>47070</xdr:rowOff>
    </xdr:from>
    <xdr:to>
      <xdr:col>12</xdr:col>
      <xdr:colOff>333375</xdr:colOff>
      <xdr:row>17</xdr:row>
      <xdr:rowOff>64675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8" idx="2"/>
          <a:endCxn id="191" idx="6"/>
        </xdr:cNvCxnSpPr>
      </xdr:nvCxnSpPr>
      <xdr:spPr>
        <a:xfrm flipH="1">
          <a:off x="3525176" y="2654949"/>
          <a:ext cx="926940" cy="1760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51243</xdr:colOff>
      <xdr:row>17</xdr:row>
      <xdr:rowOff>18317</xdr:rowOff>
    </xdr:from>
    <xdr:to>
      <xdr:col>13</xdr:col>
      <xdr:colOff>152400</xdr:colOff>
      <xdr:row>17</xdr:row>
      <xdr:rowOff>19050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F7D7FD-E129-437B-94A6-7FC88BFBEB92}"/>
            </a:ext>
          </a:extLst>
        </xdr:cNvPr>
        <xdr:cNvCxnSpPr/>
      </xdr:nvCxnSpPr>
      <xdr:spPr>
        <a:xfrm flipH="1" flipV="1">
          <a:off x="2642043" y="2637692"/>
          <a:ext cx="2006157" cy="73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123130</xdr:colOff>
      <xdr:row>33</xdr:row>
      <xdr:rowOff>79661</xdr:rowOff>
    </xdr:from>
    <xdr:to>
      <xdr:col>13</xdr:col>
      <xdr:colOff>239086</xdr:colOff>
      <xdr:row>35</xdr:row>
      <xdr:rowOff>112789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A7E583D-E99F-4A76-8960-8105AFF6FE9E}"/>
            </a:ext>
          </a:extLst>
        </xdr:cNvPr>
        <xdr:cNvSpPr/>
      </xdr:nvSpPr>
      <xdr:spPr>
        <a:xfrm>
          <a:off x="4241871" y="5098351"/>
          <a:ext cx="496956" cy="33530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10</xdr:col>
      <xdr:colOff>93010</xdr:colOff>
      <xdr:row>17</xdr:row>
      <xdr:rowOff>97958</xdr:rowOff>
    </xdr:from>
    <xdr:to>
      <xdr:col>10</xdr:col>
      <xdr:colOff>361950</xdr:colOff>
      <xdr:row>20</xdr:row>
      <xdr:rowOff>85170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2" idx="2"/>
          <a:endCxn id="191" idx="3"/>
        </xdr:cNvCxnSpPr>
      </xdr:nvCxnSpPr>
      <xdr:spPr>
        <a:xfrm flipH="1" flipV="1">
          <a:off x="3455749" y="2682132"/>
          <a:ext cx="268940" cy="434473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38100</xdr:rowOff>
    </xdr:from>
    <xdr:to>
      <xdr:col>11</xdr:col>
      <xdr:colOff>69316</xdr:colOff>
      <xdr:row>20</xdr:row>
      <xdr:rowOff>132239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3718691" y="3099238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13</xdr:col>
      <xdr:colOff>123081</xdr:colOff>
      <xdr:row>40</xdr:row>
      <xdr:rowOff>69272</xdr:rowOff>
    </xdr:from>
    <xdr:to>
      <xdr:col>21</xdr:col>
      <xdr:colOff>314201</xdr:colOff>
      <xdr:row>53</xdr:row>
      <xdr:rowOff>150311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BFC74C-2FDA-48EC-8E54-B7C1743B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3126" y="6286499"/>
          <a:ext cx="3239120" cy="2193857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25</xdr:row>
      <xdr:rowOff>142875</xdr:rowOff>
    </xdr:from>
    <xdr:to>
      <xdr:col>11</xdr:col>
      <xdr:colOff>78841</xdr:colOff>
      <xdr:row>26</xdr:row>
      <xdr:rowOff>84614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B9CD3CD-7EFD-4296-9BF5-49577FDBEE42}"/>
            </a:ext>
          </a:extLst>
        </xdr:cNvPr>
        <xdr:cNvGrpSpPr/>
      </xdr:nvGrpSpPr>
      <xdr:grpSpPr>
        <a:xfrm>
          <a:off x="3728216" y="3959444"/>
          <a:ext cx="88366" cy="92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59ACDEDF-2813-FDD1-67B9-C7EF0AE40F5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7A9E697-A722-08E6-57EA-D35DA7A8CD6A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9AB5597-E0AD-5D1B-8EAB-2C6C2593FFBD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9525</xdr:colOff>
      <xdr:row>32</xdr:row>
      <xdr:rowOff>38100</xdr:rowOff>
    </xdr:from>
    <xdr:to>
      <xdr:col>11</xdr:col>
      <xdr:colOff>97891</xdr:colOff>
      <xdr:row>32</xdr:row>
      <xdr:rowOff>132239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8DF4D5D-E6E1-49FA-AF6B-D3E63B0AE466}"/>
            </a:ext>
          </a:extLst>
        </xdr:cNvPr>
        <xdr:cNvGrpSpPr/>
      </xdr:nvGrpSpPr>
      <xdr:grpSpPr>
        <a:xfrm>
          <a:off x="3747266" y="4905703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46ED4ABC-E282-9BF0-CF9B-71DC8E9C7D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597CF762-A10A-3D71-8379-16980DF3868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34FBC1D4-081F-73C0-70E7-9F400A3782AD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374891</xdr:colOff>
      <xdr:row>20</xdr:row>
      <xdr:rowOff>118453</xdr:rowOff>
    </xdr:from>
    <xdr:to>
      <xdr:col>11</xdr:col>
      <xdr:colOff>16565</xdr:colOff>
      <xdr:row>42</xdr:row>
      <xdr:rowOff>41413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3658574-09F7-44DA-BB3B-A386A974916C}"/>
            </a:ext>
          </a:extLst>
        </xdr:cNvPr>
        <xdr:cNvCxnSpPr>
          <a:endCxn id="12" idx="3"/>
        </xdr:cNvCxnSpPr>
      </xdr:nvCxnSpPr>
      <xdr:spPr>
        <a:xfrm flipH="1" flipV="1">
          <a:off x="3737630" y="3149888"/>
          <a:ext cx="22674" cy="3227721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15</xdr:row>
      <xdr:rowOff>142875</xdr:rowOff>
    </xdr:from>
    <xdr:to>
      <xdr:col>10</xdr:col>
      <xdr:colOff>152400</xdr:colOff>
      <xdr:row>16</xdr:row>
      <xdr:rowOff>142875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7DB7045E-D48C-490B-85CC-37F458CEFFFE}"/>
            </a:ext>
          </a:extLst>
        </xdr:cNvPr>
        <xdr:cNvSpPr/>
      </xdr:nvSpPr>
      <xdr:spPr>
        <a:xfrm>
          <a:off x="3362325" y="2457450"/>
          <a:ext cx="142875" cy="15240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333375</xdr:colOff>
      <xdr:row>17</xdr:row>
      <xdr:rowOff>0</xdr:rowOff>
    </xdr:from>
    <xdr:to>
      <xdr:col>13</xdr:col>
      <xdr:colOff>40741</xdr:colOff>
      <xdr:row>17</xdr:row>
      <xdr:rowOff>94139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CBB423E5-22DE-415A-9736-7AAB9C8B68D6}"/>
            </a:ext>
          </a:extLst>
        </xdr:cNvPr>
        <xdr:cNvGrpSpPr/>
      </xdr:nvGrpSpPr>
      <xdr:grpSpPr>
        <a:xfrm>
          <a:off x="4452116" y="2607879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D6735759-6C3D-C4BF-56D8-17A6FADB57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6CAD3D8F-170A-EA70-D253-2344C48F9FFD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10287F1D-655E-8215-925A-5299104B334B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19050</xdr:colOff>
      <xdr:row>17</xdr:row>
      <xdr:rowOff>0</xdr:rowOff>
    </xdr:from>
    <xdr:to>
      <xdr:col>8</xdr:col>
      <xdr:colOff>107416</xdr:colOff>
      <xdr:row>17</xdr:row>
      <xdr:rowOff>94139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19C1CF1-3FE0-4D44-9E43-980B7D77F4FC}"/>
            </a:ext>
          </a:extLst>
        </xdr:cNvPr>
        <xdr:cNvGrpSpPr/>
      </xdr:nvGrpSpPr>
      <xdr:grpSpPr>
        <a:xfrm>
          <a:off x="2613791" y="2607879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317AAAA0-C346-FA7A-A610-EC90F99FA3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A7321DBA-6DEC-0F56-A3E8-F7F91A1EB8DD}"/>
              </a:ext>
            </a:extLst>
          </xdr:cNvPr>
          <xdr:cNvCxnSpPr>
            <a:stCxn id="42" idx="1"/>
            <a:endCxn id="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3162DFF-C2CA-C27B-0788-B024BDD55903}"/>
              </a:ext>
            </a:extLst>
          </xdr:cNvPr>
          <xdr:cNvCxnSpPr>
            <a:stCxn id="42" idx="3"/>
            <a:endCxn id="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140804</xdr:colOff>
      <xdr:row>17</xdr:row>
      <xdr:rowOff>82826</xdr:rowOff>
    </xdr:from>
    <xdr:to>
      <xdr:col>13</xdr:col>
      <xdr:colOff>124239</xdr:colOff>
      <xdr:row>17</xdr:row>
      <xdr:rowOff>91109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D9D55B50-B0C0-4654-9822-FA92F28C4211}"/>
            </a:ext>
          </a:extLst>
        </xdr:cNvPr>
        <xdr:cNvCxnSpPr/>
      </xdr:nvCxnSpPr>
      <xdr:spPr>
        <a:xfrm flipH="1">
          <a:off x="2360543" y="2667000"/>
          <a:ext cx="2269435" cy="828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155494</xdr:colOff>
      <xdr:row>17</xdr:row>
      <xdr:rowOff>97958</xdr:rowOff>
    </xdr:from>
    <xdr:to>
      <xdr:col>11</xdr:col>
      <xdr:colOff>69316</xdr:colOff>
      <xdr:row>20</xdr:row>
      <xdr:rowOff>85170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47F2A46-70CA-4102-A283-EE1CDBC90F9B}"/>
            </a:ext>
          </a:extLst>
        </xdr:cNvPr>
        <xdr:cNvCxnSpPr>
          <a:stCxn id="12" idx="6"/>
          <a:endCxn id="191" idx="5"/>
        </xdr:cNvCxnSpPr>
      </xdr:nvCxnSpPr>
      <xdr:spPr>
        <a:xfrm flipH="1" flipV="1">
          <a:off x="3518233" y="2682132"/>
          <a:ext cx="294822" cy="43447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69316</xdr:colOff>
      <xdr:row>20</xdr:row>
      <xdr:rowOff>85170</xdr:rowOff>
    </xdr:from>
    <xdr:to>
      <xdr:col>11</xdr:col>
      <xdr:colOff>91109</xdr:colOff>
      <xdr:row>42</xdr:row>
      <xdr:rowOff>115956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34D343A-8282-4167-BDF3-FF8AF0D3E997}"/>
            </a:ext>
          </a:extLst>
        </xdr:cNvPr>
        <xdr:cNvCxnSpPr>
          <a:endCxn id="12" idx="6"/>
        </xdr:cNvCxnSpPr>
      </xdr:nvCxnSpPr>
      <xdr:spPr>
        <a:xfrm flipH="1" flipV="1">
          <a:off x="3813055" y="3116605"/>
          <a:ext cx="21793" cy="333554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364435</xdr:colOff>
      <xdr:row>22</xdr:row>
      <xdr:rowOff>82827</xdr:rowOff>
    </xdr:from>
    <xdr:to>
      <xdr:col>11</xdr:col>
      <xdr:colOff>172716</xdr:colOff>
      <xdr:row>24</xdr:row>
      <xdr:rowOff>111335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CD2ACF5-0B52-4509-BB6A-574DFB45AF0F}"/>
            </a:ext>
          </a:extLst>
        </xdr:cNvPr>
        <xdr:cNvSpPr/>
      </xdr:nvSpPr>
      <xdr:spPr>
        <a:xfrm rot="5400000">
          <a:off x="3658474" y="3481136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16566</xdr:colOff>
      <xdr:row>28</xdr:row>
      <xdr:rowOff>57979</xdr:rowOff>
    </xdr:from>
    <xdr:to>
      <xdr:col>11</xdr:col>
      <xdr:colOff>205847</xdr:colOff>
      <xdr:row>30</xdr:row>
      <xdr:rowOff>94769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27086B3C-17D8-4839-87A8-3E04FCE6E5DF}"/>
            </a:ext>
          </a:extLst>
        </xdr:cNvPr>
        <xdr:cNvSpPr/>
      </xdr:nvSpPr>
      <xdr:spPr>
        <a:xfrm rot="5123478">
          <a:off x="3691605" y="4350809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0</xdr:colOff>
      <xdr:row>38</xdr:row>
      <xdr:rowOff>107674</xdr:rowOff>
    </xdr:from>
    <xdr:to>
      <xdr:col>11</xdr:col>
      <xdr:colOff>88366</xdr:colOff>
      <xdr:row>39</xdr:row>
      <xdr:rowOff>52726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7DA613D0-B7F0-429B-913F-B3ABF5470270}"/>
            </a:ext>
          </a:extLst>
        </xdr:cNvPr>
        <xdr:cNvGrpSpPr/>
      </xdr:nvGrpSpPr>
      <xdr:grpSpPr>
        <a:xfrm>
          <a:off x="3737741" y="5908071"/>
          <a:ext cx="88366" cy="961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A1F2CB0C-8296-3D94-1BC2-EE7568D512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60BEF747-7593-8736-4924-7D6955DB90EC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F34AA78-AEC9-78AC-F185-A94B30378B20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372717</xdr:colOff>
      <xdr:row>35</xdr:row>
      <xdr:rowOff>49696</xdr:rowOff>
    </xdr:from>
    <xdr:to>
      <xdr:col>11</xdr:col>
      <xdr:colOff>180998</xdr:colOff>
      <xdr:row>37</xdr:row>
      <xdr:rowOff>61639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F33BEAF8-0824-42E0-821D-39FD998C894C}"/>
            </a:ext>
          </a:extLst>
        </xdr:cNvPr>
        <xdr:cNvSpPr/>
      </xdr:nvSpPr>
      <xdr:spPr>
        <a:xfrm rot="5123478">
          <a:off x="3666756" y="5377853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8</xdr:col>
      <xdr:colOff>353713</xdr:colOff>
      <xdr:row>17</xdr:row>
      <xdr:rowOff>2439</xdr:rowOff>
    </xdr:from>
    <xdr:to>
      <xdr:col>9</xdr:col>
      <xdr:colOff>299395</xdr:colOff>
      <xdr:row>18</xdr:row>
      <xdr:rowOff>42633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D0C0E33D-4020-43E7-995B-BF3F3B5CFB2A}"/>
            </a:ext>
          </a:extLst>
        </xdr:cNvPr>
        <xdr:cNvSpPr/>
      </xdr:nvSpPr>
      <xdr:spPr>
        <a:xfrm rot="21389009">
          <a:off x="2954452" y="2586613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99392</xdr:colOff>
      <xdr:row>17</xdr:row>
      <xdr:rowOff>1</xdr:rowOff>
    </xdr:from>
    <xdr:to>
      <xdr:col>12</xdr:col>
      <xdr:colOff>45074</xdr:colOff>
      <xdr:row>18</xdr:row>
      <xdr:rowOff>40195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D7716D3C-6D56-4C08-A9B9-5B46B7E436FA}"/>
            </a:ext>
          </a:extLst>
        </xdr:cNvPr>
        <xdr:cNvSpPr/>
      </xdr:nvSpPr>
      <xdr:spPr>
        <a:xfrm rot="21389009">
          <a:off x="3843131" y="2584175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124252</xdr:colOff>
      <xdr:row>17</xdr:row>
      <xdr:rowOff>111744</xdr:rowOff>
    </xdr:from>
    <xdr:to>
      <xdr:col>10</xdr:col>
      <xdr:colOff>374891</xdr:colOff>
      <xdr:row>20</xdr:row>
      <xdr:rowOff>51886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C798038-034C-4AF1-929F-F9E194E117EF}"/>
            </a:ext>
          </a:extLst>
        </xdr:cNvPr>
        <xdr:cNvCxnSpPr>
          <a:stCxn id="12" idx="1"/>
          <a:endCxn id="191" idx="4"/>
        </xdr:cNvCxnSpPr>
      </xdr:nvCxnSpPr>
      <xdr:spPr>
        <a:xfrm flipH="1" flipV="1">
          <a:off x="3480993" y="2719623"/>
          <a:ext cx="250639" cy="39340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25133</xdr:colOff>
      <xdr:row>20</xdr:row>
      <xdr:rowOff>132239</xdr:rowOff>
    </xdr:from>
    <xdr:to>
      <xdr:col>11</xdr:col>
      <xdr:colOff>53708</xdr:colOff>
      <xdr:row>32</xdr:row>
      <xdr:rowOff>38100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3BFAB6A-A443-4D84-8C77-03732FB0D74A}"/>
            </a:ext>
          </a:extLst>
        </xdr:cNvPr>
        <xdr:cNvCxnSpPr>
          <a:stCxn id="13" idx="0"/>
          <a:endCxn id="12" idx="4"/>
        </xdr:cNvCxnSpPr>
      </xdr:nvCxnSpPr>
      <xdr:spPr>
        <a:xfrm flipH="1" flipV="1">
          <a:off x="3762874" y="3193377"/>
          <a:ext cx="28575" cy="171232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348154</xdr:colOff>
      <xdr:row>16</xdr:row>
      <xdr:rowOff>131378</xdr:rowOff>
    </xdr:from>
    <xdr:to>
      <xdr:col>11</xdr:col>
      <xdr:colOff>302172</xdr:colOff>
      <xdr:row>18</xdr:row>
      <xdr:rowOff>22486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3EB0579-6E19-4F4E-9154-F189E9E15E40}"/>
            </a:ext>
          </a:extLst>
        </xdr:cNvPr>
        <xdr:cNvSpPr/>
      </xdr:nvSpPr>
      <xdr:spPr>
        <a:xfrm rot="232057">
          <a:off x="3704895" y="2588171"/>
          <a:ext cx="335018" cy="193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162835</xdr:colOff>
      <xdr:row>18</xdr:row>
      <xdr:rowOff>27666</xdr:rowOff>
    </xdr:from>
    <xdr:to>
      <xdr:col>10</xdr:col>
      <xdr:colOff>356116</xdr:colOff>
      <xdr:row>20</xdr:row>
      <xdr:rowOff>60512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A789693-3BCF-41BF-A63C-7D09B947268C}"/>
            </a:ext>
          </a:extLst>
        </xdr:cNvPr>
        <xdr:cNvSpPr/>
      </xdr:nvSpPr>
      <xdr:spPr>
        <a:xfrm rot="3549487">
          <a:off x="3448708" y="2857500"/>
          <a:ext cx="335018" cy="193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333627</xdr:colOff>
      <xdr:row>21</xdr:row>
      <xdr:rowOff>93358</xdr:rowOff>
    </xdr:from>
    <xdr:to>
      <xdr:col>11</xdr:col>
      <xdr:colOff>145908</xdr:colOff>
      <xdr:row>23</xdr:row>
      <xdr:rowOff>126203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8DACC64-E065-4EB2-AE02-3DC47131DD0A}"/>
            </a:ext>
          </a:extLst>
        </xdr:cNvPr>
        <xdr:cNvSpPr/>
      </xdr:nvSpPr>
      <xdr:spPr>
        <a:xfrm rot="5400000">
          <a:off x="3619500" y="3376450"/>
          <a:ext cx="335018" cy="193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340194</xdr:colOff>
      <xdr:row>28</xdr:row>
      <xdr:rowOff>7959</xdr:rowOff>
    </xdr:from>
    <xdr:to>
      <xdr:col>11</xdr:col>
      <xdr:colOff>152475</xdr:colOff>
      <xdr:row>30</xdr:row>
      <xdr:rowOff>47374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29B6E9F-D443-49BC-AC47-A007209C7020}"/>
            </a:ext>
          </a:extLst>
        </xdr:cNvPr>
        <xdr:cNvSpPr/>
      </xdr:nvSpPr>
      <xdr:spPr>
        <a:xfrm rot="5669287">
          <a:off x="3626067" y="4348655"/>
          <a:ext cx="335018" cy="193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97891</xdr:colOff>
      <xdr:row>32</xdr:row>
      <xdr:rowOff>85170</xdr:rowOff>
    </xdr:from>
    <xdr:to>
      <xdr:col>12</xdr:col>
      <xdr:colOff>355528</xdr:colOff>
      <xdr:row>32</xdr:row>
      <xdr:rowOff>88863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DE957F4D-D3D9-4E00-9632-1AAC1331CDA5}"/>
            </a:ext>
          </a:extLst>
        </xdr:cNvPr>
        <xdr:cNvCxnSpPr>
          <a:stCxn id="66" idx="2"/>
          <a:endCxn id="13" idx="6"/>
        </xdr:cNvCxnSpPr>
      </xdr:nvCxnSpPr>
      <xdr:spPr>
        <a:xfrm flipH="1" flipV="1">
          <a:off x="3830500" y="5044123"/>
          <a:ext cx="638637" cy="3693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214313</xdr:colOff>
      <xdr:row>12</xdr:row>
      <xdr:rowOff>17860</xdr:rowOff>
    </xdr:from>
    <xdr:to>
      <xdr:col>10</xdr:col>
      <xdr:colOff>25067</xdr:colOff>
      <xdr:row>16</xdr:row>
      <xdr:rowOff>58553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40658814-ABEF-4D52-B04A-2EEE458D7299}"/>
            </a:ext>
          </a:extLst>
        </xdr:cNvPr>
        <xdr:cNvSpPr/>
      </xdr:nvSpPr>
      <xdr:spPr>
        <a:xfrm>
          <a:off x="2803922" y="1887141"/>
          <a:ext cx="572754" cy="66577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CC1-A </a:t>
          </a:r>
        </a:p>
        <a:p>
          <a:pPr algn="l"/>
          <a:r>
            <a:rPr lang="en-US" sz="60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2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113109</xdr:colOff>
      <xdr:row>18</xdr:row>
      <xdr:rowOff>142876</xdr:rowOff>
    </xdr:from>
    <xdr:to>
      <xdr:col>12</xdr:col>
      <xdr:colOff>238125</xdr:colOff>
      <xdr:row>21</xdr:row>
      <xdr:rowOff>71438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21DCC9F7-F52E-4C15-9222-CE84544F27F2}"/>
            </a:ext>
          </a:extLst>
        </xdr:cNvPr>
        <xdr:cNvSpPr/>
      </xdr:nvSpPr>
      <xdr:spPr>
        <a:xfrm>
          <a:off x="3845718" y="2946798"/>
          <a:ext cx="506016" cy="39290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184547</xdr:colOff>
      <xdr:row>25</xdr:row>
      <xdr:rowOff>53578</xdr:rowOff>
    </xdr:from>
    <xdr:to>
      <xdr:col>12</xdr:col>
      <xdr:colOff>309563</xdr:colOff>
      <xdr:row>27</xdr:row>
      <xdr:rowOff>136922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DF699889-42B2-4301-ABAE-526455754399}"/>
            </a:ext>
          </a:extLst>
        </xdr:cNvPr>
        <xdr:cNvSpPr/>
      </xdr:nvSpPr>
      <xdr:spPr>
        <a:xfrm>
          <a:off x="3917156" y="3940969"/>
          <a:ext cx="506016" cy="39290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202406</xdr:colOff>
      <xdr:row>31</xdr:row>
      <xdr:rowOff>29766</xdr:rowOff>
    </xdr:from>
    <xdr:to>
      <xdr:col>10</xdr:col>
      <xdr:colOff>327422</xdr:colOff>
      <xdr:row>33</xdr:row>
      <xdr:rowOff>113110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9CD7AE6-691B-49D1-B749-B9E6ADC0EAB3}"/>
            </a:ext>
          </a:extLst>
        </xdr:cNvPr>
        <xdr:cNvSpPr/>
      </xdr:nvSpPr>
      <xdr:spPr>
        <a:xfrm>
          <a:off x="3173015" y="4833938"/>
          <a:ext cx="506016" cy="39290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59428</xdr:colOff>
      <xdr:row>32</xdr:row>
      <xdr:rowOff>87923</xdr:rowOff>
    </xdr:from>
    <xdr:to>
      <xdr:col>13</xdr:col>
      <xdr:colOff>285750</xdr:colOff>
      <xdr:row>32</xdr:row>
      <xdr:rowOff>88863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F549466-6232-4833-81BD-9D3B53DA8F62}"/>
            </a:ext>
          </a:extLst>
        </xdr:cNvPr>
        <xdr:cNvCxnSpPr>
          <a:stCxn id="66" idx="6"/>
        </xdr:cNvCxnSpPr>
      </xdr:nvCxnSpPr>
      <xdr:spPr>
        <a:xfrm flipV="1">
          <a:off x="4558159" y="5026269"/>
          <a:ext cx="226322" cy="9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244929</xdr:colOff>
      <xdr:row>12</xdr:row>
      <xdr:rowOff>1</xdr:rowOff>
    </xdr:from>
    <xdr:to>
      <xdr:col>19</xdr:col>
      <xdr:colOff>163286</xdr:colOff>
      <xdr:row>49</xdr:row>
      <xdr:rowOff>42815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543F0D-C6A2-5AFB-B6EA-C9573BB56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4179" y="2109108"/>
          <a:ext cx="9103178" cy="60843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1134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1135</v>
      </c>
      <c r="G7" s="530" t="s">
        <v>41</v>
      </c>
      <c r="H7" s="526" t="s">
        <v>1042</v>
      </c>
      <c r="I7" s="526" t="s">
        <v>1137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10.6 kVA MCCB 16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213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SUMIFS(RAB!$F$14:$F$94,RAB!$C$14:$C$94,C714)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SUMIFS(RAB!$F$14:$F$94,RAB!$C$14:$C$94,C715)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SUMIFS(RAB!$F$14:$F$94,RAB!$C$14:$C$94,C716)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SUMIFS(RAB!$F$14:$F$94,RAB!$C$14:$C$94,C717)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SUMIFS(RAB!$F$14:$F$94,RAB!$C$14:$C$94,C718)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SUMIFS(RAB!$F$14:$F$94,RAB!$C$14:$C$94,C719)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SUMIFS(RAB!$F$14:$F$94,RAB!$C$14:$C$94,C720)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SUMIFS(RAB!$F$14:$F$94,RAB!$C$14:$C$94,C721)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SUMIFS(RAB!$F$14:$F$94,RAB!$C$14:$C$94,C722)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SUMIFS(RAB!$F$14:$F$94,RAB!$C$14:$C$94,C723)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SUMIFS(RAB!$F$14:$F$94,RAB!$C$14:$C$94,C724)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SUMIFS(RAB!$F$14:$F$94,RAB!$C$14:$C$94,C725)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SUMIFS(RAB!$F$14:$F$94,RAB!$C$14:$C$94,C726)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SUMIFS(RAB!$F$14:$F$94,RAB!$C$14:$C$94,C727)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SUMIFS(RAB!$F$14:$F$94,RAB!$C$14:$C$94,C728)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SUMIFS(RAB!$F$14:$F$94,RAB!$C$14:$C$94,C729)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SUMIFS(RAB!$F$14:$F$94,RAB!$C$14:$C$94,C730)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SUMIFS(RAB!$F$14:$F$94,RAB!$C$14:$C$94,C731)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SUMIFS(RAB!$F$14:$F$94,RAB!$C$14:$C$94,C732)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SUMIFS(RAB!$F$14:$F$94,RAB!$C$14:$C$94,C733)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SUMIFS(RAB!$F$14:$F$94,RAB!$C$14:$C$94,C734)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SUMIFS(RAB!$F$14:$F$94,RAB!$C$14:$C$94,C735)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SUMIFS(RAB!$F$14:$F$94,RAB!$C$14:$C$94,C736)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SUMIFS(RAB!$F$14:$F$94,RAB!$C$14:$C$94,C737)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SUMIFS(RAB!$F$14:$F$94,RAB!$C$14:$C$94,C738)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SUMIFS(RAB!$F$14:$F$94,RAB!$C$14:$C$94,C739)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SUMIFS(RAB!$F$14:$F$94,RAB!$C$14:$C$94,C740)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SUMIFS(RAB!$F$14:$F$94,RAB!$C$14:$C$94,C741)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SUMIFS(RAB!$F$14:$F$94,RAB!$C$14:$C$94,C742)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SUMIFS(RAB!$F$14:$F$94,RAB!$C$14:$C$94,C743)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SUMIFS(RAB!$F$14:$F$94,RAB!$C$14:$C$94,C744)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SUMIFS(RAB!$F$14:$F$94,RAB!$C$14:$C$94,C745)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SUMIFS(RAB!$F$14:$F$94,RAB!$C$14:$C$94,C746)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SUMIFS(RAB!$F$14:$F$94,RAB!$C$14:$C$94,C747)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SUMIFS(RAB!$F$14:$F$94,RAB!$C$14:$C$94,C748)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SUMIFS(RAB!$F$14:$F$94,RAB!$C$14:$C$94,C749)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SUMIFS(RAB!$F$14:$F$94,RAB!$C$14:$C$94,C750)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SUMIFS(RAB!$F$14:$F$94,RAB!$C$14:$C$94,C751)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SUMIFS(RAB!$F$14:$F$94,RAB!$C$14:$C$94,C752)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SUMIFS(RAB!$F$14:$F$94,RAB!$C$14:$C$94,C753)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SUMIFS(RAB!$F$14:$F$94,RAB!$C$14:$C$94,C754)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SUMIFS(RAB!$F$14:$F$94,RAB!$C$14:$C$94,C755)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SUMIFS(RAB!$F$14:$F$94,RAB!$C$14:$C$94,C756)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SUMIFS(RAB!$F$14:$F$94,RAB!$C$14:$C$94,C757)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SUMIFS(RAB!$F$14:$F$94,RAB!$C$14:$C$94,C758)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SUMIFS(RAB!$F$14:$F$94,RAB!$C$14:$C$94,C759)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SUMIFS(RAB!$F$14:$F$94,RAB!$C$14:$C$94,C760)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SUMIFS(RAB!$F$14:$F$94,RAB!$C$14:$C$94,C761)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SUMIFS(RAB!$F$14:$F$94,RAB!$C$14:$C$94,C762)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SUMIFS(RAB!$F$14:$F$94,RAB!$C$14:$C$94,C763)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SUMIFS(RAB!$F$14:$F$94,RAB!$C$14:$C$94,C764)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SUMIFS(RAB!$F$14:$F$94,RAB!$C$14:$C$94,C765)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SUMIFS(RAB!$F$14:$F$94,RAB!$C$14:$C$94,C766)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SUMIFS(RAB!$F$14:$F$94,RAB!$C$14:$C$94,C767)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SUMIFS(RAB!$F$14:$F$94,RAB!$C$14:$C$94,C768)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SUMIFS(RAB!$F$14:$F$94,RAB!$C$14:$C$94,C769)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SUMIFS(RAB!$F$14:$F$94,RAB!$C$14:$C$94,C770)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SUMIFS(RAB!$F$14:$F$94,RAB!$C$14:$C$94,C771)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SUMIFS(RAB!$F$14:$F$94,RAB!$C$14:$C$94,C772)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SUMIFS(RAB!$F$14:$F$94,RAB!$C$14:$C$94,C773)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SUMIFS(RAB!$F$14:$F$94,RAB!$C$14:$C$94,C774)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SUMIFS(RAB!$F$14:$F$94,RAB!$C$14:$C$94,C775)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SUMIFS(RAB!$F$14:$F$94,RAB!$C$14:$C$94,C776)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SUMIFS(RAB!$F$14:$F$94,RAB!$C$14:$C$94,C777)</f>
        <v>1</v>
      </c>
      <c r="E777" s="26">
        <f t="shared" ca="1" si="33"/>
        <v>1</v>
      </c>
      <c r="F777" s="26">
        <f ca="1">IF(D777=0,0,SUM($E$713:E777))</f>
        <v>2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SUMIFS(RAB!$F$14:$F$94,RAB!$C$14:$C$94,C778)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SUMIFS(RAB!$F$14:$F$94,RAB!$C$14:$C$94,C779)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SUMIFS(RAB!$F$14:$F$94,RAB!$C$14:$C$94,C780)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SUMIFS(RAB!$F$14:$F$94,RAB!$C$14:$C$94,C781)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SUMIFS(RAB!$F$14:$F$94,RAB!$C$14:$C$94,C782)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SUMIFS(RAB!$F$14:$F$94,RAB!$C$14:$C$94,C783)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SUMIFS(RAB!$F$14:$F$94,RAB!$C$14:$C$94,C784)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SUMIFS(RAB!$F$14:$F$94,RAB!$C$14:$C$94,C785)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SUMIFS(RAB!$F$14:$F$94,RAB!$C$14:$C$94,C786)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SUMIFS(RAB!$F$14:$F$94,RAB!$C$14:$C$94,C787)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SUMIFS(RAB!$F$14:$F$94,RAB!$C$14:$C$94,C788)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SUMIFS(RAB!$F$14:$F$94,RAB!$C$14:$C$94,C789)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SUMIFS(RAB!$F$14:$F$94,RAB!$C$14:$C$94,C790)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SUMIFS(RAB!$F$14:$F$94,RAB!$C$14:$C$94,C791)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SUMIFS(RAB!$F$14:$F$94,RAB!$C$14:$C$94,C792)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SUMIFS(RAB!$F$14:$F$94,RAB!$C$14:$C$94,C793)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SUMIFS(RAB!$F$14:$F$94,RAB!$C$14:$C$94,C794)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SUMIFS(RAB!$F$14:$F$94,RAB!$C$14:$C$94,C795)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SUMIFS(RAB!$F$14:$F$94,RAB!$C$14:$C$94,C796)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SUMIFS(RAB!$F$14:$F$94,RAB!$C$14:$C$94,C797)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SUMIFS(RAB!$F$14:$F$94,RAB!$C$14:$C$94,C798)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SUMIFS(RAB!$F$14:$F$94,RAB!$C$14:$C$94,C799)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SUMIFS(RAB!$F$14:$F$94,RAB!$C$14:$C$94,C800)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SUMIFS(RAB!$F$14:$F$94,RAB!$C$14:$C$94,C801)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SUMIFS(RAB!$F$14:$F$94,RAB!$C$14:$C$94,C802)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SUMIFS(RAB!$F$14:$F$94,RAB!$C$14:$C$94,C803)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SUMIFS(RAB!$F$14:$F$94,RAB!$C$14:$C$94,C804)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SUMIFS(RAB!$F$14:$F$94,RAB!$C$14:$C$94,C805)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SUMIFS(RAB!$F$14:$F$94,RAB!$C$14:$C$94,C806)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SUMIFS(RAB!$F$14:$F$94,RAB!$C$14:$C$94,C807)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SUMIFS(RAB!$F$14:$F$94,RAB!$C$14:$C$94,C808)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SUMIFS(RAB!$F$14:$F$94,RAB!$C$14:$C$94,C809)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SUMIFS(RAB!$F$14:$F$94,RAB!$C$14:$C$94,C810)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SUMIFS(RAB!$F$14:$F$94,RAB!$C$14:$C$94,C811)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SUMIFS(RAB!$F$14:$F$94,RAB!$C$14:$C$94,C812)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SUMIFS(RAB!$F$14:$F$94,RAB!$C$14:$C$94,C813)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SUMIFS(RAB!$F$14:$F$94,RAB!$C$14:$C$94,C814)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SUMIFS(RAB!$F$14:$F$94,RAB!$C$14:$C$94,C815)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SUMIFS(RAB!$F$14:$F$94,RAB!$C$14:$C$94,C816)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SUMIFS(RAB!$F$14:$F$94,RAB!$C$14:$C$94,C817)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SUMIFS(RAB!$F$14:$F$94,RAB!$C$14:$C$94,C818)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SUMIFS(RAB!$F$14:$F$94,RAB!$C$14:$C$94,C819)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SUMIFS(RAB!$F$14:$F$94,RAB!$C$14:$C$94,C820)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SUMIFS(RAB!$F$14:$F$94,RAB!$C$14:$C$94,C821)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SUMIFS(RAB!$F$14:$F$94,RAB!$C$14:$C$94,C822)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SUMIFS(RAB!$F$14:$F$94,RAB!$C$14:$C$94,C823)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SUMIFS(RAB!$F$14:$F$94,RAB!$C$14:$C$94,C824)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SUMIFS(RAB!$F$14:$F$94,RAB!$C$14:$C$94,C825)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SUMIFS(RAB!$F$14:$F$94,RAB!$C$14:$C$94,C826)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SUMIFS(RAB!$F$14:$F$94,RAB!$C$14:$C$94,C827)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SUMIFS(RAB!$F$14:$F$94,RAB!$C$14:$C$94,C828)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SUMIFS(RAB!$F$14:$F$94,RAB!$C$14:$C$94,C829)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SUMIFS(RAB!$F$14:$F$94,RAB!$C$14:$C$94,C830)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SUMIFS(RAB!$F$14:$F$94,RAB!$C$14:$C$94,C831)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SUMIFS(RAB!$F$14:$F$94,RAB!$C$14:$C$94,C832)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SUMIFS(RAB!$F$14:$F$94,RAB!$C$14:$C$94,C833)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SUMIFS(RAB!$F$14:$F$94,RAB!$C$14:$C$94,C834)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SUMIFS(RAB!$F$14:$F$94,RAB!$C$14:$C$94,C835)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SUMIFS(RAB!$F$14:$F$94,RAB!$C$14:$C$94,C836)</f>
        <v>213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SUMIFS(RAB!$F$14:$F$94,RAB!$C$14:$C$94,C837)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SUMIFS(RAB!$F$14:$F$94,RAB!$C$14:$C$94,C838)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SUMIFS(RAB!$F$14:$F$94,RAB!$C$14:$C$94,C839)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SUMIFS(RAB!$F$14:$F$94,RAB!$C$14:$C$94,C840)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SUMIFS(RAB!$F$14:$F$94,RAB!$C$14:$C$94,C841)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SUMIFS(RAB!$F$14:$F$94,RAB!$C$14:$C$94,C842)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SUMIFS(RAB!$F$14:$F$94,RAB!$C$14:$C$94,C843)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SUMIFS(RAB!$F$14:$F$94,RAB!$C$14:$C$94,C844)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SUMIFS(RAB!$F$14:$F$94,RAB!$C$14:$C$94,C845)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SUMIFS(RAB!$F$14:$F$94,RAB!$C$14:$C$94,C846)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SUMIFS(RAB!$F$14:$F$94,RAB!$C$14:$C$94,C847)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SUMIFS(RAB!$F$14:$F$94,RAB!$C$14:$C$94,C848)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SUMIFS(RAB!$F$14:$F$94,RAB!$C$14:$C$94,C849)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SUMIFS(RAB!$F$14:$F$94,RAB!$C$14:$C$94,C850)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SUMIFS(RAB!$F$14:$F$94,RAB!$C$14:$C$94,C851)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SUMIFS(RAB!$F$14:$F$94,RAB!$C$14:$C$94,C852)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SUMIFS(RAB!$F$14:$F$94,RAB!$C$14:$C$94,C853)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SUMIFS(RAB!$F$14:$F$94,RAB!$C$14:$C$94,C854)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SUMIFS(RAB!$F$14:$F$94,RAB!$C$14:$C$94,C855)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SUMIFS(RAB!$F$14:$F$94,RAB!$C$14:$C$94,C856)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SUMIFS(RAB!$F$14:$F$94,RAB!$C$14:$C$94,C857)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SUMIFS(RAB!$F$14:$F$94,RAB!$C$14:$C$94,C858)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SUMIFS(RAB!$F$14:$F$94,RAB!$C$14:$C$94,C859)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SUMIFS(RAB!$F$14:$F$94,RAB!$C$14:$C$94,C860)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SUMIFS(RAB!$F$14:$F$94,RAB!$C$14:$C$94,C861)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SUMIFS(RAB!$F$14:$F$94,RAB!$C$14:$C$94,C862)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SUMIFS(RAB!$F$14:$F$94,RAB!$C$14:$C$94,C863)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SUMIFS(RAB!$F$14:$F$94,RAB!$C$14:$C$94,C864)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SUMIFS(RAB!$F$14:$F$94,RAB!$C$14:$C$94,C865)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SUMIFS(RAB!$F$14:$F$94,RAB!$C$14:$C$94,C866)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SUMIFS(RAB!$F$14:$F$94,RAB!$C$14:$C$94,C867)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SUMIFS(RAB!$F$14:$F$94,RAB!$C$14:$C$94,C868)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SUMIFS(RAB!$F$14:$F$94,RAB!$C$14:$C$94,C869)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SUMIFS(RAB!$F$14:$F$94,RAB!$C$14:$C$94,C870)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SUMIFS(RAB!$F$14:$F$94,RAB!$C$14:$C$94,C871)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SUMIFS(RAB!$F$14:$F$94,RAB!$C$14:$C$94,C872)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SUMIFS(RAB!$F$14:$F$94,RAB!$C$14:$C$94,C873)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SUMIFS(RAB!$F$14:$F$94,RAB!$C$14:$C$94,C874)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SUMIFS(RAB!$F$14:$F$94,RAB!$C$14:$C$94,C875)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SUMIFS(RAB!$F$14:$F$94,RAB!$C$14:$C$94,C876)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SUMIFS(RAB!$F$14:$F$94,RAB!$C$14:$C$94,C877)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SUMIFS(RAB!$F$14:$F$94,RAB!$C$14:$C$94,C878)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SUMIFS(RAB!$F$14:$F$94,RAB!$C$14:$C$94,C879)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SUMIFS(RAB!$F$14:$F$94,RAB!$C$14:$C$94,C880)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SUMIFS(RAB!$F$14:$F$94,RAB!$C$14:$C$94,C881)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SUMIFS(RAB!$F$14:$F$94,RAB!$C$14:$C$94,C882)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SUMIFS(RAB!$F$14:$F$94,RAB!$C$14:$C$94,C883)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SUMIFS(RAB!$F$14:$F$94,RAB!$C$14:$C$94,C884)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SUMIFS(RAB!$F$14:$F$94,RAB!$C$14:$C$94,C885)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SUMIFS(RAB!$F$14:$F$94,RAB!$C$14:$C$94,C886)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SUMIFS(RAB!$F$14:$F$94,RAB!$C$14:$C$94,C887)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SUMIFS(RAB!$F$14:$F$94,RAB!$C$14:$C$94,C888)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SUMIFS(RAB!$F$14:$F$94,RAB!$C$14:$C$94,C889)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SUMIFS(RAB!$F$14:$F$94,RAB!$C$14:$C$94,C890)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SUMIFS(RAB!$F$14:$F$94,RAB!$C$14:$C$94,C891)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SUMIFS(RAB!$F$14:$F$94,RAB!$C$14:$C$94,C892)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SUMIFS(RAB!$F$14:$F$94,RAB!$C$14:$C$94,C893)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SUMIFS(RAB!$F$14:$F$94,RAB!$C$14:$C$94,C894)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SUMIFS(RAB!$F$14:$F$94,RAB!$C$14:$C$94,C895)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SUMIFS(RAB!$F$14:$F$94,RAB!$C$14:$C$94,C896)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SUMIFS(RAB!$F$14:$F$94,RAB!$C$14:$C$94,C897)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SUMIFS(RAB!$F$14:$F$94,RAB!$C$14:$C$94,C898)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SUMIFS(RAB!$F$14:$F$94,RAB!$C$14:$C$94,C899)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SUMIFS(RAB!$F$14:$F$94,RAB!$C$14:$C$94,C900)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SUMIFS(RAB!$F$14:$F$94,RAB!$C$14:$C$94,C901)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SUMIFS(RAB!$F$14:$F$94,RAB!$C$14:$C$94,C902)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SUMIFS(RAB!$F$14:$F$94,RAB!$C$14:$C$94,C903)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SUMIFS(RAB!$F$14:$F$94,RAB!$C$14:$C$94,C904)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SUMIFS(RAB!$F$14:$F$94,RAB!$C$14:$C$94,C905)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SUMIFS(RAB!$F$14:$F$94,RAB!$C$14:$C$94,C906)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SUMIFS(RAB!$F$14:$F$94,RAB!$C$14:$C$94,C907)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SUMIFS(RAB!$F$14:$F$94,RAB!$C$14:$C$94,C908)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SUMIFS(RAB!$F$14:$F$94,RAB!$C$14:$C$94,C909)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SUMIFS(RAB!$F$14:$F$94,RAB!$C$14:$C$94,C910)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SUMIFS(RAB!$F$14:$F$94,RAB!$C$14:$C$94,C911)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SUMIFS(RAB!$F$14:$F$94,RAB!$C$14:$C$94,C912)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SUMIFS(RAB!$F$14:$F$94,RAB!$C$14:$C$94,C913)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SUMIFS(RAB!$F$14:$F$94,RAB!$C$14:$C$94,C914)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SUMIFS(RAB!$F$14:$F$94,RAB!$C$14:$C$94,C915)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SUMIFS(RAB!$F$14:$F$94,RAB!$C$14:$C$94,C916)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SUMIFS(RAB!$F$14:$F$94,RAB!$C$14:$C$94,C917)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SUMIFS(RAB!$F$14:$F$94,RAB!$C$14:$C$94,C918)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SUMIFS(RAB!$F$14:$F$94,RAB!$C$14:$C$94,C919)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SUMIFS(RAB!$F$14:$F$94,RAB!$C$14:$C$94,C920)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SUMIFS(RAB!$F$14:$F$94,RAB!$C$14:$C$94,C921)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SUMIFS(RAB!$F$14:$F$94,RAB!$C$14:$C$94,C922)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SUMIFS(RAB!$F$14:$F$94,RAB!$C$14:$C$94,C923)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SUMIFS(RAB!$F$14:$F$94,RAB!$C$14:$C$94,C924)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SUMIFS(RAB!$F$14:$F$94,RAB!$C$14:$C$94,C925)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SUMIFS(RAB!$F$14:$F$94,RAB!$C$14:$C$94,C926)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SUMIFS(RAB!$F$14:$F$94,RAB!$C$14:$C$94,C927)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SUMIFS(RAB!$F$14:$F$94,RAB!$C$14:$C$94,C928)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SUMIFS(RAB!$F$14:$F$94,RAB!$C$14:$C$94,C929)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SUMIFS(RAB!$F$14:$F$94,RAB!$C$14:$C$94,C930)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SUMIFS(RAB!$F$14:$F$94,RAB!$C$14:$C$94,C931)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SUMIFS(RAB!$F$14:$F$94,RAB!$C$14:$C$94,C932)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SUMIFS(RAB!$F$14:$F$94,RAB!$C$14:$C$94,C933)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SUMIFS(RAB!$F$14:$F$94,RAB!$C$14:$C$94,C934)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SUMIFS(RAB!$F$14:$F$94,RAB!$C$14:$C$94,C935)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SUMIFS(RAB!$F$14:$F$94,RAB!$C$14:$C$94,C936)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SUMIFS(RAB!$F$14:$F$94,RAB!$C$14:$C$94,C937)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SUMIFS(RAB!$F$14:$F$94,RAB!$C$14:$C$94,C938)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SUMIFS(RAB!$F$14:$F$94,RAB!$C$14:$C$94,C939)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SUMIFS(RAB!$F$14:$F$94,RAB!$C$14:$C$94,C940)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SUMIFS(RAB!$F$14:$F$94,RAB!$C$14:$C$94,C941)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SUMIFS(RAB!$F$14:$F$94,RAB!$C$14:$C$94,C942)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SUMIFS(RAB!$F$14:$F$94,RAB!$C$14:$C$94,C943)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SUMIFS(RAB!$F$14:$F$94,RAB!$C$14:$C$94,C944)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SUMIFS(RAB!$F$14:$F$94,RAB!$C$14:$C$94,C945)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SUMIFS(RAB!$F$14:$F$94,RAB!$C$14:$C$94,C946)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SUMIFS(RAB!$F$14:$F$94,RAB!$C$14:$C$94,C947)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SUMIFS(RAB!$F$14:$F$94,RAB!$C$14:$C$94,C948)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SUMIFS(RAB!$F$14:$F$94,RAB!$C$14:$C$94,C949)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SUMIFS(RAB!$F$14:$F$94,RAB!$C$14:$C$94,C950)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SUMIFS(RAB!$F$14:$F$94,RAB!$C$14:$C$94,C951)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SUMIFS(RAB!$F$14:$F$94,RAB!$C$14:$C$94,C952)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SUMIFS(RAB!$F$14:$F$94,RAB!$C$14:$C$94,C953)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SUMIFS(RAB!$F$14:$F$94,RAB!$C$14:$C$94,C954)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SUMIFS(RAB!$F$14:$F$94,RAB!$C$14:$C$94,C955)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SUMIFS(RAB!$F$14:$F$94,RAB!$C$14:$C$94,C956)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SUMIFS(RAB!$F$14:$F$94,RAB!$C$14:$C$94,C957)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SUMIFS(RAB!$F$14:$F$94,RAB!$C$14:$C$94,C958)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SUMIFS(RAB!$F$14:$F$94,RAB!$C$14:$C$94,C959)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SUMIFS(RAB!$F$14:$F$94,RAB!$C$14:$C$94,C960)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SUMIFS(RAB!$F$14:$F$94,RAB!$C$14:$C$94,C961)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SUMIFS(RAB!$F$14:$F$94,RAB!$C$14:$C$94,C962)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SUMIFS(RAB!$F$14:$F$94,RAB!$C$14:$C$94,C963)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SUMIFS(RAB!$F$14:$F$94,RAB!$C$14:$C$94,C964)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SUMIFS(RAB!$F$14:$F$94,RAB!$C$14:$C$94,C965)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SUMIFS(RAB!$F$14:$F$94,RAB!$C$14:$C$94,C966)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SUMIFS(RAB!$F$14:$F$94,RAB!$C$14:$C$94,C967)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SUMIFS(RAB!$F$14:$F$94,RAB!$C$14:$C$94,C968)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SUMIFS(RAB!$F$14:$F$94,RAB!$C$14:$C$94,C969)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SUMIFS(RAB!$F$14:$F$94,RAB!$C$14:$C$94,C970)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SUMIFS(RAB!$F$14:$F$94,RAB!$C$14:$C$94,C971)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SUMIFS(RAB!$F$14:$F$94,RAB!$C$14:$C$94,C972)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SUMIFS(RAB!$F$14:$F$94,RAB!$C$14:$C$94,C973)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SUMIFS(RAB!$F$14:$F$94,RAB!$C$14:$C$94,C974)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SUMIFS(RAB!$F$14:$F$94,RAB!$C$14:$C$94,C975)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SUMIFS(RAB!$F$14:$F$94,RAB!$C$14:$C$94,C976)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SUMIFS(RAB!$F$14:$F$94,RAB!$C$14:$C$94,C977)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SUMIFS(RAB!$F$14:$F$94,RAB!$C$14:$C$94,C978)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SUMIFS(RAB!$F$14:$F$94,RAB!$C$14:$C$94,C979)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SUMIFS(RAB!$F$14:$F$94,RAB!$C$14:$C$94,C980)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SUMIFS(RAB!$F$14:$F$94,RAB!$C$14:$C$94,C981)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SUMIFS(RAB!$F$14:$F$94,RAB!$C$14:$C$94,C982)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SUMIFS(RAB!$F$14:$F$94,RAB!$C$14:$C$94,C983)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SUMIFS(RAB!$F$14:$F$94,RAB!$C$14:$C$94,C984)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SUMIFS(RAB!$F$14:$F$94,RAB!$C$14:$C$94,C985)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SUMIFS(RAB!$F$14:$F$94,RAB!$C$14:$C$94,C986)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SUMIFS(RAB!$F$14:$F$94,RAB!$C$14:$C$94,C987)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SUMIFS(RAB!$F$14:$F$94,RAB!$C$14:$C$94,C988)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SUMIFS(RAB!$F$14:$F$94,RAB!$C$14:$C$94,C989)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SUMIFS(RAB!$F$14:$F$94,RAB!$C$14:$C$94,C990)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SUMIFS(RAB!$F$14:$F$94,RAB!$C$14:$C$94,C991)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SUMIFS(RAB!$F$14:$F$94,RAB!$C$14:$C$94,C992)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SUMIFS(RAB!$F$14:$F$94,RAB!$C$14:$C$94,C993)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SUMIFS(RAB!$F$14:$F$94,RAB!$C$14:$C$94,C994)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SUMIFS(RAB!$F$14:$F$94,RAB!$C$14:$C$94,C995)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SUMIFS(RAB!$F$14:$F$94,RAB!$C$14:$C$94,C996)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SUMIFS(RAB!$F$14:$F$94,RAB!$C$14:$C$94,C997)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SUMIFS(RAB!$F$14:$F$94,RAB!$C$14:$C$94,C998)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SUMIFS(RAB!$F$14:$F$94,RAB!$C$14:$C$94,C999)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SUMIFS(RAB!$F$14:$F$94,RAB!$C$14:$C$94,C1000)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SUMIFS(RAB!$F$14:$F$94,RAB!$C$14:$C$94,C1001)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SUMIFS(RAB!$F$14:$F$94,RAB!$C$14:$C$94,C1002)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SUMIFS(RAB!$F$14:$F$94,RAB!$C$14:$C$94,C1003)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SUMIFS(RAB!$F$14:$F$94,RAB!$C$14:$C$94,C1004)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SUMIFS(RAB!$F$14:$F$94,RAB!$C$14:$C$94,C1005)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SUMIFS(RAB!$F$14:$F$94,RAB!$C$14:$C$94,C1006)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SUMIFS(RAB!$F$14:$F$94,RAB!$C$14:$C$94,C1007)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SUMIFS(RAB!$F$14:$F$94,RAB!$C$14:$C$94,C1008)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SUMIFS(RAB!$F$14:$F$94,RAB!$C$14:$C$94,C1009)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SUMIFS(RAB!$F$14:$F$94,RAB!$C$14:$C$94,C1010)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SUMIFS(RAB!$F$14:$F$94,RAB!$C$14:$C$94,C1011)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SUMIFS(RAB!$F$14:$F$94,RAB!$C$14:$C$94,C1012)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SUMIFS(RAB!$F$14:$F$94,RAB!$C$14:$C$94,C1013)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SUMIFS(RAB!$F$14:$F$94,RAB!$C$14:$C$94,C1014)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SUMIFS(RAB!$F$14:$F$94,RAB!$C$14:$C$94,C1015)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SUMIFS(RAB!$F$14:$F$94,RAB!$C$14:$C$94,C1016)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SUMIFS(RAB!$F$14:$F$94,RAB!$C$14:$C$94,C1017)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SUMIFS(RAB!$F$14:$F$94,RAB!$C$14:$C$94,C1018)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SUMIFS(RAB!$F$14:$F$94,RAB!$C$14:$C$94,C1019)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SUMIFS(RAB!$F$14:$F$94,RAB!$C$14:$C$94,C1020)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SUMIFS(RAB!$F$14:$F$94,RAB!$C$14:$C$94,C1021)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SUMIFS(RAB!$F$14:$F$94,RAB!$C$14:$C$94,C1022)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SUMIFS(RAB!$F$14:$F$94,RAB!$C$14:$C$94,C1023)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SUMIFS(RAB!$F$14:$F$94,RAB!$C$14:$C$94,C1024)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SUMIFS(RAB!$F$14:$F$94,RAB!$C$14:$C$94,C1025)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SUMIFS(RAB!$F$14:$F$94,RAB!$C$14:$C$94,C1026)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SUMIFS(RAB!$F$14:$F$94,RAB!$C$14:$C$94,C1027)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SUMIFS(RAB!$F$14:$F$94,RAB!$C$14:$C$94,C1028)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SUMIFS(RAB!$F$14:$F$94,RAB!$C$14:$C$94,C1029)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SUMIFS(RAB!$F$14:$F$94,RAB!$C$14:$C$94,C1030)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SUMIFS(RAB!$F$14:$F$94,RAB!$C$14:$C$94,C1031)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SUMIFS(RAB!$F$14:$F$94,RAB!$C$14:$C$94,C1032)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SUMIFS(RAB!$F$14:$F$94,RAB!$C$14:$C$94,C1033)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SUMIFS(RAB!$F$14:$F$94,RAB!$C$14:$C$94,C1034)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SUMIFS(RAB!$F$14:$F$94,RAB!$C$14:$C$94,C1035)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SUMIFS(RAB!$F$14:$F$94,RAB!$C$14:$C$94,C1036)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SUMIFS(RAB!$F$14:$F$94,RAB!$C$14:$C$94,C1037)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SUMIFS(RAB!$F$14:$F$94,RAB!$C$14:$C$94,C1038)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SUMIFS(RAB!$F$14:$F$94,RAB!$C$14:$C$94,C1039)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SUMIFS(RAB!$F$14:$F$94,RAB!$C$14:$C$94,C1040)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SUMIFS(RAB!$F$14:$F$94,RAB!$C$14:$C$94,C1041)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SUMIFS(RAB!$F$14:$F$94,RAB!$C$14:$C$94,C1042)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SUMIFS(RAB!$F$14:$F$94,RAB!$C$14:$C$94,C1043)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SUMIFS(RAB!$F$14:$F$94,RAB!$C$14:$C$94,C1044)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SUMIFS(RAB!$F$14:$F$94,RAB!$C$14:$C$94,C1045)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SUMIFS(RAB!$F$14:$F$94,RAB!$C$14:$C$94,C1046)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SUMIFS(RAB!$F$14:$F$94,RAB!$C$14:$C$94,C1047)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SUMIFS(RAB!$F$14:$F$94,RAB!$C$14:$C$94,C1048)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SUMIFS(RAB!$F$14:$F$94,RAB!$C$14:$C$94,C1049)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SUMIFS(RAB!$F$14:$F$94,RAB!$C$14:$C$94,C1050)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SUMIFS(RAB!$F$14:$F$94,RAB!$C$14:$C$94,C1051)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SUMIFS(RAB!$F$14:$F$94,RAB!$C$14:$C$94,C1052)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SUMIFS(RAB!$F$14:$F$94,RAB!$C$14:$C$94,C1053)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SUMIFS(RAB!$F$14:$F$94,RAB!$C$14:$C$94,C1054)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SUMIFS(RAB!$F$14:$F$94,RAB!$C$14:$C$94,C1055)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SUMIFS(RAB!$F$14:$F$94,RAB!$C$14:$C$94,C1056)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SUMIFS(RAB!$F$14:$F$94,RAB!$C$14:$C$94,C1057)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SUMIFS(RAB!$F$14:$F$94,RAB!$C$14:$C$94,C1058)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SUMIFS(RAB!$F$14:$F$94,RAB!$C$14:$C$94,C1059)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SUMIFS(RAB!$F$14:$F$94,RAB!$C$14:$C$94,C1060)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SUMIFS(RAB!$F$14:$F$94,RAB!$C$14:$C$94,C1061)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SUMIFS(RAB!$F$14:$F$94,RAB!$C$14:$C$94,C1062)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SUMIFS(RAB!$F$14:$F$94,RAB!$C$14:$C$94,C1063)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SUMIFS(RAB!$F$14:$F$94,RAB!$C$14:$C$94,C1064)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SUMIFS(RAB!$F$14:$F$94,RAB!$C$14:$C$94,C1065)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SUMIFS(RAB!$F$14:$F$94,RAB!$C$14:$C$94,C1066)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SUMIFS(RAB!$F$14:$F$94,RAB!$C$14:$C$94,C1067)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SUMIFS(RAB!$F$14:$F$94,RAB!$C$14:$C$94,C1068)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SUMIFS(RAB!$F$14:$F$94,RAB!$C$14:$C$94,C1069)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SUMIFS(RAB!$F$14:$F$94,RAB!$C$14:$C$94,C1070)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SUMIFS(RAB!$F$14:$F$94,RAB!$C$14:$C$94,C1071)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SUMIFS(RAB!$F$14:$F$94,RAB!$C$14:$C$94,C1072)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SUMIFS(RAB!$F$14:$F$94,RAB!$C$14:$C$94,C1073)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SUMIFS(RAB!$F$14:$F$94,RAB!$C$14:$C$94,C1074)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SUMIFS(RAB!$F$14:$F$94,RAB!$C$14:$C$94,C1075)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SUMIFS(RAB!$F$14:$F$94,RAB!$C$14:$C$94,C1076)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SUMIFS(RAB!$F$14:$F$94,RAB!$C$14:$C$94,C1077)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SUMIFS(RAB!$F$14:$F$94,RAB!$C$14:$C$94,C1078)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SUMIFS(RAB!$F$14:$F$94,RAB!$C$14:$C$94,C1079)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SUMIFS(RAB!$F$14:$F$94,RAB!$C$14:$C$94,C1080)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SUMIFS(RAB!$F$14:$F$94,RAB!$C$14:$C$94,C1081)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SUMIFS(RAB!$F$14:$F$94,RAB!$C$14:$C$94,C1082)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SUMIFS(RAB!$F$14:$F$94,RAB!$C$14:$C$94,C1083)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SUMIFS(RAB!$F$14:$F$94,RAB!$C$14:$C$94,C1084)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SUMIFS(RAB!$F$14:$F$94,RAB!$C$14:$C$94,C1085)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SUMIFS(RAB!$F$14:$F$94,RAB!$C$14:$C$94,C1086)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SUMIFS(RAB!$F$14:$F$94,RAB!$C$14:$C$94,C1087)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SUMIFS(RAB!$F$14:$F$94,RAB!$C$14:$C$94,C1088)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SUMIFS(RAB!$F$14:$F$94,RAB!$C$14:$C$94,C1089)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SUMIFS(RAB!$F$14:$F$94,RAB!$C$14:$C$94,C1090)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SUMIFS(RAB!$F$14:$F$94,RAB!$C$14:$C$94,C1091)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SUMIFS(RAB!$F$14:$F$94,RAB!$C$14:$C$94,C1092)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SUMIFS(RAB!$F$14:$F$94,RAB!$C$14:$C$94,C1093)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SUMIFS(RAB!$F$14:$F$94,RAB!$C$14:$C$94,C1094)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SUMIFS(RAB!$F$14:$F$94,RAB!$C$14:$C$94,C1095)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SUMIFS(RAB!$F$14:$F$94,RAB!$C$14:$C$94,C1096)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SUMIFS(RAB!$F$14:$F$94,RAB!$C$14:$C$94,C1097)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SUMIFS(RAB!$F$14:$F$94,RAB!$C$14:$C$94,C1098)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SUMIFS(RAB!$F$14:$F$94,RAB!$C$14:$C$94,C1099)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SUMIFS(RAB!$F$14:$F$94,RAB!$C$14:$C$94,C1100)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SUMIFS(RAB!$F$14:$F$94,RAB!$C$14:$C$94,C1101)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SUMIFS(RAB!$F$14:$F$94,RAB!$C$14:$C$94,C1102)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SUMIFS(RAB!$F$14:$F$94,RAB!$C$14:$C$94,C1103)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SUMIFS(RAB!$F$14:$F$94,RAB!$C$14:$C$94,C1104)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SUMIFS(RAB!$F$14:$F$94,RAB!$C$14:$C$94,C1105)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SUMIFS(RAB!$F$14:$F$94,RAB!$C$14:$C$94,C1106)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SUMIFS(RAB!$F$14:$F$94,RAB!$C$14:$C$94,C1107)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SUMIFS(RAB!$F$14:$F$94,RAB!$C$14:$C$94,C1108)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SUMIFS(RAB!$F$14:$F$94,RAB!$C$14:$C$94,C1109)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SUMIFS(RAB!$F$14:$F$94,RAB!$C$14:$C$94,C1110)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SUMIFS(RAB!$F$14:$F$94,RAB!$C$14:$C$94,C1111)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SUMIFS(RAB!$F$14:$F$94,RAB!$C$14:$C$94,C1112)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SUMIFS(RAB!$F$14:$F$94,RAB!$C$14:$C$94,C1113)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SUMIFS(RAB!$F$14:$F$94,RAB!$C$14:$C$94,C1114)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SUMIFS(RAB!$F$14:$F$94,RAB!$C$14:$C$94,C1115)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SUMIFS(RAB!$F$14:$F$94,RAB!$C$14:$C$94,C1116)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SUMIFS(RAB!$F$14:$F$94,RAB!$C$14:$C$94,C1117)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SUMIFS(RAB!$F$14:$F$94,RAB!$C$14:$C$94,C1118)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SUMIFS(RAB!$F$14:$F$94,RAB!$C$14:$C$94,C1119)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SUMIFS(RAB!$F$14:$F$94,RAB!$C$14:$C$94,C1120)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SUMIFS(RAB!$F$14:$F$94,RAB!$C$14:$C$94,C1121)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SUMIFS(RAB!$F$14:$F$94,RAB!$C$14:$C$94,C1122)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SUMIFS(RAB!$F$14:$F$94,RAB!$C$14:$C$94,C1123)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SUMIFS(RAB!$F$14:$F$94,RAB!$C$14:$C$94,C1124)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SUMIFS(RAB!$F$14:$F$94,RAB!$C$14:$C$94,C1125)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SUMIFS(RAB!$F$14:$F$94,RAB!$C$14:$C$94,C1126)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SUMIFS(RAB!$F$14:$F$94,RAB!$C$14:$C$94,C1127)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SUMIFS(RAB!$F$14:$F$94,RAB!$C$14:$C$94,C1128)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SUMIFS(RAB!$F$14:$F$94,RAB!$C$14:$C$94,C1129)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SUMIFS(RAB!$F$14:$F$94,RAB!$C$14:$C$94,C1130)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SUMIFS(RAB!$F$14:$F$94,RAB!$C$14:$C$94,C1131)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SUMIFS(RAB!$F$14:$F$94,RAB!$C$14:$C$94,C1132)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SUMIFS(RAB!$F$14:$F$94,RAB!$C$14:$C$94,C1133)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SUMIFS(RAB!$F$14:$F$94,RAB!$C$14:$C$94,C1134)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SUMIFS(RAB!$F$14:$F$94,RAB!$C$14:$C$94,C1135)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SUMIFS(RAB!$F$14:$F$94,RAB!$C$14:$C$94,C1136)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SUMIFS(RAB!$F$14:$F$94,RAB!$C$14:$C$94,C1137)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SUMIFS(RAB!$F$14:$F$94,RAB!$C$14:$C$94,C1138)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SUMIFS(RAB!$F$14:$F$94,RAB!$C$14:$C$94,C1139)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SUMIFS(RAB!$F$14:$F$94,RAB!$C$14:$C$94,C1140)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SUMIFS(RAB!$F$14:$F$94,RAB!$C$14:$C$94,C1141)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SUMIFS(RAB!$F$14:$F$94,RAB!$C$14:$C$94,C1142)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SUMIFS(RAB!$F$14:$F$94,RAB!$C$14:$C$94,C1143)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SUMIFS(RAB!$F$14:$F$94,RAB!$C$14:$C$94,C1144)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SUMIFS(RAB!$F$14:$F$94,RAB!$C$14:$C$94,C1145)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SUMIFS(RAB!$F$14:$F$94,RAB!$C$14:$C$94,C1146)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SUMIFS(RAB!$F$14:$F$94,RAB!$C$14:$C$94,C1147)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SUMIFS(RAB!$F$14:$F$94,RAB!$C$14:$C$94,C1148)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SUMIFS(RAB!$F$14:$F$94,RAB!$C$14:$C$94,C1149)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SUMIFS(RAB!$F$14:$F$94,RAB!$C$14:$C$94,C1150)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SUMIFS(RAB!$F$14:$F$94,RAB!$C$14:$C$94,C1151)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SUMIFS(RAB!$F$14:$F$94,RAB!$C$14:$C$94,C1152)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SUMIFS(RAB!$F$14:$F$94,RAB!$C$14:$C$94,C1153)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SUMIFS(RAB!$F$14:$F$94,RAB!$C$14:$C$94,C1154)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SUMIFS(RAB!$F$14:$F$94,RAB!$C$14:$C$94,C1155)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SUMIFS(RAB!$F$14:$F$94,RAB!$C$14:$C$94,C1156)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SUMIFS(RAB!$F$14:$F$94,RAB!$C$14:$C$94,C1157)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SUMIFS(RAB!$F$14:$F$94,RAB!$C$14:$C$94,C1158)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SUMIFS(RAB!$F$14:$F$94,RAB!$C$14:$C$94,C1159)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SUMIFS(RAB!$F$14:$F$94,RAB!$C$14:$C$94,C1160)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SUMIFS(RAB!$F$14:$F$94,RAB!$C$14:$C$94,C1161)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SUMIFS(RAB!$F$14:$F$94,RAB!$C$14:$C$94,C1162)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SUMIFS(RAB!$F$14:$F$94,RAB!$C$14:$C$94,C1163)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SUMIFS(RAB!$F$14:$F$94,RAB!$C$14:$C$94,C1164)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SUMIFS(RAB!$F$14:$F$94,RAB!$C$14:$C$94,C1165)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SUMIFS(RAB!$F$14:$F$94,RAB!$C$14:$C$94,C1166)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SUMIFS(RAB!$F$14:$F$94,RAB!$C$14:$C$94,C1167)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SUMIFS(RAB!$F$14:$F$94,RAB!$C$14:$C$94,C1168)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SUMIFS(RAB!$F$14:$F$94,RAB!$C$14:$C$94,C1169)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SUMIFS(RAB!$F$14:$F$94,RAB!$C$14:$C$94,C1170)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SUMIFS(RAB!$F$14:$F$94,RAB!$C$14:$C$94,C1171)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SUMIFS(RAB!$F$14:$F$94,RAB!$C$14:$C$94,C1172)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SUMIFS(RAB!$F$14:$F$94,RAB!$C$14:$C$94,C1173)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SUMIFS(RAB!$F$14:$F$94,RAB!$C$14:$C$94,C1174)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SUMIFS(RAB!$F$14:$F$94,RAB!$C$14:$C$94,C1175)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SUMIFS(RAB!$F$14:$F$94,RAB!$C$14:$C$94,C1176)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SUMIFS(RAB!$F$14:$F$94,RAB!$C$14:$C$94,C1177)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SUMIFS(RAB!$F$14:$F$94,RAB!$C$14:$C$94,C1178)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SUMIFS(RAB!$F$14:$F$94,RAB!$C$14:$C$94,C1179)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SUMIFS(RAB!$F$14:$F$94,RAB!$C$14:$C$94,C1180)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SUMIFS(RAB!$F$14:$F$94,RAB!$C$14:$C$94,C1181)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SUMIFS(RAB!$F$14:$F$94,RAB!$C$14:$C$94,C1182)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SUMIFS(RAB!$F$14:$F$94,RAB!$C$14:$C$94,C1183)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SUMIFS(RAB!$F$14:$F$94,RAB!$C$14:$C$94,C1184)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SUMIFS(RAB!$F$14:$F$94,RAB!$C$14:$C$94,C1185)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SUMIFS(RAB!$F$14:$F$94,RAB!$C$14:$C$94,C1186)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SUMIFS(RAB!$F$14:$F$94,RAB!$C$14:$C$94,C1187)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SUMIFS(RAB!$F$14:$F$94,RAB!$C$14:$C$94,C1188)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SUMIFS(RAB!$F$14:$F$94,RAB!$C$14:$C$94,C1189)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SUMIFS(RAB!$F$14:$F$94,RAB!$C$14:$C$94,C1190)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SUMIFS(RAB!$F$14:$F$94,RAB!$C$14:$C$94,C1191)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SUMIFS(RAB!$F$14:$F$94,RAB!$C$14:$C$94,C1192)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SUMIFS(RAB!$F$14:$F$94,RAB!$C$14:$C$94,C1193)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SUMIFS(RAB!$F$14:$F$94,RAB!$C$14:$C$94,C1194)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SUMIFS(RAB!$F$14:$F$94,RAB!$C$14:$C$94,C1195)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SUMIFS(RAB!$F$14:$F$94,RAB!$C$14:$C$94,C1196)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SUMIFS(RAB!$F$14:$F$94,RAB!$C$14:$C$94,C1197)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SUMIFS(RAB!$F$14:$F$94,RAB!$C$14:$C$94,C1198)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SUMIFS(RAB!$F$14:$F$94,RAB!$C$14:$C$94,C1199)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SUMIFS(RAB!$F$14:$F$94,RAB!$C$14:$C$94,C1200)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SUMIFS(RAB!$F$14:$F$94,RAB!$C$14:$C$94,C1201)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SUMIFS(RAB!$F$14:$F$94,RAB!$C$14:$C$94,C1202)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SUMIFS(RAB!$F$14:$F$94,RAB!$C$14:$C$94,C1203)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SUMIFS(RAB!$F$14:$F$94,RAB!$C$14:$C$94,C1204)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SUMIFS(RAB!$F$14:$F$94,RAB!$C$14:$C$94,C1205)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SUMIFS(RAB!$F$14:$F$94,RAB!$C$14:$C$94,C1206)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SUMIFS(RAB!$F$14:$F$94,RAB!$C$14:$C$94,C1207)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SUMIFS(RAB!$F$14:$F$94,RAB!$C$14:$C$94,C1208)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SUMIFS(RAB!$F$14:$F$94,RAB!$C$14:$C$94,C1209)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SUMIFS(RAB!$F$14:$F$94,RAB!$C$14:$C$94,C1210)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SUMIFS(RAB!$F$14:$F$94,RAB!$C$14:$C$94,C1211)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SUMIFS(RAB!$F$14:$F$94,RAB!$C$14:$C$94,C1212)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SUMIFS(RAB!$F$14:$F$94,RAB!$C$14:$C$94,C1213)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SUMIFS(RAB!$F$14:$F$94,RAB!$C$14:$C$94,C1214)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SUMIFS(RAB!$F$14:$F$94,RAB!$C$14:$C$94,C1215)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SUMIFS(RAB!$F$14:$F$94,RAB!$C$14:$C$94,C1216)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SUMIFS(RAB!$F$14:$F$94,RAB!$C$14:$C$94,C1217)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SUMIFS(RAB!$F$14:$F$94,RAB!$C$14:$C$94,C1218)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SUMIFS(RAB!$F$14:$F$94,RAB!$C$14:$C$94,C1219)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SUMIFS(RAB!$F$14:$F$94,RAB!$C$14:$C$94,C1220)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SUMIFS(RAB!$F$14:$F$94,RAB!$C$14:$C$94,C1221)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SUMIFS(RAB!$F$14:$F$94,RAB!$C$14:$C$94,C1222)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SUMIFS(RAB!$F$14:$F$94,RAB!$C$14:$C$94,C1223)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SUMIFS(RAB!$F$14:$F$94,RAB!$C$14:$C$94,C1224)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SUMIFS(RAB!$F$14:$F$94,RAB!$C$14:$C$94,C1225)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SUMIFS(RAB!$F$14:$F$94,RAB!$C$14:$C$94,C1226)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SUMIFS(RAB!$F$14:$F$94,RAB!$C$14:$C$94,C1227)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SUMIFS(RAB!$F$14:$F$94,RAB!$C$14:$C$94,C1228)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SUMIFS(RAB!$F$14:$F$94,RAB!$C$14:$C$94,C1229)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SUMIFS(RAB!$F$14:$F$94,RAB!$C$14:$C$94,C1230)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SUMIFS(RAB!$F$14:$F$94,RAB!$C$14:$C$94,C1231)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SUMIFS(RAB!$F$14:$F$94,RAB!$C$14:$C$94,C1232)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SUMIFS(RAB!$F$14:$F$94,RAB!$C$14:$C$94,C1233)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SUMIFS(RAB!$F$14:$F$94,RAB!$C$14:$C$94,C1234)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SUMIFS(RAB!$F$14:$F$94,RAB!$C$14:$C$94,C1235)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SUMIFS(RAB!$F$14:$F$94,RAB!$C$14:$C$94,C1236)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SUMIFS(RAB!$F$14:$F$94,RAB!$C$14:$C$94,C1237)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SUMIFS(RAB!$F$14:$F$94,RAB!$C$14:$C$94,C1238)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SUMIFS(RAB!$F$14:$F$94,RAB!$C$14:$C$94,C1239)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SUMIFS(RAB!$F$14:$F$94,RAB!$C$14:$C$94,C1240)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SUMIFS(RAB!$F$14:$F$94,RAB!$C$14:$C$94,C1241)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SUMIFS(RAB!$F$14:$F$94,RAB!$C$14:$C$94,C1242)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SUMIFS(RAB!$F$14:$F$94,RAB!$C$14:$C$94,C1243)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SUMIFS(RAB!$F$14:$F$94,RAB!$C$14:$C$94,C1244)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SUMIFS(RAB!$F$14:$F$94,RAB!$C$14:$C$94,C1245)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SUMIFS(RAB!$F$14:$F$94,RAB!$C$14:$C$94,C1246)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SUMIFS(RAB!$F$14:$F$94,RAB!$C$14:$C$94,C1247)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SUMIFS(RAB!$F$14:$F$94,RAB!$C$14:$C$94,C1248)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SUMIFS(RAB!$F$14:$F$94,RAB!$C$14:$C$94,C1249)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SUMIFS(RAB!$F$14:$F$94,RAB!$C$14:$C$94,C1250)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SUMIFS(RAB!$F$14:$F$94,RAB!$C$14:$C$94,C1251)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SUMIFS(RAB!$F$14:$F$94,RAB!$C$14:$C$94,C1252)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SUMIFS(RAB!$F$14:$F$94,RAB!$C$14:$C$94,C1253)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SUMIFS(RAB!$F$14:$F$94,RAB!$C$14:$C$94,C1254)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SUMIFS(RAB!$F$14:$F$94,RAB!$C$14:$C$94,C1255)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SUMIFS(RAB!$F$14:$F$94,RAB!$C$14:$C$94,C1256)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SUMIFS(RAB!$F$14:$F$94,RAB!$C$14:$C$94,C1257)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SUMIFS(RAB!$F$14:$F$94,RAB!$C$14:$C$94,C1258)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SUMIFS(RAB!$F$14:$F$94,RAB!$C$14:$C$94,C1259)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SUMIFS(RAB!$F$14:$F$94,RAB!$C$14:$C$94,C1260)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SUMIFS(RAB!$F$14:$F$94,RAB!$C$14:$C$94,C1261)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SUMIFS(RAB!$F$14:$F$94,RAB!$C$14:$C$94,C1262)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SUMIFS(RAB!$F$14:$F$94,RAB!$C$14:$C$94,C1263)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SUMIFS(RAB!$F$14:$F$94,RAB!$C$14:$C$94,C1264)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SUMIFS(RAB!$F$14:$F$94,RAB!$C$14:$C$94,C1265)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SUMIFS(RAB!$F$14:$F$94,RAB!$C$14:$C$94,C1266)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SUMIFS(RAB!$F$14:$F$94,RAB!$C$14:$C$94,C1267)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SUMIFS(RAB!$F$14:$F$94,RAB!$C$14:$C$94,C1268)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SUMIFS(RAB!$F$14:$F$94,RAB!$C$14:$C$94,C1269)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SUMIFS(RAB!$F$14:$F$94,RAB!$C$14:$C$94,C1270)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SUMIFS(RAB!$F$14:$F$94,RAB!$C$14:$C$94,C1271)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SUMIFS(RAB!$F$14:$F$94,RAB!$C$14:$C$94,C1272)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SUMIFS(RAB!$F$14:$F$94,RAB!$C$14:$C$94,C1273)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SUMIFS(RAB!$F$14:$F$94,RAB!$C$14:$C$94,C1274)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SUMIFS(RAB!$F$14:$F$94,RAB!$C$14:$C$94,C1275)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SUMIFS(RAB!$F$14:$F$94,RAB!$C$14:$C$94,C1276)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SUMIFS(RAB!$F$14:$F$94,RAB!$C$14:$C$94,C1277)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SUMIFS(RAB!$F$14:$F$94,RAB!$C$14:$C$94,C1278)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SUMIFS(RAB!$F$14:$F$94,RAB!$C$14:$C$94,C1279)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SUMIFS(RAB!$F$14:$F$94,RAB!$C$14:$C$94,C1280)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SUMIFS(RAB!$F$14:$F$94,RAB!$C$14:$C$94,C1281)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SUMIFS(RAB!$F$14:$F$94,RAB!$C$14:$C$94,C1282)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SUMIFS(RAB!$F$14:$F$94,RAB!$C$14:$C$94,C1283)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SUMIFS(RAB!$F$14:$F$94,RAB!$C$14:$C$94,C1284)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SUMIFS(RAB!$F$14:$F$94,RAB!$C$14:$C$94,C1285)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SUMIFS(RAB!$F$14:$F$94,RAB!$C$14:$C$94,C1286)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SUMIFS(RAB!$F$14:$F$94,RAB!$C$14:$C$94,C1287)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SUMIFS(RAB!$F$14:$F$94,RAB!$C$14:$C$94,C1288)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SUMIFS(RAB!$F$14:$F$94,RAB!$C$14:$C$94,C1289)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SUMIFS(RAB!$F$14:$F$94,RAB!$C$14:$C$94,C1290)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SUMIFS(RAB!$F$14:$F$94,RAB!$C$14:$C$94,C1291)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SUMIFS(RAB!$F$14:$F$94,RAB!$C$14:$C$94,C1292)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SUMIFS(RAB!$F$14:$F$94,RAB!$C$14:$C$94,C1293)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SUMIFS(RAB!$F$14:$F$94,RAB!$C$14:$C$94,C1294)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SUMIFS(RAB!$F$14:$F$94,RAB!$C$14:$C$94,C1295)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SUMIFS(RAB!$F$14:$F$94,RAB!$C$14:$C$94,C1296)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SUMIFS(RAB!$F$14:$F$94,RAB!$C$14:$C$94,C1297)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SUMIFS(RAB!$F$14:$F$94,RAB!$C$14:$C$94,C1298)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SUMIFS(RAB!$F$14:$F$94,RAB!$C$14:$C$94,C1299)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SUMIFS(RAB!$F$14:$F$94,RAB!$C$14:$C$94,C1300)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SUMIFS(RAB!$F$14:$F$94,RAB!$C$14:$C$94,C1301)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SUMIFS(RAB!$F$14:$F$94,RAB!$C$14:$C$94,C1302)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SUMIFS(RAB!$F$14:$F$94,RAB!$C$14:$C$94,C1303)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SUMIFS(RAB!$F$14:$F$94,RAB!$C$14:$C$94,C1304)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SUMIFS(RAB!$F$14:$F$94,RAB!$C$14:$C$94,C1305)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SUMIFS(RAB!$F$14:$F$94,RAB!$C$14:$C$94,C1306)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SUMIFS(RAB!$F$14:$F$94,RAB!$C$14:$C$94,C1307)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SUMIFS(RAB!$F$14:$F$94,RAB!$C$14:$C$94,C1308)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SUMIFS(RAB!$F$14:$F$94,RAB!$C$14:$C$94,C1309)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SUMIFS(RAB!$F$14:$F$94,RAB!$C$14:$C$94,C1310)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SUMIFS(RAB!$F$14:$F$94,RAB!$C$14:$C$94,C1311)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SUMIFS(RAB!$F$14:$F$94,RAB!$C$14:$C$94,C1312)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SUMIFS(RAB!$F$14:$F$94,RAB!$C$14:$C$94,C1313)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SUMIFS(RAB!$F$14:$F$94,RAB!$C$14:$C$94,C1314)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SUMIFS(RAB!$F$14:$F$94,RAB!$C$14:$C$94,C1315)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SUMIFS(RAB!$F$14:$F$94,RAB!$C$14:$C$94,C1316)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SUMIFS(RAB!$F$14:$F$94,RAB!$C$14:$C$94,C1317)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SUMIFS(RAB!$F$14:$F$94,RAB!$C$14:$C$94,C1318)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SUMIFS(RAB!$F$14:$F$94,RAB!$C$14:$C$94,C1319)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SUMIFS(RAB!$F$14:$F$94,RAB!$C$14:$C$94,C1320)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2" priority="5" operator="equal">
      <formula>0</formula>
    </cfRule>
  </conditionalFormatting>
  <conditionalFormatting sqref="A10:L65536">
    <cfRule type="cellIs" dxfId="61" priority="1" operator="equal">
      <formula>0</formula>
    </cfRule>
  </conditionalFormatting>
  <conditionalFormatting sqref="C12:C711">
    <cfRule type="cellIs" dxfId="60" priority="66" stopIfTrue="1" operator="equal">
      <formula>0</formula>
    </cfRule>
  </conditionalFormatting>
  <conditionalFormatting sqref="E712:E65536">
    <cfRule type="cellIs" dxfId="59" priority="16" stopIfTrue="1" operator="equal">
      <formula>0</formula>
    </cfRule>
  </conditionalFormatting>
  <conditionalFormatting sqref="G1:G11 E6:E11 E1:E3 H7 H10:H11 F10:F711 G712:G65536">
    <cfRule type="cellIs" dxfId="58" priority="69" stopIfTrue="1" operator="equal">
      <formula>0</formula>
    </cfRule>
  </conditionalFormatting>
  <conditionalFormatting sqref="G12:H711">
    <cfRule type="cellIs" dxfId="57" priority="12" stopIfTrue="1" operator="equal">
      <formula>0</formula>
    </cfRule>
  </conditionalFormatting>
  <conditionalFormatting sqref="I7:K7">
    <cfRule type="cellIs" dxfId="56" priority="4" stopIfTrue="1" operator="equal">
      <formula>0</formula>
    </cfRule>
  </conditionalFormatting>
  <conditionalFormatting sqref="I10:L711">
    <cfRule type="cellIs" dxfId="55" priority="2" stopIfTrue="1" operator="equal">
      <formula>0</formula>
    </cfRule>
  </conditionalFormatting>
  <conditionalFormatting sqref="L1:L6">
    <cfRule type="cellIs" dxfId="54" priority="10" operator="equal">
      <formula>0</formula>
    </cfRule>
  </conditionalFormatting>
  <conditionalFormatting sqref="M1:IV1048576 A8:G9">
    <cfRule type="cellIs" dxfId="5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TSEL MTEL SURODADI SAYUNG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SURODADI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SUMIFS(RAB!$F$14:$F$94,RAB!$C$14:$C$94,'REKAP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SUMIFS(RAB!$F$14:$F$94,RAB!$C$14:$C$94,'REKAP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SUMIFS(RAB!$F$14:$F$94,RAB!$C$14:$C$94,'REKAP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SUMIFS(RAB!$F$14:$F$94,RAB!$C$14:$C$94,'REKAP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SUMIFS(RAB!$F$14:$F$94,RAB!$C$14:$C$94,'REKAP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SUMIFS(RAB!$F$14:$F$94,RAB!$C$14:$C$94,'REKAP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SUMIFS(RAB!$F$14:$F$94,RAB!$C$14:$C$94,'REKAP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SUMIFS(RAB!$F$14:$F$94,RAB!$C$14:$C$94,'REKAP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SUMIFS(RAB!$F$14:$F$94,RAB!$C$14:$C$94,'REKAP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SUMIFS(RAB!$F$14:$F$94,RAB!$C$14:$C$94,'REKAP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SUMIFS(RAB!$F$14:$F$94,RAB!$C$14:$C$94,'REKAP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SUMIFS(RAB!$F$14:$F$94,RAB!$C$14:$C$94,'REKAP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SUMIFS(RAB!$F$14:$F$94,RAB!$C$14:$C$94,'REKAP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SUMIFS(RAB!$F$14:$F$94,RAB!$C$14:$C$94,'REKAP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SUMIFS(RAB!$F$14:$F$94,RAB!$C$14:$C$94,'REKAP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SUMIFS(RAB!$F$14:$F$94,RAB!$C$14:$C$94,'REKAP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SUMIFS(RAB!$F$14:$F$94,RAB!$C$14:$C$94,'REKAP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SUMIFS(RAB!$F$14:$F$94,RAB!$C$14:$C$94,'REKAP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SUMIFS(RAB!$F$14:$F$94,RAB!$C$14:$C$94,'REKAP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SUMIFS(RAB!$F$14:$F$94,RAB!$C$14:$C$94,'REKAP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TSEL MTEL SURODADI SAYUNG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SURODADI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10.6 kVA MCCB 16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213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11608500</v>
      </c>
      <c r="I22" s="42">
        <f t="shared" ca="1" si="2"/>
        <v>0</v>
      </c>
      <c r="J22" s="42">
        <f t="shared" ca="1" si="3"/>
        <v>0</v>
      </c>
      <c r="K22" s="43">
        <f t="shared" ca="1" si="0"/>
        <v>11608500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64680750</v>
      </c>
      <c r="I168" s="55">
        <f ca="1">SUM(I14:I167)</f>
        <v>0</v>
      </c>
      <c r="J168" s="55">
        <f ca="1">SUM(J14:J167)</f>
        <v>0</v>
      </c>
      <c r="K168" s="55">
        <f ca="1">SUM(K14:K167)</f>
        <v>64680750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6468075</v>
      </c>
      <c r="I169" s="60">
        <f ca="1">I168*0.1</f>
        <v>0</v>
      </c>
      <c r="J169" s="60">
        <f ca="1">J168*0.1</f>
        <v>0</v>
      </c>
      <c r="K169" s="60">
        <f ca="1">K168*0.1</f>
        <v>6468075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71148825</v>
      </c>
      <c r="I170" s="78">
        <f ca="1">SUM(I168:I169)</f>
        <v>0</v>
      </c>
      <c r="J170" s="61">
        <f ca="1">SUM(J168:J169)</f>
        <v>0</v>
      </c>
      <c r="K170" s="61">
        <f ca="1">SUM(K168:K169)</f>
        <v>71148825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SUMIFS(RAB!$F$14:$F$94,RAB!$C$14:$C$94,C224)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SUMIFS(RAB!$F$14:$F$94,RAB!$C$14:$C$94,C225)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SUMIFS(RAB!$F$14:$F$94,RAB!$C$14:$C$94,C226)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SUMIFS(RAB!$F$14:$F$94,RAB!$C$14:$C$94,C227)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SUMIFS(RAB!$F$14:$F$94,RAB!$C$14:$C$94,C228)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SUMIFS(RAB!$F$14:$F$94,RAB!$C$14:$C$94,C229)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SUMIFS(RAB!$F$14:$F$94,RAB!$C$14:$C$94,C230)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SUMIFS(RAB!$F$14:$F$94,RAB!$C$14:$C$94,C231)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SUMIFS(RAB!$F$14:$F$94,RAB!$C$14:$C$94,C232)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SUMIFS(RAB!$F$14:$F$94,RAB!$C$14:$C$94,C233)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SUMIFS(RAB!$F$14:$F$94,RAB!$C$14:$C$94,C234)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SUMIFS(RAB!$F$14:$F$94,RAB!$C$14:$C$94,C235)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SUMIFS(RAB!$F$14:$F$94,RAB!$C$14:$C$94,C236)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SUMIFS(RAB!$F$14:$F$94,RAB!$C$14:$C$94,C237)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SUMIFS(RAB!$F$14:$F$94,RAB!$C$14:$C$94,C238)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SUMIFS(RAB!$F$14:$F$94,RAB!$C$14:$C$94,C239)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SUMIFS(RAB!$F$14:$F$94,RAB!$C$14:$C$94,C240)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SUMIFS(RAB!$F$14:$F$94,RAB!$C$14:$C$94,C241)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SUMIFS(RAB!$F$14:$F$94,RAB!$C$14:$C$94,C242)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SUMIFS(RAB!$F$14:$F$94,RAB!$C$14:$C$94,C243)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SUMIFS(RAB!$F$14:$F$94,RAB!$C$14:$C$94,C244)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SUMIFS(RAB!$F$14:$F$94,RAB!$C$14:$C$94,C245)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SUMIFS(RAB!$F$14:$F$94,RAB!$C$14:$C$94,C246)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SUMIFS(RAB!$F$14:$F$94,RAB!$C$14:$C$94,C247)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SUMIFS(RAB!$F$14:$F$94,RAB!$C$14:$C$94,C248)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SUMIFS(RAB!$F$14:$F$94,RAB!$C$14:$C$94,C249)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SUMIFS(RAB!$F$14:$F$94,RAB!$C$14:$C$94,C250)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SUMIFS(RAB!$F$14:$F$94,RAB!$C$14:$C$94,C251)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SUMIFS(RAB!$F$14:$F$94,RAB!$C$14:$C$94,C252)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SUMIFS(RAB!$F$14:$F$94,RAB!$C$14:$C$94,C253)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SUMIFS(RAB!$F$14:$F$94,RAB!$C$14:$C$94,C254)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SUMIFS(RAB!$F$14:$F$94,RAB!$C$14:$C$94,C255)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SUMIFS(RAB!$F$14:$F$94,RAB!$C$14:$C$94,C256)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SUMIFS(RAB!$F$14:$F$94,RAB!$C$14:$C$94,C257)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SUMIFS(RAB!$F$14:$F$94,RAB!$C$14:$C$94,C258)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SUMIFS(RAB!$F$14:$F$94,RAB!$C$14:$C$94,C259)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SUMIFS(RAB!$F$14:$F$94,RAB!$C$14:$C$94,C260)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SUMIFS(RAB!$F$14:$F$94,RAB!$C$14:$C$94,C261)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SUMIFS(RAB!$F$14:$F$94,RAB!$C$14:$C$94,C262)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SUMIFS(RAB!$F$14:$F$94,RAB!$C$14:$C$94,C263)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SUMIFS(RAB!$F$14:$F$94,RAB!$C$14:$C$94,C264)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SUMIFS(RAB!$F$14:$F$94,RAB!$C$14:$C$94,C265)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SUMIFS(RAB!$F$14:$F$94,RAB!$C$14:$C$94,C266)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SUMIFS(RAB!$F$14:$F$94,RAB!$C$14:$C$94,C267)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SUMIFS(RAB!$F$14:$F$94,RAB!$C$14:$C$94,C268)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SUMIFS(RAB!$F$14:$F$94,RAB!$C$14:$C$94,C269)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SUMIFS(RAB!$F$14:$F$94,RAB!$C$14:$C$94,C270)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SUMIFS(RAB!$F$14:$F$94,RAB!$C$14:$C$94,C271)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SUMIFS(RAB!$F$14:$F$94,RAB!$C$14:$C$94,C272)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SUMIFS(RAB!$F$14:$F$94,RAB!$C$14:$C$94,C273)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SUMIFS(RAB!$F$14:$F$94,RAB!$C$14:$C$94,C274)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SUMIFS(RAB!$F$14:$F$94,RAB!$C$14:$C$94,C275)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SUMIFS(RAB!$F$14:$F$94,RAB!$C$14:$C$94,C276)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SUMIFS(RAB!$F$14:$F$94,RAB!$C$14:$C$94,C277)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SUMIFS(RAB!$F$14:$F$94,RAB!$C$14:$C$94,C278)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SUMIFS(RAB!$F$14:$F$94,RAB!$C$14:$C$94,C279)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SUMIFS(RAB!$F$14:$F$94,RAB!$C$14:$C$94,C280)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SUMIFS(RAB!$F$14:$F$94,RAB!$C$14:$C$94,C281)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SUMIFS(RAB!$F$14:$F$94,RAB!$C$14:$C$94,C282)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SUMIFS(RAB!$F$14:$F$94,RAB!$C$14:$C$94,C283)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SUMIFS(RAB!$F$14:$F$94,RAB!$C$14:$C$94,C284)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SUMIFS(RAB!$F$14:$F$94,RAB!$C$14:$C$94,C285)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SUMIFS(RAB!$F$14:$F$94,RAB!$C$14:$C$94,C286)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SUMIFS(RAB!$F$14:$F$94,RAB!$C$14:$C$94,C287)</f>
        <v>1</v>
      </c>
      <c r="E287" s="24">
        <f t="shared" ca="1" si="21"/>
        <v>1</v>
      </c>
      <c r="F287" s="24">
        <f ca="1">IF(D287=0,0,SUM($E$223:E287))</f>
        <v>2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SUMIFS(RAB!$F$14:$F$94,RAB!$C$14:$C$94,C288)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SUMIFS(RAB!$F$14:$F$94,RAB!$C$14:$C$94,C289)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SUMIFS(RAB!$F$14:$F$94,RAB!$C$14:$C$94,C290)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SUMIFS(RAB!$F$14:$F$94,RAB!$C$14:$C$94,C291)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SUMIFS(RAB!$F$14:$F$94,RAB!$C$14:$C$94,C292)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SUMIFS(RAB!$F$14:$F$94,RAB!$C$14:$C$94,C293)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SUMIFS(RAB!$F$14:$F$94,RAB!$C$14:$C$94,C294)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SUMIFS(RAB!$F$14:$F$94,RAB!$C$14:$C$94,C295)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SUMIFS(RAB!$F$14:$F$94,RAB!$C$14:$C$94,C296)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SUMIFS(RAB!$F$14:$F$94,RAB!$C$14:$C$94,C297)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SUMIFS(RAB!$F$14:$F$94,RAB!$C$14:$C$94,C298)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SUMIFS(RAB!$F$14:$F$94,RAB!$C$14:$C$94,C299)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SUMIFS(RAB!$F$14:$F$94,RAB!$C$14:$C$94,C300)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SUMIFS(RAB!$F$14:$F$94,RAB!$C$14:$C$94,C301)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SUMIFS(RAB!$F$14:$F$94,RAB!$C$14:$C$94,C302)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SUMIFS(RAB!$F$14:$F$94,RAB!$C$14:$C$94,C303)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SUMIFS(RAB!$F$14:$F$94,RAB!$C$14:$C$94,C304)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SUMIFS(RAB!$F$14:$F$94,RAB!$C$14:$C$94,C305)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SUMIFS(RAB!$F$14:$F$94,RAB!$C$14:$C$94,C306)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SUMIFS(RAB!$F$14:$F$94,RAB!$C$14:$C$94,C307)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SUMIFS(RAB!$F$14:$F$94,RAB!$C$14:$C$94,C308)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SUMIFS(RAB!$F$14:$F$94,RAB!$C$14:$C$94,C309)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SUMIFS(RAB!$F$14:$F$94,RAB!$C$14:$C$94,C310)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SUMIFS(RAB!$F$14:$F$94,RAB!$C$14:$C$94,C311)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SUMIFS(RAB!$F$14:$F$94,RAB!$C$14:$C$94,C312)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SUMIFS(RAB!$F$14:$F$94,RAB!$C$14:$C$94,C313)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SUMIFS(RAB!$F$14:$F$94,RAB!$C$14:$C$94,C314)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SUMIFS(RAB!$F$14:$F$94,RAB!$C$14:$C$94,C315)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SUMIFS(RAB!$F$14:$F$94,RAB!$C$14:$C$94,C316)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SUMIFS(RAB!$F$14:$F$94,RAB!$C$14:$C$94,C317)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SUMIFS(RAB!$F$14:$F$94,RAB!$C$14:$C$94,C318)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SUMIFS(RAB!$F$14:$F$94,RAB!$C$14:$C$94,C319)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SUMIFS(RAB!$F$14:$F$94,RAB!$C$14:$C$94,C320)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SUMIFS(RAB!$F$14:$F$94,RAB!$C$14:$C$94,C321)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SUMIFS(RAB!$F$14:$F$94,RAB!$C$14:$C$94,C322)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SUMIFS(RAB!$F$14:$F$94,RAB!$C$14:$C$94,C323)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SUMIFS(RAB!$F$14:$F$94,RAB!$C$14:$C$94,C324)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SUMIFS(RAB!$F$14:$F$94,RAB!$C$14:$C$94,C325)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SUMIFS(RAB!$F$14:$F$94,RAB!$C$14:$C$94,C326)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SUMIFS(RAB!$F$14:$F$94,RAB!$C$14:$C$94,C327)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SUMIFS(RAB!$F$14:$F$94,RAB!$C$14:$C$94,C328)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SUMIFS(RAB!$F$14:$F$94,RAB!$C$14:$C$94,C329)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SUMIFS(RAB!$F$14:$F$94,RAB!$C$14:$C$94,C330)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SUMIFS(RAB!$F$14:$F$94,RAB!$C$14:$C$94,C331)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SUMIFS(RAB!$F$14:$F$94,RAB!$C$14:$C$94,C332)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SUMIFS(RAB!$F$14:$F$94,RAB!$C$14:$C$94,C333)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SUMIFS(RAB!$F$14:$F$94,RAB!$C$14:$C$94,C334)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SUMIFS(RAB!$F$14:$F$94,RAB!$C$14:$C$94,C335)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SUMIFS(RAB!$F$14:$F$94,RAB!$C$14:$C$94,C336)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SUMIFS(RAB!$F$14:$F$94,RAB!$C$14:$C$94,C337)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SUMIFS(RAB!$F$14:$F$94,RAB!$C$14:$C$94,C338)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SUMIFS(RAB!$F$14:$F$94,RAB!$C$14:$C$94,C339)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SUMIFS(RAB!$F$14:$F$94,RAB!$C$14:$C$94,C340)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SUMIFS(RAB!$F$14:$F$94,RAB!$C$14:$C$94,C341)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SUMIFS(RAB!$F$14:$F$94,RAB!$C$14:$C$94,C342)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SUMIFS(RAB!$F$14:$F$94,RAB!$C$14:$C$94,C343)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SUMIFS(RAB!$F$14:$F$94,RAB!$C$14:$C$94,C344)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SUMIFS(RAB!$F$14:$F$94,RAB!$C$14:$C$94,C345)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SUMIFS(RAB!$F$14:$F$94,RAB!$C$14:$C$94,C346)</f>
        <v>213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SUMIFS(RAB!$F$14:$F$94,RAB!$C$14:$C$94,C347)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SUMIFS(RAB!$F$14:$F$94,RAB!$C$14:$C$94,C348)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SUMIFS(RAB!$F$14:$F$94,RAB!$C$14:$C$94,C349)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SUMIFS(RAB!$F$14:$F$94,RAB!$C$14:$C$94,C350)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SUMIFS(RAB!$F$14:$F$94,RAB!$C$14:$C$94,C351)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SUMIFS(RAB!$F$14:$F$94,RAB!$C$14:$C$94,C352)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SUMIFS(RAB!$F$14:$F$94,RAB!$C$14:$C$94,C353)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SUMIFS(RAB!$F$14:$F$94,RAB!$C$14:$C$94,C354)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SUMIFS(RAB!$F$14:$F$94,RAB!$C$14:$C$94,C355)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SUMIFS(RAB!$F$14:$F$94,RAB!$C$14:$C$94,C356)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SUMIFS(RAB!$F$14:$F$94,RAB!$C$14:$C$94,C357)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SUMIFS(RAB!$F$14:$F$94,RAB!$C$14:$C$94,C358)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SUMIFS(RAB!$F$14:$F$94,RAB!$C$14:$C$94,C359)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SUMIFS(RAB!$F$14:$F$94,RAB!$C$14:$C$94,C360)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SUMIFS(RAB!$F$14:$F$94,RAB!$C$14:$C$94,C361)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SUMIFS(RAB!$F$14:$F$94,RAB!$C$14:$C$94,C362)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SUMIFS(RAB!$F$14:$F$94,RAB!$C$14:$C$94,C363)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SUMIFS(RAB!$F$14:$F$94,RAB!$C$14:$C$94,C364)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SUMIFS(RAB!$F$14:$F$94,RAB!$C$14:$C$94,C365)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SUMIFS(RAB!$F$14:$F$94,RAB!$C$14:$C$94,C366)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SUMIFS(RAB!$F$14:$F$94,RAB!$C$14:$C$94,C367)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SUMIFS(RAB!$F$14:$F$94,RAB!$C$14:$C$94,C368)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SUMIFS(RAB!$F$14:$F$94,RAB!$C$14:$C$94,C369)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SUMIFS(RAB!$F$14:$F$94,RAB!$C$14:$C$94,C370)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SUMIFS(RAB!$F$14:$F$94,RAB!$C$14:$C$94,C371)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SUMIFS(RAB!$F$14:$F$94,RAB!$C$14:$C$94,C372)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SUMIFS(RAB!$F$14:$F$94,RAB!$C$14:$C$94,C373)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0" priority="5" operator="equal">
      <formula>0</formula>
    </cfRule>
  </conditionalFormatting>
  <conditionalFormatting sqref="C16:C165">
    <cfRule type="cellIs" dxfId="49" priority="4" stopIfTrue="1" operator="equal">
      <formula>0</formula>
    </cfRule>
  </conditionalFormatting>
  <conditionalFormatting sqref="C16:E165">
    <cfRule type="cellIs" dxfId="48" priority="1" operator="equal">
      <formula>0</formula>
    </cfRule>
  </conditionalFormatting>
  <conditionalFormatting sqref="D224:F373">
    <cfRule type="cellIs" dxfId="47" priority="8" operator="equal">
      <formula>0</formula>
    </cfRule>
  </conditionalFormatting>
  <conditionalFormatting sqref="E1:E3 G1:G115 E6:E15 H12:I12 N13 F14:F15 H14:K115 E166:K166 G166:G223 E167:F167 H167:K167">
    <cfRule type="cellIs" dxfId="46" priority="43" stopIfTrue="1" operator="equal">
      <formula>0</formula>
    </cfRule>
  </conditionalFormatting>
  <conditionalFormatting sqref="E171:E65536">
    <cfRule type="cellIs" dxfId="45" priority="9" stopIfTrue="1" operator="equal">
      <formula>0</formula>
    </cfRule>
  </conditionalFormatting>
  <conditionalFormatting sqref="G224">
    <cfRule type="cellIs" dxfId="44" priority="10" operator="equal">
      <formula>0</formula>
    </cfRule>
  </conditionalFormatting>
  <conditionalFormatting sqref="G225:G65536">
    <cfRule type="cellIs" dxfId="43" priority="14" stopIfTrue="1" operator="equal">
      <formula>0</formula>
    </cfRule>
  </conditionalFormatting>
  <conditionalFormatting sqref="R14:T166 G116:K165">
    <cfRule type="cellIs" dxfId="4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7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1609</v>
      </c>
      <c r="G4" s="108" t="s">
        <v>1608</v>
      </c>
      <c r="H4" s="55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1" priority="138" operator="equal">
      <formula>0</formula>
    </cfRule>
  </conditionalFormatting>
  <conditionalFormatting sqref="B8:C135">
    <cfRule type="cellIs" dxfId="40" priority="51" operator="equal">
      <formula>0</formula>
    </cfRule>
  </conditionalFormatting>
  <conditionalFormatting sqref="B150:G1493">
    <cfRule type="cellIs" dxfId="39" priority="1" operator="equal">
      <formula>0</formula>
    </cfRule>
  </conditionalFormatting>
  <conditionalFormatting sqref="C143:G149">
    <cfRule type="cellIs" dxfId="38" priority="5" operator="equal">
      <formula>0</formula>
    </cfRule>
  </conditionalFormatting>
  <conditionalFormatting sqref="D9:G142">
    <cfRule type="cellIs" dxfId="37" priority="11" operator="equal">
      <formula>0</formula>
    </cfRule>
  </conditionalFormatting>
  <conditionalFormatting sqref="D1:IV5 A1:C7 D6:K6 H1455:IV1457 H1458:XFD1485 H1486:H1493 I1486:XFD1494 A1494:H1494 A1495:XFD65536">
    <cfRule type="cellIs" dxfId="36" priority="163" operator="equal">
      <formula>0</formula>
    </cfRule>
  </conditionalFormatting>
  <conditionalFormatting sqref="D7:IV8 C136:C142 B136:B149">
    <cfRule type="cellIs" dxfId="35" priority="62" operator="equal">
      <formula>0</formula>
    </cfRule>
  </conditionalFormatting>
  <conditionalFormatting sqref="H9:H1418">
    <cfRule type="cellIs" dxfId="34" priority="129" operator="equal">
      <formula>0</formula>
    </cfRule>
  </conditionalFormatting>
  <conditionalFormatting sqref="H1419:I1454">
    <cfRule type="cellIs" dxfId="33" priority="128" operator="equal">
      <formula>0</formula>
    </cfRule>
  </conditionalFormatting>
  <conditionalFormatting sqref="I108:I1418">
    <cfRule type="cellIs" dxfId="32" priority="125" operator="equal">
      <formula>0</formula>
    </cfRule>
  </conditionalFormatting>
  <conditionalFormatting sqref="J108:IV1454">
    <cfRule type="cellIs" dxfId="31" priority="139" operator="equal">
      <formula>0</formula>
    </cfRule>
  </conditionalFormatting>
  <conditionalFormatting sqref="M6:IV6">
    <cfRule type="cellIs" dxfId="3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3" t="s">
        <v>1454</v>
      </c>
      <c r="C2" s="593"/>
      <c r="D2" s="593"/>
      <c r="E2" s="59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8" t="s">
        <v>1532</v>
      </c>
      <c r="C4" s="599"/>
      <c r="D4" s="599"/>
      <c r="E4" s="600"/>
      <c r="F4" s="442"/>
      <c r="G4" s="442"/>
      <c r="H4" s="443"/>
      <c r="I4" s="562" t="s">
        <v>1533</v>
      </c>
      <c r="J4" s="563"/>
      <c r="K4" s="563"/>
      <c r="L4" s="564"/>
    </row>
    <row r="5" spans="1:12" ht="34.5" customHeight="1">
      <c r="A5" s="204"/>
      <c r="B5" s="445" t="s">
        <v>1379</v>
      </c>
      <c r="C5" s="277" t="s">
        <v>9</v>
      </c>
      <c r="D5" s="594" t="str">
        <f>DATA!D14</f>
        <v>TSEL MTEL SURODADI SAYUNG</v>
      </c>
      <c r="E5" s="595"/>
      <c r="F5" s="208"/>
      <c r="G5" s="208"/>
      <c r="I5" s="446" t="s">
        <v>1379</v>
      </c>
      <c r="J5" s="277" t="s">
        <v>9</v>
      </c>
      <c r="K5" s="565" t="str">
        <f>D5</f>
        <v>TSEL MTEL SURODADI SAYUNG</v>
      </c>
      <c r="L5" s="566"/>
    </row>
    <row r="6" spans="1:12" ht="31.5" customHeight="1">
      <c r="A6" s="204"/>
      <c r="B6" s="445" t="s">
        <v>1529</v>
      </c>
      <c r="C6" s="277" t="s">
        <v>9</v>
      </c>
      <c r="D6" s="603">
        <f>DATA!D17*1000</f>
        <v>0</v>
      </c>
      <c r="E6" s="604"/>
      <c r="F6" s="208"/>
      <c r="G6" s="208"/>
      <c r="I6" s="446" t="s">
        <v>1530</v>
      </c>
      <c r="J6" s="277" t="s">
        <v>9</v>
      </c>
      <c r="K6" s="567">
        <f>DATA!D20*1000</f>
        <v>10600</v>
      </c>
      <c r="L6" s="568"/>
    </row>
    <row r="7" spans="1:12" ht="30.75" customHeight="1">
      <c r="A7" s="204"/>
      <c r="B7" s="445" t="s">
        <v>1441</v>
      </c>
      <c r="C7" s="277" t="s">
        <v>9</v>
      </c>
      <c r="D7" s="601">
        <f>DATA!D18</f>
        <v>1</v>
      </c>
      <c r="E7" s="602"/>
      <c r="F7" s="444" t="s">
        <v>1453</v>
      </c>
      <c r="I7" s="446" t="s">
        <v>1441</v>
      </c>
      <c r="J7" s="277" t="s">
        <v>9</v>
      </c>
      <c r="K7" s="569">
        <f>DATA!D21</f>
        <v>1</v>
      </c>
      <c r="L7" s="570"/>
    </row>
    <row r="8" spans="1:12" ht="51" customHeight="1">
      <c r="A8" s="204"/>
      <c r="B8" s="445" t="s">
        <v>1442</v>
      </c>
      <c r="C8" s="277" t="s">
        <v>9</v>
      </c>
      <c r="D8" s="601">
        <f>DATA!D19</f>
        <v>220</v>
      </c>
      <c r="E8" s="602"/>
      <c r="F8" s="444" t="s">
        <v>1453</v>
      </c>
      <c r="G8" s="439">
        <v>220</v>
      </c>
      <c r="I8" s="446" t="s">
        <v>1442</v>
      </c>
      <c r="J8" s="277" t="s">
        <v>9</v>
      </c>
      <c r="K8" s="569">
        <f>DATA!D22</f>
        <v>220</v>
      </c>
      <c r="L8" s="570"/>
    </row>
    <row r="9" spans="1:12" ht="30" customHeight="1" thickBot="1">
      <c r="A9" s="204"/>
      <c r="B9" s="451" t="s">
        <v>1541</v>
      </c>
      <c r="C9" s="441" t="s">
        <v>9</v>
      </c>
      <c r="D9" s="596">
        <f>IF(D7=1,D6/(380/3^0.5),(D6/(380*3^0.5)))</f>
        <v>0</v>
      </c>
      <c r="E9" s="597"/>
      <c r="F9" s="207"/>
      <c r="G9" s="440">
        <v>380</v>
      </c>
      <c r="I9" s="452" t="s">
        <v>1541</v>
      </c>
      <c r="J9" s="441" t="s">
        <v>9</v>
      </c>
      <c r="K9" s="573">
        <f>IF(K7=1,K6/(380/3^0.5),(K6/(380*3^0.5)))</f>
        <v>48.315101474289733</v>
      </c>
      <c r="L9" s="574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5"/>
      <c r="E12" s="606"/>
      <c r="F12" s="208"/>
      <c r="G12" s="208"/>
      <c r="I12" s="468" t="s">
        <v>1534</v>
      </c>
      <c r="J12" s="469" t="s">
        <v>9</v>
      </c>
      <c r="K12" s="605"/>
      <c r="L12" s="606"/>
    </row>
    <row r="13" spans="1:12" ht="31.5" customHeight="1">
      <c r="A13" s="204"/>
      <c r="B13" s="476" t="s">
        <v>1380</v>
      </c>
      <c r="C13" s="456" t="s">
        <v>9</v>
      </c>
      <c r="D13" s="571"/>
      <c r="E13" s="572"/>
      <c r="F13" s="208"/>
      <c r="G13" s="208"/>
      <c r="I13" s="470" t="s">
        <v>1380</v>
      </c>
      <c r="J13" s="456" t="s">
        <v>9</v>
      </c>
      <c r="K13" s="571"/>
      <c r="L13" s="572"/>
    </row>
    <row r="14" spans="1:12" ht="30.75" customHeight="1">
      <c r="A14" s="204"/>
      <c r="B14" s="476" t="s">
        <v>1535</v>
      </c>
      <c r="C14" s="456" t="s">
        <v>9</v>
      </c>
      <c r="D14" s="575"/>
      <c r="E14" s="576"/>
      <c r="F14" s="444" t="s">
        <v>1453</v>
      </c>
      <c r="G14" s="448">
        <v>50</v>
      </c>
      <c r="I14" s="470" t="s">
        <v>1535</v>
      </c>
      <c r="J14" s="456" t="s">
        <v>9</v>
      </c>
      <c r="K14" s="577"/>
      <c r="L14" s="578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9">
        <v>0</v>
      </c>
      <c r="E16" s="580"/>
      <c r="F16" s="444"/>
      <c r="G16" s="448">
        <v>160</v>
      </c>
      <c r="I16" s="470" t="s">
        <v>1537</v>
      </c>
      <c r="J16" s="456" t="s">
        <v>9</v>
      </c>
      <c r="K16" s="583">
        <f>K9</f>
        <v>48.315101474289733</v>
      </c>
      <c r="L16" s="584"/>
    </row>
    <row r="17" spans="1:12" ht="34.5" customHeight="1">
      <c r="A17" s="204"/>
      <c r="B17" s="476" t="s">
        <v>1538</v>
      </c>
      <c r="C17" s="456" t="s">
        <v>9</v>
      </c>
      <c r="D17" s="581">
        <f>IF(D15=1,D14/(20/3^0.5),(D14/(20*3^0.5)))</f>
        <v>0</v>
      </c>
      <c r="E17" s="582"/>
      <c r="F17" s="444" t="s">
        <v>1453</v>
      </c>
      <c r="G17" s="449">
        <v>200</v>
      </c>
      <c r="I17" s="470" t="s">
        <v>1538</v>
      </c>
      <c r="J17" s="456" t="s">
        <v>9</v>
      </c>
      <c r="K17" s="587">
        <f>IF(K15=1,K14/(20/3^0.5),(K14/(20*3^0.5)))</f>
        <v>0</v>
      </c>
      <c r="L17" s="588"/>
    </row>
    <row r="18" spans="1:12" ht="34.5" customHeight="1">
      <c r="A18" s="204"/>
      <c r="B18" s="476" t="s">
        <v>1539</v>
      </c>
      <c r="C18" s="456" t="s">
        <v>9</v>
      </c>
      <c r="D18" s="581">
        <f>IF(D15=1,D14/(380/3^0.5),(D14/(380*3^0.5)))*1000</f>
        <v>0</v>
      </c>
      <c r="E18" s="582"/>
      <c r="F18" s="444" t="s">
        <v>1453</v>
      </c>
      <c r="G18" s="449">
        <v>250</v>
      </c>
      <c r="I18" s="470" t="s">
        <v>1539</v>
      </c>
      <c r="J18" s="456" t="s">
        <v>9</v>
      </c>
      <c r="K18" s="587">
        <f>IF(K15=1,K14/(380/3^0.5),(K14/(380*3^0.5)))*1000</f>
        <v>0</v>
      </c>
      <c r="L18" s="588"/>
    </row>
    <row r="19" spans="1:12" ht="30" customHeight="1">
      <c r="A19" s="204"/>
      <c r="B19" s="477" t="s">
        <v>1531</v>
      </c>
      <c r="C19" s="455" t="s">
        <v>9</v>
      </c>
      <c r="D19" s="581">
        <f>IF(D15=1,D14/(380/3^0.5),(D14/(380*3^0.5)))</f>
        <v>0</v>
      </c>
      <c r="E19" s="582"/>
      <c r="F19" s="207"/>
      <c r="G19" s="440"/>
      <c r="I19" s="472" t="s">
        <v>1531</v>
      </c>
      <c r="J19" s="455" t="s">
        <v>9</v>
      </c>
      <c r="K19" s="587">
        <f>IF(K15=1,K14/(380/3^0.5),(K14/(380*3^0.5)))</f>
        <v>0</v>
      </c>
      <c r="L19" s="588"/>
    </row>
    <row r="20" spans="1:12" ht="30" customHeight="1" thickBot="1">
      <c r="A20" s="204"/>
      <c r="B20" s="478" t="s">
        <v>1540</v>
      </c>
      <c r="C20" s="474" t="s">
        <v>9</v>
      </c>
      <c r="D20" s="607" t="e">
        <f>D16/D18</f>
        <v>#DIV/0!</v>
      </c>
      <c r="E20" s="608"/>
      <c r="F20" s="207"/>
      <c r="G20" s="440"/>
      <c r="I20" s="473" t="s">
        <v>1531</v>
      </c>
      <c r="J20" s="474" t="s">
        <v>9</v>
      </c>
      <c r="K20" s="585" t="e">
        <f>K16/K18</f>
        <v>#DIV/0!</v>
      </c>
      <c r="L20" s="586"/>
    </row>
    <row r="21" spans="1:12" ht="9.75" customHeight="1">
      <c r="A21" s="204"/>
      <c r="B21" s="463" t="s">
        <v>1540</v>
      </c>
      <c r="C21" s="464" t="s">
        <v>9</v>
      </c>
      <c r="D21" s="592">
        <v>1</v>
      </c>
      <c r="E21" s="592"/>
      <c r="F21" s="465"/>
      <c r="G21" s="466"/>
      <c r="H21" s="467"/>
      <c r="I21" s="463" t="s">
        <v>1531</v>
      </c>
      <c r="J21" s="464" t="s">
        <v>9</v>
      </c>
      <c r="K21" s="592">
        <v>1</v>
      </c>
      <c r="L21" s="592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9" priority="5" stopIfTrue="1" operator="greaterThan">
      <formula>0.89</formula>
    </cfRule>
    <cfRule type="cellIs" dxfId="2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9"/>
      <c r="C1" s="609"/>
      <c r="D1" s="60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10271400</v>
      </c>
    </row>
    <row r="10" spans="2:11" ht="20.100000000000001" customHeight="1">
      <c r="B10" s="291" t="s">
        <v>1446</v>
      </c>
      <c r="C10" s="292" t="s">
        <v>9</v>
      </c>
      <c r="D10" s="298">
        <f ca="1">RAB!K100</f>
        <v>41515697.828620002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830313.95657240006</v>
      </c>
    </row>
    <row r="12" spans="2:11" ht="9" customHeight="1">
      <c r="B12" s="610"/>
      <c r="C12" s="610"/>
      <c r="D12" s="610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1638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10.6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TSEL MTEL SURODADI SAYUNG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6" t="s">
        <v>1359</v>
      </c>
      <c r="E5" s="616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4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3392</v>
      </c>
      <c r="D7" s="316">
        <f>C7*4/24</f>
        <v>565.33333333333337</v>
      </c>
      <c r="E7" s="316">
        <f>C7-D7</f>
        <v>2826.6666666666665</v>
      </c>
      <c r="F7" s="317">
        <f ca="1">DATA!D10/1000000</f>
        <v>41.515697828619999</v>
      </c>
      <c r="G7" s="318">
        <f ca="1">DATA!$D$11/1000000</f>
        <v>0.83031395657240004</v>
      </c>
      <c r="H7" s="318">
        <f>C7*DATA!$D$5/1000000</f>
        <v>3.6773521556472932</v>
      </c>
      <c r="I7" s="318">
        <f>(C7*DATA!$D$5*DATA!$D$7)/1000000</f>
        <v>8.2740423502064092E-2</v>
      </c>
      <c r="J7" s="316">
        <f ca="1">SUM(F7:I7)</f>
        <v>46.106104364341753</v>
      </c>
      <c r="K7" s="319">
        <f>DATA!D9/1000000</f>
        <v>10.2714</v>
      </c>
      <c r="L7" s="316">
        <f>((D7*DATA!$D$23)/1000000)+((E7*DATA!$D$24)/1000000)</f>
        <v>4.9004224000000001</v>
      </c>
      <c r="M7" s="316">
        <f>K7+L7</f>
        <v>15.1718224</v>
      </c>
      <c r="N7" s="316">
        <f ca="1">M7-J7</f>
        <v>-30.934281964341753</v>
      </c>
      <c r="O7" s="314">
        <v>1</v>
      </c>
      <c r="P7" s="316">
        <f ca="1">O7*N7</f>
        <v>-30.934281964341753</v>
      </c>
      <c r="Q7" s="316">
        <f ca="1">P7</f>
        <v>-30.934281964341753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5088</v>
      </c>
      <c r="D8" s="316">
        <f>C8*4/24</f>
        <v>848</v>
      </c>
      <c r="E8" s="316">
        <f t="shared" ref="E8:E32" si="0">C8-D8</f>
        <v>4240</v>
      </c>
      <c r="F8" s="314"/>
      <c r="G8" s="318">
        <f ca="1">DATA!$D$11/1000000</f>
        <v>0.83031395657240004</v>
      </c>
      <c r="H8" s="318">
        <f>C8*DATA!$D$5/1000000</f>
        <v>5.5160282334709398</v>
      </c>
      <c r="I8" s="318">
        <f>(C8*DATA!$D$5*DATA!$D$7)/1000000</f>
        <v>0.12411063525309614</v>
      </c>
      <c r="J8" s="316">
        <f t="shared" ref="J8:J32" ca="1" si="1">SUM(F8:I8)</f>
        <v>6.4704528252964364</v>
      </c>
      <c r="K8" s="321"/>
      <c r="L8" s="316">
        <f>((D8*DATA!$D$23)/1000000)+((E8*DATA!$D$24)/1000000)</f>
        <v>7.3506336000000001</v>
      </c>
      <c r="M8" s="316">
        <f t="shared" ref="M8:M32" si="2">K8+L8</f>
        <v>7.3506336000000001</v>
      </c>
      <c r="N8" s="316">
        <f ca="1">M8-J8</f>
        <v>0.88018077470356371</v>
      </c>
      <c r="O8" s="315">
        <f>1/(1+'[93]Asumsi I'!$C$3)^(KKF!A8)</f>
        <v>0.89285714285714279</v>
      </c>
      <c r="P8" s="316">
        <f ca="1">O8*N8</f>
        <v>0.78587569169961036</v>
      </c>
      <c r="Q8" s="316">
        <f ca="1">Q7+P8</f>
        <v>-30.148406272642141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5088</v>
      </c>
      <c r="D9" s="316">
        <f t="shared" ref="D9:D32" si="5">C9*4/24</f>
        <v>848</v>
      </c>
      <c r="E9" s="316">
        <f t="shared" si="0"/>
        <v>4240</v>
      </c>
      <c r="F9" s="314"/>
      <c r="G9" s="318">
        <f ca="1">DATA!$D$11/1000000</f>
        <v>0.83031395657240004</v>
      </c>
      <c r="H9" s="318">
        <f>C9*DATA!$D$5/1000000</f>
        <v>5.5160282334709398</v>
      </c>
      <c r="I9" s="318">
        <f>(C9*DATA!$D$5*DATA!$D$7)/1000000</f>
        <v>0.12411063525309614</v>
      </c>
      <c r="J9" s="316">
        <f t="shared" ca="1" si="1"/>
        <v>6.4704528252964364</v>
      </c>
      <c r="K9" s="316"/>
      <c r="L9" s="316">
        <f>((D9*DATA!$D$23)/1000000)+((E9*DATA!$D$24)/1000000)</f>
        <v>7.3506336000000001</v>
      </c>
      <c r="M9" s="316">
        <f t="shared" si="2"/>
        <v>7.3506336000000001</v>
      </c>
      <c r="N9" s="316">
        <f t="shared" ref="N9:N32" ca="1" si="6">M9-J9</f>
        <v>0.88018077470356371</v>
      </c>
      <c r="O9" s="322">
        <f>1/(1+'[93]Asumsi I'!$C$3)^(KKF!A9)</f>
        <v>0.79719387755102034</v>
      </c>
      <c r="P9" s="316">
        <f t="shared" ref="P9:P32" ca="1" si="7">O9*N9</f>
        <v>0.70167472473179493</v>
      </c>
      <c r="Q9" s="316">
        <f ca="1">Q8+P9</f>
        <v>-29.446731547910346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5088</v>
      </c>
      <c r="D10" s="316">
        <f t="shared" si="5"/>
        <v>848</v>
      </c>
      <c r="E10" s="316">
        <f t="shared" si="0"/>
        <v>4240</v>
      </c>
      <c r="F10" s="314"/>
      <c r="G10" s="318">
        <f ca="1">DATA!$D$11/1000000</f>
        <v>0.83031395657240004</v>
      </c>
      <c r="H10" s="318">
        <f>C10*DATA!$D$5/1000000</f>
        <v>5.5160282334709398</v>
      </c>
      <c r="I10" s="318">
        <f>(C10*DATA!$D$5*DATA!$D$7)/1000000</f>
        <v>0.12411063525309614</v>
      </c>
      <c r="J10" s="316">
        <f t="shared" ca="1" si="1"/>
        <v>6.4704528252964364</v>
      </c>
      <c r="K10" s="314"/>
      <c r="L10" s="316">
        <f>((D10*DATA!$D$23)/1000000)+((E10*DATA!$D$24)/1000000)</f>
        <v>7.3506336000000001</v>
      </c>
      <c r="M10" s="316">
        <f t="shared" si="2"/>
        <v>7.3506336000000001</v>
      </c>
      <c r="N10" s="316">
        <f t="shared" ca="1" si="6"/>
        <v>0.88018077470356371</v>
      </c>
      <c r="O10" s="315">
        <f>1/(1+'[93]Asumsi I'!$C$3)^(KKF!A10)</f>
        <v>0.71178024781341087</v>
      </c>
      <c r="P10" s="316">
        <f t="shared" ca="1" si="7"/>
        <v>0.62649528993910253</v>
      </c>
      <c r="Q10" s="316">
        <f t="shared" ref="Q10:Q30" ca="1" si="9">Q9+P10</f>
        <v>-28.820236257971242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5088</v>
      </c>
      <c r="D11" s="316">
        <f t="shared" si="5"/>
        <v>848</v>
      </c>
      <c r="E11" s="316">
        <f t="shared" si="0"/>
        <v>4240</v>
      </c>
      <c r="F11" s="314"/>
      <c r="G11" s="318">
        <f ca="1">DATA!$D$11/1000000</f>
        <v>0.83031395657240004</v>
      </c>
      <c r="H11" s="318">
        <f>C11*DATA!$D$5/1000000</f>
        <v>5.5160282334709398</v>
      </c>
      <c r="I11" s="318">
        <f>(C11*DATA!$D$5*DATA!$D$7)/1000000</f>
        <v>0.12411063525309614</v>
      </c>
      <c r="J11" s="316">
        <f t="shared" ca="1" si="1"/>
        <v>6.4704528252964364</v>
      </c>
      <c r="K11" s="314"/>
      <c r="L11" s="316">
        <f>((D11*DATA!$D$23)/1000000)+((E11*DATA!$D$24)/1000000)</f>
        <v>7.3506336000000001</v>
      </c>
      <c r="M11" s="316">
        <f t="shared" si="2"/>
        <v>7.3506336000000001</v>
      </c>
      <c r="N11" s="316">
        <f t="shared" ca="1" si="6"/>
        <v>0.88018077470356371</v>
      </c>
      <c r="O11" s="315">
        <f>1/(1+'[93]Asumsi I'!$C$3)^(KKF!A11)</f>
        <v>0.63551807840483121</v>
      </c>
      <c r="P11" s="316">
        <f t="shared" ca="1" si="7"/>
        <v>0.55937079458848449</v>
      </c>
      <c r="Q11" s="316">
        <f t="shared" ca="1" si="9"/>
        <v>-28.260865463382757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5088</v>
      </c>
      <c r="D12" s="316">
        <f t="shared" si="5"/>
        <v>848</v>
      </c>
      <c r="E12" s="316">
        <f t="shared" si="0"/>
        <v>4240</v>
      </c>
      <c r="F12" s="314"/>
      <c r="G12" s="318">
        <f ca="1">DATA!$D$11/1000000</f>
        <v>0.83031395657240004</v>
      </c>
      <c r="H12" s="318">
        <f>C12*DATA!$D$5/1000000</f>
        <v>5.5160282334709398</v>
      </c>
      <c r="I12" s="318">
        <f>(C12*DATA!$D$5*DATA!$D$7)/1000000</f>
        <v>0.12411063525309614</v>
      </c>
      <c r="J12" s="316">
        <f t="shared" ca="1" si="1"/>
        <v>6.4704528252964364</v>
      </c>
      <c r="K12" s="314"/>
      <c r="L12" s="316">
        <f>((D12*DATA!$D$23)/1000000)+((E12*DATA!$D$24)/1000000)</f>
        <v>7.3506336000000001</v>
      </c>
      <c r="M12" s="316">
        <f t="shared" si="2"/>
        <v>7.3506336000000001</v>
      </c>
      <c r="N12" s="316">
        <f t="shared" ca="1" si="6"/>
        <v>0.88018077470356371</v>
      </c>
      <c r="O12" s="315">
        <f>1/(1+'[93]Asumsi I'!$C$3)^(KKF!A12)</f>
        <v>0.56742685571859919</v>
      </c>
      <c r="P12" s="316">
        <f t="shared" ca="1" si="7"/>
        <v>0.49943820945400391</v>
      </c>
      <c r="Q12" s="316">
        <f t="shared" ca="1" si="9"/>
        <v>-27.761427253928755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5088</v>
      </c>
      <c r="D13" s="316">
        <f t="shared" si="5"/>
        <v>848</v>
      </c>
      <c r="E13" s="316">
        <f t="shared" si="0"/>
        <v>4240</v>
      </c>
      <c r="F13" s="314"/>
      <c r="G13" s="318">
        <f ca="1">DATA!$D$11/1000000</f>
        <v>0.83031395657240004</v>
      </c>
      <c r="H13" s="318">
        <f>C13*DATA!$D$5/1000000</f>
        <v>5.5160282334709398</v>
      </c>
      <c r="I13" s="318">
        <f>(C13*DATA!$D$5*DATA!$D$7)/1000000</f>
        <v>0.12411063525309614</v>
      </c>
      <c r="J13" s="316">
        <f t="shared" ca="1" si="1"/>
        <v>6.4704528252964364</v>
      </c>
      <c r="K13" s="314"/>
      <c r="L13" s="316">
        <f>((D13*DATA!$D$23)/1000000)+((E13*DATA!$D$24)/1000000)</f>
        <v>7.3506336000000001</v>
      </c>
      <c r="M13" s="316">
        <f t="shared" si="2"/>
        <v>7.3506336000000001</v>
      </c>
      <c r="N13" s="316">
        <f t="shared" ca="1" si="6"/>
        <v>0.88018077470356371</v>
      </c>
      <c r="O13" s="315">
        <f>1/(1+'[93]Asumsi I'!$C$3)^(KKF!A13)</f>
        <v>0.50663112117732068</v>
      </c>
      <c r="P13" s="316">
        <f t="shared" ca="1" si="7"/>
        <v>0.44592697272678916</v>
      </c>
      <c r="Q13" s="316">
        <f t="shared" ca="1" si="9"/>
        <v>-27.315500281201967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5088</v>
      </c>
      <c r="D14" s="316">
        <f t="shared" si="5"/>
        <v>848</v>
      </c>
      <c r="E14" s="316">
        <f t="shared" si="0"/>
        <v>4240</v>
      </c>
      <c r="F14" s="314"/>
      <c r="G14" s="318">
        <f ca="1">DATA!$D$11/1000000</f>
        <v>0.83031395657240004</v>
      </c>
      <c r="H14" s="318">
        <f>C14*DATA!$D$5/1000000</f>
        <v>5.5160282334709398</v>
      </c>
      <c r="I14" s="318">
        <f>(C14*DATA!$D$5*DATA!$D$7)/1000000</f>
        <v>0.12411063525309614</v>
      </c>
      <c r="J14" s="316">
        <f t="shared" ca="1" si="1"/>
        <v>6.4704528252964364</v>
      </c>
      <c r="K14" s="314"/>
      <c r="L14" s="316">
        <f>((D14*DATA!$D$23)/1000000)+((E14*DATA!$D$24)/1000000)</f>
        <v>7.3506336000000001</v>
      </c>
      <c r="M14" s="316">
        <f t="shared" si="2"/>
        <v>7.3506336000000001</v>
      </c>
      <c r="N14" s="316">
        <f t="shared" ca="1" si="6"/>
        <v>0.88018077470356371</v>
      </c>
      <c r="O14" s="315">
        <f>1/(1+'[93]Asumsi I'!$C$3)^(KKF!A14)</f>
        <v>0.45234921533689343</v>
      </c>
      <c r="P14" s="316">
        <f t="shared" ca="1" si="7"/>
        <v>0.39814908279177602</v>
      </c>
      <c r="Q14" s="316">
        <f t="shared" ca="1" si="9"/>
        <v>-26.917351198410191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5088</v>
      </c>
      <c r="D15" s="316">
        <f t="shared" si="5"/>
        <v>848</v>
      </c>
      <c r="E15" s="316">
        <f t="shared" si="0"/>
        <v>4240</v>
      </c>
      <c r="F15" s="314"/>
      <c r="G15" s="318">
        <f ca="1">DATA!$D$11/1000000</f>
        <v>0.83031395657240004</v>
      </c>
      <c r="H15" s="318">
        <f>C15*DATA!$D$5/1000000</f>
        <v>5.5160282334709398</v>
      </c>
      <c r="I15" s="318">
        <f>(C15*DATA!$D$5*DATA!$D$7)/1000000</f>
        <v>0.12411063525309614</v>
      </c>
      <c r="J15" s="316">
        <f t="shared" ca="1" si="1"/>
        <v>6.4704528252964364</v>
      </c>
      <c r="K15" s="314"/>
      <c r="L15" s="316">
        <f>((D15*DATA!$D$23)/1000000)+((E15*DATA!$D$24)/1000000)</f>
        <v>7.3506336000000001</v>
      </c>
      <c r="M15" s="316">
        <f t="shared" si="2"/>
        <v>7.3506336000000001</v>
      </c>
      <c r="N15" s="316">
        <f t="shared" ca="1" si="6"/>
        <v>0.88018077470356371</v>
      </c>
      <c r="O15" s="315">
        <f>1/(1+'[93]Asumsi I'!$C$3)^(KKF!A15)</f>
        <v>0.4038832279793691</v>
      </c>
      <c r="P15" s="316">
        <f t="shared" ca="1" si="7"/>
        <v>0.35549025249265714</v>
      </c>
      <c r="Q15" s="316">
        <f t="shared" ca="1" si="9"/>
        <v>-26.561860945917534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5088</v>
      </c>
      <c r="D16" s="316">
        <f t="shared" si="5"/>
        <v>848</v>
      </c>
      <c r="E16" s="316">
        <f t="shared" si="0"/>
        <v>4240</v>
      </c>
      <c r="F16" s="314"/>
      <c r="G16" s="318">
        <f ca="1">DATA!$D$11/1000000</f>
        <v>0.83031395657240004</v>
      </c>
      <c r="H16" s="318">
        <f>C16*DATA!$D$5/1000000</f>
        <v>5.5160282334709398</v>
      </c>
      <c r="I16" s="318">
        <f>(C16*DATA!$D$5*DATA!$D$7)/1000000</f>
        <v>0.12411063525309614</v>
      </c>
      <c r="J16" s="316">
        <f t="shared" ca="1" si="1"/>
        <v>6.4704528252964364</v>
      </c>
      <c r="K16" s="314"/>
      <c r="L16" s="316">
        <f>((D16*DATA!$D$23)/1000000)+((E16*DATA!$D$24)/1000000)</f>
        <v>7.3506336000000001</v>
      </c>
      <c r="M16" s="316">
        <f t="shared" si="2"/>
        <v>7.3506336000000001</v>
      </c>
      <c r="N16" s="316">
        <f t="shared" ca="1" si="6"/>
        <v>0.88018077470356371</v>
      </c>
      <c r="O16" s="315">
        <f>1/(1+'[93]Asumsi I'!$C$3)^(KKF!A16)</f>
        <v>0.36061002498157957</v>
      </c>
      <c r="P16" s="316">
        <f t="shared" ca="1" si="7"/>
        <v>0.31740201115415817</v>
      </c>
      <c r="Q16" s="316">
        <f t="shared" ca="1" si="9"/>
        <v>-26.244458934763376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5088</v>
      </c>
      <c r="D17" s="316">
        <f t="shared" si="5"/>
        <v>848</v>
      </c>
      <c r="E17" s="316">
        <f t="shared" si="0"/>
        <v>4240</v>
      </c>
      <c r="F17" s="314"/>
      <c r="G17" s="318">
        <f ca="1">DATA!$D$11/1000000</f>
        <v>0.83031395657240004</v>
      </c>
      <c r="H17" s="318">
        <f>C17*DATA!$D$5/1000000</f>
        <v>5.5160282334709398</v>
      </c>
      <c r="I17" s="318">
        <f>(C17*DATA!$D$5*DATA!$D$7)/1000000</f>
        <v>0.12411063525309614</v>
      </c>
      <c r="J17" s="316">
        <f t="shared" ca="1" si="1"/>
        <v>6.4704528252964364</v>
      </c>
      <c r="K17" s="314"/>
      <c r="L17" s="316">
        <f>((D17*DATA!$D$23)/1000000)+((E17*DATA!$D$24)/1000000)</f>
        <v>7.3506336000000001</v>
      </c>
      <c r="M17" s="316">
        <f t="shared" si="2"/>
        <v>7.3506336000000001</v>
      </c>
      <c r="N17" s="316">
        <f t="shared" ca="1" si="6"/>
        <v>0.88018077470356371</v>
      </c>
      <c r="O17" s="315">
        <f>1/(1+'[93]Asumsi I'!$C$3)^(KKF!A17)</f>
        <v>0.32197323659069599</v>
      </c>
      <c r="P17" s="316">
        <f t="shared" ca="1" si="7"/>
        <v>0.28339465281621262</v>
      </c>
      <c r="Q17" s="316">
        <f t="shared" ca="1" si="9"/>
        <v>-25.961064281947163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5088</v>
      </c>
      <c r="D18" s="316">
        <f t="shared" si="5"/>
        <v>848</v>
      </c>
      <c r="E18" s="316">
        <f t="shared" si="0"/>
        <v>4240</v>
      </c>
      <c r="F18" s="314"/>
      <c r="G18" s="318">
        <f ca="1">DATA!$D$11/1000000</f>
        <v>0.83031395657240004</v>
      </c>
      <c r="H18" s="318">
        <f>C18*DATA!$D$5/1000000</f>
        <v>5.5160282334709398</v>
      </c>
      <c r="I18" s="318">
        <f>(C18*DATA!$D$5*DATA!$D$7)/1000000</f>
        <v>0.12411063525309614</v>
      </c>
      <c r="J18" s="316">
        <f t="shared" ca="1" si="1"/>
        <v>6.4704528252964364</v>
      </c>
      <c r="K18" s="314"/>
      <c r="L18" s="316">
        <f>((D18*DATA!$D$23)/1000000)+((E18*DATA!$D$24)/1000000)</f>
        <v>7.3506336000000001</v>
      </c>
      <c r="M18" s="316">
        <f t="shared" si="2"/>
        <v>7.3506336000000001</v>
      </c>
      <c r="N18" s="316">
        <f t="shared" ca="1" si="6"/>
        <v>0.88018077470356371</v>
      </c>
      <c r="O18" s="315">
        <f>1/(1+'[93]Asumsi I'!$C$3)^(KKF!A18)</f>
        <v>0.28747610409883567</v>
      </c>
      <c r="P18" s="316">
        <f t="shared" ca="1" si="7"/>
        <v>0.25303094001447551</v>
      </c>
      <c r="Q18" s="316">
        <f t="shared" ca="1" si="9"/>
        <v>-25.708033341932687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5088</v>
      </c>
      <c r="D19" s="316">
        <f t="shared" si="5"/>
        <v>848</v>
      </c>
      <c r="E19" s="316">
        <f t="shared" si="0"/>
        <v>4240</v>
      </c>
      <c r="F19" s="314"/>
      <c r="G19" s="318">
        <f ca="1">DATA!$D$11/1000000</f>
        <v>0.83031395657240004</v>
      </c>
      <c r="H19" s="318">
        <f>C19*DATA!$D$5/1000000</f>
        <v>5.5160282334709398</v>
      </c>
      <c r="I19" s="318">
        <f>(C19*DATA!$D$5*DATA!$D$7)/1000000</f>
        <v>0.12411063525309614</v>
      </c>
      <c r="J19" s="316">
        <f t="shared" ca="1" si="1"/>
        <v>6.4704528252964364</v>
      </c>
      <c r="K19" s="314"/>
      <c r="L19" s="316">
        <f>((D19*DATA!$D$23)/1000000)+((E19*DATA!$D$24)/1000000)</f>
        <v>7.3506336000000001</v>
      </c>
      <c r="M19" s="316">
        <f t="shared" si="2"/>
        <v>7.3506336000000001</v>
      </c>
      <c r="N19" s="316">
        <f t="shared" ca="1" si="6"/>
        <v>0.88018077470356371</v>
      </c>
      <c r="O19" s="315">
        <f>1/(1+'[93]Asumsi I'!$C$3)^(KKF!A19)</f>
        <v>0.25667509294538904</v>
      </c>
      <c r="P19" s="316">
        <f t="shared" ca="1" si="7"/>
        <v>0.22592048215578175</v>
      </c>
      <c r="Q19" s="316">
        <f t="shared" ca="1" si="9"/>
        <v>-25.482112859776905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5088</v>
      </c>
      <c r="D20" s="316">
        <f t="shared" si="5"/>
        <v>848</v>
      </c>
      <c r="E20" s="316">
        <f t="shared" si="0"/>
        <v>4240</v>
      </c>
      <c r="F20" s="314"/>
      <c r="G20" s="318">
        <f ca="1">DATA!$D$11/1000000</f>
        <v>0.83031395657240004</v>
      </c>
      <c r="H20" s="318">
        <f>C20*DATA!$D$5/1000000</f>
        <v>5.5160282334709398</v>
      </c>
      <c r="I20" s="318">
        <f>(C20*DATA!$D$5*DATA!$D$7)/1000000</f>
        <v>0.12411063525309614</v>
      </c>
      <c r="J20" s="316">
        <f t="shared" ca="1" si="1"/>
        <v>6.4704528252964364</v>
      </c>
      <c r="K20" s="314"/>
      <c r="L20" s="316">
        <f>((D20*DATA!$D$23)/1000000)+((E20*DATA!$D$24)/1000000)</f>
        <v>7.3506336000000001</v>
      </c>
      <c r="M20" s="316">
        <f t="shared" si="2"/>
        <v>7.3506336000000001</v>
      </c>
      <c r="N20" s="316">
        <f t="shared" ca="1" si="6"/>
        <v>0.88018077470356371</v>
      </c>
      <c r="O20" s="315">
        <f>1/(1+'[93]Asumsi I'!$C$3)^(KKF!A20)</f>
        <v>0.22917419012981158</v>
      </c>
      <c r="P20" s="316">
        <f t="shared" ca="1" si="7"/>
        <v>0.20171471621051937</v>
      </c>
      <c r="Q20" s="316">
        <f t="shared" ca="1" si="9"/>
        <v>-25.280398143566384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5088</v>
      </c>
      <c r="D21" s="316">
        <f t="shared" si="5"/>
        <v>848</v>
      </c>
      <c r="E21" s="316">
        <f t="shared" si="0"/>
        <v>4240</v>
      </c>
      <c r="F21" s="314"/>
      <c r="G21" s="318">
        <f ca="1">DATA!$D$11/1000000</f>
        <v>0.83031395657240004</v>
      </c>
      <c r="H21" s="318">
        <f>C21*DATA!$D$5/1000000</f>
        <v>5.5160282334709398</v>
      </c>
      <c r="I21" s="318">
        <f>(C21*DATA!$D$5*DATA!$D$7)/1000000</f>
        <v>0.12411063525309614</v>
      </c>
      <c r="J21" s="316">
        <f t="shared" ca="1" si="1"/>
        <v>6.4704528252964364</v>
      </c>
      <c r="K21" s="314"/>
      <c r="L21" s="316">
        <f>((D21*DATA!$D$23)/1000000)+((E21*DATA!$D$24)/1000000)</f>
        <v>7.3506336000000001</v>
      </c>
      <c r="M21" s="316">
        <f t="shared" si="2"/>
        <v>7.3506336000000001</v>
      </c>
      <c r="N21" s="316">
        <f t="shared" ca="1" si="6"/>
        <v>0.88018077470356371</v>
      </c>
      <c r="O21" s="315">
        <f>1/(1+'[93]Asumsi I'!$C$3)^(KKF!A21)</f>
        <v>0.20461981261590317</v>
      </c>
      <c r="P21" s="316">
        <f t="shared" ca="1" si="7"/>
        <v>0.18010242518796368</v>
      </c>
      <c r="Q21" s="316">
        <f t="shared" ca="1" si="9"/>
        <v>-25.100295718378419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5088</v>
      </c>
      <c r="D22" s="316">
        <f t="shared" si="5"/>
        <v>848</v>
      </c>
      <c r="E22" s="316">
        <f t="shared" si="0"/>
        <v>4240</v>
      </c>
      <c r="F22" s="314"/>
      <c r="G22" s="318">
        <f ca="1">DATA!$D$11/1000000</f>
        <v>0.83031395657240004</v>
      </c>
      <c r="H22" s="318">
        <f>C22*DATA!$D$5/1000000</f>
        <v>5.5160282334709398</v>
      </c>
      <c r="I22" s="318">
        <f>(C22*DATA!$D$5*DATA!$D$7)/1000000</f>
        <v>0.12411063525309614</v>
      </c>
      <c r="J22" s="316">
        <f t="shared" ca="1" si="1"/>
        <v>6.4704528252964364</v>
      </c>
      <c r="K22" s="314"/>
      <c r="L22" s="316">
        <f>((D22*DATA!$D$23)/1000000)+((E22*DATA!$D$24)/1000000)</f>
        <v>7.3506336000000001</v>
      </c>
      <c r="M22" s="316">
        <f t="shared" si="2"/>
        <v>7.3506336000000001</v>
      </c>
      <c r="N22" s="316">
        <f t="shared" ca="1" si="6"/>
        <v>0.88018077470356371</v>
      </c>
      <c r="O22" s="315">
        <f>1/(1+'[93]Asumsi I'!$C$3)^(KKF!A22)</f>
        <v>0.18269626126419927</v>
      </c>
      <c r="P22" s="316">
        <f t="shared" ca="1" si="7"/>
        <v>0.16080573677496759</v>
      </c>
      <c r="Q22" s="316">
        <f t="shared" ca="1" si="9"/>
        <v>-24.939489981603451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5088</v>
      </c>
      <c r="D23" s="316">
        <f t="shared" si="5"/>
        <v>848</v>
      </c>
      <c r="E23" s="316">
        <f t="shared" si="0"/>
        <v>4240</v>
      </c>
      <c r="F23" s="314"/>
      <c r="G23" s="318">
        <f ca="1">DATA!$D$11/1000000</f>
        <v>0.83031395657240004</v>
      </c>
      <c r="H23" s="318">
        <f>C23*DATA!$D$5/1000000</f>
        <v>5.5160282334709398</v>
      </c>
      <c r="I23" s="318">
        <f>(C23*DATA!$D$5*DATA!$D$7)/1000000</f>
        <v>0.12411063525309614</v>
      </c>
      <c r="J23" s="316">
        <f t="shared" ca="1" si="1"/>
        <v>6.4704528252964364</v>
      </c>
      <c r="K23" s="314"/>
      <c r="L23" s="316">
        <f>((D23*DATA!$D$23)/1000000)+((E23*DATA!$D$24)/1000000)</f>
        <v>7.3506336000000001</v>
      </c>
      <c r="M23" s="316">
        <f t="shared" si="2"/>
        <v>7.3506336000000001</v>
      </c>
      <c r="N23" s="316">
        <f t="shared" ca="1" si="6"/>
        <v>0.88018077470356371</v>
      </c>
      <c r="O23" s="315">
        <f>1/(1+'[93]Asumsi I'!$C$3)^(KKF!A23)</f>
        <v>0.16312166184303503</v>
      </c>
      <c r="P23" s="316">
        <f t="shared" ca="1" si="7"/>
        <v>0.14357655069193531</v>
      </c>
      <c r="Q23" s="316">
        <f t="shared" ca="1" si="9"/>
        <v>-24.795913430911515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5088</v>
      </c>
      <c r="D24" s="316">
        <f t="shared" si="5"/>
        <v>848</v>
      </c>
      <c r="E24" s="316">
        <f t="shared" si="0"/>
        <v>4240</v>
      </c>
      <c r="F24" s="314"/>
      <c r="G24" s="318">
        <f ca="1">DATA!$D$11/1000000</f>
        <v>0.83031395657240004</v>
      </c>
      <c r="H24" s="318">
        <f>C24*DATA!$D$5/1000000</f>
        <v>5.5160282334709398</v>
      </c>
      <c r="I24" s="318">
        <f>(C24*DATA!$D$5*DATA!$D$7)/1000000</f>
        <v>0.12411063525309614</v>
      </c>
      <c r="J24" s="316">
        <f t="shared" ca="1" si="1"/>
        <v>6.4704528252964364</v>
      </c>
      <c r="K24" s="314"/>
      <c r="L24" s="316">
        <f>((D24*DATA!$D$23)/1000000)+((E24*DATA!$D$24)/1000000)</f>
        <v>7.3506336000000001</v>
      </c>
      <c r="M24" s="316">
        <f t="shared" si="2"/>
        <v>7.3506336000000001</v>
      </c>
      <c r="N24" s="316">
        <f t="shared" ca="1" si="6"/>
        <v>0.88018077470356371</v>
      </c>
      <c r="O24" s="315">
        <f>1/(1+'[93]Asumsi I'!$C$3)^(KKF!A24)</f>
        <v>0.14564434093128129</v>
      </c>
      <c r="P24" s="316">
        <f t="shared" ca="1" si="7"/>
        <v>0.12819334883208511</v>
      </c>
      <c r="Q24" s="316">
        <f t="shared" ca="1" si="9"/>
        <v>-24.66772008207943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5088</v>
      </c>
      <c r="D25" s="316">
        <f t="shared" si="5"/>
        <v>848</v>
      </c>
      <c r="E25" s="316">
        <f t="shared" si="0"/>
        <v>4240</v>
      </c>
      <c r="F25" s="314"/>
      <c r="G25" s="318">
        <f ca="1">DATA!$D$11/1000000</f>
        <v>0.83031395657240004</v>
      </c>
      <c r="H25" s="318">
        <f>C25*DATA!$D$5/1000000</f>
        <v>5.5160282334709398</v>
      </c>
      <c r="I25" s="318">
        <f>(C25*DATA!$D$5*DATA!$D$7)/1000000</f>
        <v>0.12411063525309614</v>
      </c>
      <c r="J25" s="316">
        <f t="shared" ca="1" si="1"/>
        <v>6.4704528252964364</v>
      </c>
      <c r="K25" s="314"/>
      <c r="L25" s="316">
        <f>((D25*DATA!$D$23)/1000000)+((E25*DATA!$D$24)/1000000)</f>
        <v>7.3506336000000001</v>
      </c>
      <c r="M25" s="316">
        <f t="shared" si="2"/>
        <v>7.3506336000000001</v>
      </c>
      <c r="N25" s="316">
        <f t="shared" ca="1" si="6"/>
        <v>0.88018077470356371</v>
      </c>
      <c r="O25" s="315">
        <f>1/(1+'[93]Asumsi I'!$C$3)^(KKF!A25)</f>
        <v>0.13003959011721541</v>
      </c>
      <c r="P25" s="316">
        <f t="shared" ca="1" si="7"/>
        <v>0.11445834717150455</v>
      </c>
      <c r="Q25" s="316">
        <f t="shared" ca="1" si="9"/>
        <v>-24.553261734907927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5088</v>
      </c>
      <c r="D26" s="316">
        <f t="shared" si="5"/>
        <v>848</v>
      </c>
      <c r="E26" s="316">
        <f t="shared" si="0"/>
        <v>4240</v>
      </c>
      <c r="F26" s="314"/>
      <c r="G26" s="318">
        <f ca="1">DATA!$D$11/1000000</f>
        <v>0.83031395657240004</v>
      </c>
      <c r="H26" s="318">
        <f>C26*DATA!$D$5/1000000</f>
        <v>5.5160282334709398</v>
      </c>
      <c r="I26" s="318">
        <f>(C26*DATA!$D$5*DATA!$D$7)/1000000</f>
        <v>0.12411063525309614</v>
      </c>
      <c r="J26" s="316">
        <f t="shared" ca="1" si="1"/>
        <v>6.4704528252964364</v>
      </c>
      <c r="K26" s="314"/>
      <c r="L26" s="316">
        <f>((D26*DATA!$D$23)/1000000)+((E26*DATA!$D$24)/1000000)</f>
        <v>7.3506336000000001</v>
      </c>
      <c r="M26" s="316">
        <f t="shared" si="2"/>
        <v>7.3506336000000001</v>
      </c>
      <c r="N26" s="316">
        <f t="shared" ca="1" si="6"/>
        <v>0.88018077470356371</v>
      </c>
      <c r="O26" s="315">
        <f>1/(1+'[93]Asumsi I'!$C$3)^(KKF!A26)</f>
        <v>0.1161067768903709</v>
      </c>
      <c r="P26" s="316">
        <f t="shared" ca="1" si="7"/>
        <v>0.10219495283170048</v>
      </c>
      <c r="Q26" s="316">
        <f t="shared" ca="1" si="9"/>
        <v>-24.451066782076229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5088</v>
      </c>
      <c r="D27" s="316">
        <f t="shared" si="5"/>
        <v>848</v>
      </c>
      <c r="E27" s="316">
        <f t="shared" si="0"/>
        <v>4240</v>
      </c>
      <c r="F27" s="314"/>
      <c r="G27" s="318">
        <f ca="1">DATA!$D$11/1000000</f>
        <v>0.83031395657240004</v>
      </c>
      <c r="H27" s="318">
        <f>C27*DATA!$D$5/1000000</f>
        <v>5.5160282334709398</v>
      </c>
      <c r="I27" s="318">
        <f>(C27*DATA!$D$5*DATA!$D$7)/1000000</f>
        <v>0.12411063525309614</v>
      </c>
      <c r="J27" s="316">
        <f t="shared" ca="1" si="1"/>
        <v>6.4704528252964364</v>
      </c>
      <c r="K27" s="314"/>
      <c r="L27" s="316">
        <f>((D27*DATA!$D$23)/1000000)+((E27*DATA!$D$24)/1000000)</f>
        <v>7.3506336000000001</v>
      </c>
      <c r="M27" s="316">
        <f t="shared" si="2"/>
        <v>7.3506336000000001</v>
      </c>
      <c r="N27" s="316">
        <f t="shared" ca="1" si="6"/>
        <v>0.88018077470356371</v>
      </c>
      <c r="O27" s="315">
        <f>1/(1+'[93]Asumsi I'!$C$3)^(KKF!A27)</f>
        <v>0.1036667650806883</v>
      </c>
      <c r="P27" s="316">
        <f t="shared" ca="1" si="7"/>
        <v>9.1245493599732566E-2</v>
      </c>
      <c r="Q27" s="316">
        <f t="shared" ca="1" si="9"/>
        <v>-24.359821288476496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5088</v>
      </c>
      <c r="D28" s="316">
        <f t="shared" si="5"/>
        <v>848</v>
      </c>
      <c r="E28" s="316">
        <f t="shared" si="0"/>
        <v>4240</v>
      </c>
      <c r="F28" s="314"/>
      <c r="G28" s="318">
        <f ca="1">DATA!$D$11/1000000</f>
        <v>0.83031395657240004</v>
      </c>
      <c r="H28" s="318">
        <f>C28*DATA!$D$5/1000000</f>
        <v>5.5160282334709398</v>
      </c>
      <c r="I28" s="318">
        <f>(C28*DATA!$D$5*DATA!$D$7)/1000000</f>
        <v>0.12411063525309614</v>
      </c>
      <c r="J28" s="316">
        <f t="shared" ca="1" si="1"/>
        <v>6.4704528252964364</v>
      </c>
      <c r="K28" s="314"/>
      <c r="L28" s="316">
        <f>((D28*DATA!$D$23)/1000000)+((E28*DATA!$D$24)/1000000)</f>
        <v>7.3506336000000001</v>
      </c>
      <c r="M28" s="316">
        <f t="shared" si="2"/>
        <v>7.3506336000000001</v>
      </c>
      <c r="N28" s="316">
        <f t="shared" ca="1" si="6"/>
        <v>0.88018077470356371</v>
      </c>
      <c r="O28" s="315">
        <f>1/(1+'[93]Asumsi I'!$C$3)^(KKF!A28)</f>
        <v>9.2559611679185971E-2</v>
      </c>
      <c r="P28" s="316">
        <f t="shared" ca="1" si="7"/>
        <v>8.146919071404693E-2</v>
      </c>
      <c r="Q28" s="316">
        <f t="shared" ca="1" si="9"/>
        <v>-24.278352097762451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5088</v>
      </c>
      <c r="D29" s="316">
        <f t="shared" si="5"/>
        <v>848</v>
      </c>
      <c r="E29" s="316">
        <f t="shared" si="0"/>
        <v>4240</v>
      </c>
      <c r="F29" s="314"/>
      <c r="G29" s="318">
        <f ca="1">DATA!$D$11/1000000</f>
        <v>0.83031395657240004</v>
      </c>
      <c r="H29" s="318">
        <f>C29*DATA!$D$5/1000000</f>
        <v>5.5160282334709398</v>
      </c>
      <c r="I29" s="318">
        <f>(C29*DATA!$D$5*DATA!$D$7)/1000000</f>
        <v>0.12411063525309614</v>
      </c>
      <c r="J29" s="316">
        <f t="shared" ca="1" si="1"/>
        <v>6.4704528252964364</v>
      </c>
      <c r="K29" s="314"/>
      <c r="L29" s="316">
        <f>((D29*DATA!$D$23)/1000000)+((E29*DATA!$D$24)/1000000)</f>
        <v>7.3506336000000001</v>
      </c>
      <c r="M29" s="316">
        <f t="shared" si="2"/>
        <v>7.3506336000000001</v>
      </c>
      <c r="N29" s="316">
        <f t="shared" ca="1" si="6"/>
        <v>0.88018077470356371</v>
      </c>
      <c r="O29" s="315">
        <f>1/(1+'[93]Asumsi I'!$C$3)^(KKF!A29)</f>
        <v>8.2642510427844609E-2</v>
      </c>
      <c r="P29" s="316">
        <f t="shared" ca="1" si="7"/>
        <v>7.2740348851827605E-2</v>
      </c>
      <c r="Q29" s="316">
        <f t="shared" ca="1" si="9"/>
        <v>-24.205611748910624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5088</v>
      </c>
      <c r="D30" s="316">
        <f t="shared" si="5"/>
        <v>848</v>
      </c>
      <c r="E30" s="316">
        <f t="shared" si="0"/>
        <v>4240</v>
      </c>
      <c r="F30" s="314"/>
      <c r="G30" s="318">
        <f ca="1">DATA!$D$11/1000000</f>
        <v>0.83031395657240004</v>
      </c>
      <c r="H30" s="318">
        <f>C30*DATA!$D$5/1000000</f>
        <v>5.5160282334709398</v>
      </c>
      <c r="I30" s="318">
        <f>(C30*DATA!$D$5*DATA!$D$7)/1000000</f>
        <v>0.12411063525309614</v>
      </c>
      <c r="J30" s="316">
        <f t="shared" ca="1" si="1"/>
        <v>6.4704528252964364</v>
      </c>
      <c r="K30" s="314"/>
      <c r="L30" s="316">
        <f>((D30*DATA!$D$23)/1000000)+((E30*DATA!$D$24)/1000000)</f>
        <v>7.3506336000000001</v>
      </c>
      <c r="M30" s="316">
        <f t="shared" si="2"/>
        <v>7.3506336000000001</v>
      </c>
      <c r="N30" s="316">
        <f t="shared" ca="1" si="6"/>
        <v>0.88018077470356371</v>
      </c>
      <c r="O30" s="315">
        <f>1/(1+'[93]Asumsi I'!$C$3)^(KKF!A30)</f>
        <v>7.3787955739146982E-2</v>
      </c>
      <c r="P30" s="316">
        <f t="shared" ca="1" si="7"/>
        <v>6.4946740046274654E-2</v>
      </c>
      <c r="Q30" s="316">
        <f t="shared" ca="1" si="9"/>
        <v>-24.14066500886435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5088</v>
      </c>
      <c r="D31" s="316">
        <f t="shared" si="5"/>
        <v>848</v>
      </c>
      <c r="E31" s="316">
        <f t="shared" si="0"/>
        <v>4240</v>
      </c>
      <c r="F31" s="314"/>
      <c r="G31" s="318">
        <f ca="1">DATA!$D$11/1000000</f>
        <v>0.83031395657240004</v>
      </c>
      <c r="H31" s="318">
        <f>C31*DATA!$D$5/1000000</f>
        <v>5.5160282334709398</v>
      </c>
      <c r="I31" s="318">
        <f>(C31*DATA!$D$5*DATA!$D$7)/1000000</f>
        <v>0.12411063525309614</v>
      </c>
      <c r="J31" s="316">
        <f t="shared" ca="1" si="1"/>
        <v>6.4704528252964364</v>
      </c>
      <c r="K31" s="314"/>
      <c r="L31" s="316">
        <f>((D31*DATA!$D$23)/1000000)+((E31*DATA!$D$24)/1000000)</f>
        <v>7.3506336000000001</v>
      </c>
      <c r="M31" s="316">
        <f t="shared" si="2"/>
        <v>7.3506336000000001</v>
      </c>
      <c r="N31" s="316">
        <f t="shared" ca="1" si="6"/>
        <v>0.88018077470356371</v>
      </c>
      <c r="O31" s="315">
        <f>1/(1+'[93]Asumsi I'!$C$3)^(KKF!A31)</f>
        <v>6.5882103338524081E-2</v>
      </c>
      <c r="P31" s="316">
        <f t="shared" ca="1" si="7"/>
        <v>5.7988160755602369E-2</v>
      </c>
      <c r="Q31" s="316">
        <f ca="1">Q30+P31</f>
        <v>-24.082676848108747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5088</v>
      </c>
      <c r="D32" s="316">
        <f t="shared" si="5"/>
        <v>848</v>
      </c>
      <c r="E32" s="316">
        <f t="shared" si="0"/>
        <v>4240</v>
      </c>
      <c r="F32" s="314"/>
      <c r="G32" s="318">
        <f ca="1">DATA!$D$11/1000000</f>
        <v>0.83031395657240004</v>
      </c>
      <c r="H32" s="318">
        <f>C32*DATA!$D$5/1000000</f>
        <v>5.5160282334709398</v>
      </c>
      <c r="I32" s="318">
        <f>(C32*DATA!$D$5*DATA!$D$7)/1000000</f>
        <v>0.12411063525309614</v>
      </c>
      <c r="J32" s="316">
        <f t="shared" ca="1" si="1"/>
        <v>6.4704528252964364</v>
      </c>
      <c r="K32" s="314"/>
      <c r="L32" s="316">
        <f>((D32*DATA!$D$23)/1000000)+((E32*DATA!$D$24)/1000000)</f>
        <v>7.3506336000000001</v>
      </c>
      <c r="M32" s="316">
        <f t="shared" si="2"/>
        <v>7.3506336000000001</v>
      </c>
      <c r="N32" s="316">
        <f t="shared" ca="1" si="6"/>
        <v>0.88018077470356371</v>
      </c>
      <c r="O32" s="315">
        <f>1/(1+'[93]Asumsi I'!$C$3)^(KKF!A32)</f>
        <v>5.8823306552253637E-2</v>
      </c>
      <c r="P32" s="316">
        <f t="shared" ca="1" si="7"/>
        <v>5.1775143531787825E-2</v>
      </c>
      <c r="Q32" s="316">
        <f ca="1">Q31+P32</f>
        <v>-24.030901704576959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207.86742499675262</v>
      </c>
      <c r="K33" s="613" t="s">
        <v>1375</v>
      </c>
      <c r="L33" s="613"/>
      <c r="M33" s="325">
        <f>SUM(M7:M32)</f>
        <v>198.93766240000005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52.382539688929057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0.9570410678975213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-21.456162236229428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-2.4650490415397242E-2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7" priority="1" stopIfTrue="1" operator="greaterThanOrEqual">
      <formula>$F$7</formula>
    </cfRule>
    <cfRule type="cellIs" dxfId="26" priority="2" stopIfTrue="1" operator="lessThan">
      <formula>$F$7</formula>
    </cfRule>
  </conditionalFormatting>
  <conditionalFormatting sqref="Q7:Q32">
    <cfRule type="cellIs" dxfId="25" priority="3" operator="lessThan">
      <formula>0</formula>
    </cfRule>
    <cfRule type="cellIs" dxfId="24" priority="4" operator="lessThan">
      <formula>0</formula>
    </cfRule>
    <cfRule type="cellIs" dxfId="23" priority="5" operator="lessThan">
      <formula>-6395.81</formula>
    </cfRule>
    <cfRule type="cellIs" dxfId="2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5"/>
  <sheetViews>
    <sheetView showGridLines="0" zoomScale="70" zoomScaleNormal="70" zoomScaleSheetLayoutView="70" workbookViewId="0">
      <pane ySplit="13" topLeftCell="A68" activePane="bottomLeft" state="frozen"/>
      <selection activeCell="H1093" sqref="H1093"/>
      <selection pane="bottomLeft" activeCell="H73" sqref="H7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6" t="s">
        <v>1036</v>
      </c>
      <c r="P3" s="636"/>
      <c r="Q3" s="346"/>
      <c r="T3" s="344"/>
      <c r="U3" s="345" t="s">
        <v>1041</v>
      </c>
      <c r="V3" s="344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TSEL MTEL SURODADI SAYUNG</v>
      </c>
      <c r="H6" s="620"/>
      <c r="I6" s="620"/>
      <c r="J6" s="620"/>
      <c r="K6" s="62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9" t="s">
        <v>0</v>
      </c>
      <c r="C11" s="641" t="s">
        <v>1</v>
      </c>
      <c r="D11" s="630" t="s">
        <v>42</v>
      </c>
      <c r="E11" s="630" t="s">
        <v>43</v>
      </c>
      <c r="F11" s="630" t="s">
        <v>2</v>
      </c>
      <c r="G11" s="644" t="s">
        <v>41</v>
      </c>
      <c r="H11" s="630" t="s">
        <v>3</v>
      </c>
      <c r="I11" s="630"/>
      <c r="J11" s="630"/>
      <c r="K11" s="63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0"/>
      <c r="C12" s="642"/>
      <c r="D12" s="634"/>
      <c r="E12" s="634"/>
      <c r="F12" s="634"/>
      <c r="G12" s="645"/>
      <c r="H12" s="632" t="s">
        <v>46</v>
      </c>
      <c r="I12" s="632" t="s">
        <v>5</v>
      </c>
      <c r="J12" s="634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3382600</v>
      </c>
      <c r="J17" s="361">
        <f t="shared" ref="J17" ca="1" si="10">IF(D17="JASA",G17*F17,0)</f>
        <v>0</v>
      </c>
      <c r="K17" s="362">
        <f t="shared" ref="K17" ca="1" si="11">SUM(H17:J17)</f>
        <v>3382600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10066.666666666668</v>
      </c>
      <c r="K18" s="362">
        <f t="shared" ref="K18" ca="1" si="15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200000</v>
      </c>
      <c r="J19" s="361">
        <f t="shared" ref="J19:J21" ca="1" si="18">IF(D19="JASA",G19*F19,0)</f>
        <v>0</v>
      </c>
      <c r="K19" s="362">
        <f t="shared" ref="K19:K21" ca="1" si="19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1622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20">IF(OR(D22="MDU",D22="MDU-KD"),(IF($O$3="RAB NON MDU","PLN KD",G22*F22)),0)</f>
        <v>0</v>
      </c>
      <c r="I22" s="361">
        <f t="shared" ref="I22:I28" ca="1" si="21">IF(D22="HDW",G22*F22,0)</f>
        <v>0</v>
      </c>
      <c r="J22" s="361">
        <f t="shared" ref="J22:J28" ca="1" si="22">IF(D22="JASA",G22*F22,0)</f>
        <v>0</v>
      </c>
      <c r="K22" s="362">
        <f t="shared" ref="K22:K28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5" t="s">
        <v>1035</v>
      </c>
      <c r="C23" s="516" t="s">
        <v>1623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6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5">
        <v>1</v>
      </c>
      <c r="C24" s="516" t="s">
        <v>595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6</v>
      </c>
      <c r="G24" s="360">
        <f ca="1">IF(ISERROR(OFFSET('HARGA SATUAN'!$I$6,MATCH(RAB!C24,'HARGA SATUAN'!$C$7:$C$1492,0),0)),0,OFFSET('HARGA SATUAN'!$I$6,MATCH(RAB!C24,'HARGA SATUAN'!$C$7:$C$1492,0),0))</f>
        <v>78500</v>
      </c>
      <c r="H24" s="361">
        <f t="shared" ca="1" si="20"/>
        <v>0</v>
      </c>
      <c r="I24" s="361">
        <f t="shared" ca="1" si="21"/>
        <v>471000</v>
      </c>
      <c r="J24" s="361">
        <f t="shared" ca="1" si="22"/>
        <v>0</v>
      </c>
      <c r="K24" s="362">
        <f t="shared" ca="1" si="23"/>
        <v>471000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5">
        <v>2</v>
      </c>
      <c r="C25" s="516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F23*1</f>
        <v>6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20"/>
        <v>0</v>
      </c>
      <c r="I25" s="361">
        <f t="shared" ca="1" si="21"/>
        <v>25272</v>
      </c>
      <c r="J25" s="361">
        <f t="shared" ca="1" si="22"/>
        <v>0</v>
      </c>
      <c r="K25" s="362">
        <f t="shared" ca="1" si="23"/>
        <v>25272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5">
        <v>3</v>
      </c>
      <c r="C26" s="516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1">
        <f>F23*1</f>
        <v>6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20"/>
        <v>0</v>
      </c>
      <c r="I26" s="361">
        <f t="shared" ca="1" si="21"/>
        <v>139860</v>
      </c>
      <c r="J26" s="361">
        <f t="shared" ca="1" si="22"/>
        <v>0</v>
      </c>
      <c r="K26" s="362">
        <f t="shared" ca="1" si="23"/>
        <v>139860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5">
        <v>4</v>
      </c>
      <c r="C27" s="516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6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20"/>
        <v>0</v>
      </c>
      <c r="I27" s="361">
        <f t="shared" ca="1" si="21"/>
        <v>13800</v>
      </c>
      <c r="J27" s="361">
        <f t="shared" ca="1" si="22"/>
        <v>0</v>
      </c>
      <c r="K27" s="362">
        <f t="shared" ca="1" si="23"/>
        <v>13800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5">
        <v>5</v>
      </c>
      <c r="C28" s="516" t="s">
        <v>630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6</v>
      </c>
      <c r="G28" s="360">
        <f ca="1">IF(ISERROR(OFFSET('HARGA SATUAN'!$I$6,MATCH(RAB!C28,'HARGA SATUAN'!$C$7:$C$1492,0),0)),0,OFFSET('HARGA SATUAN'!$I$6,MATCH(RAB!C28,'HARGA SATUAN'!$C$7:$C$1492,0),0))</f>
        <v>35700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214200</v>
      </c>
      <c r="K28" s="362">
        <f t="shared" ca="1" si="23"/>
        <v>214200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5"/>
      <c r="C29" s="516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:H41" ca="1" si="24">IF(OR(D29="MDU",D29="MDU-KD"),(IF($O$3="RAB NON MDU","PLN KD",G29*F29)),0)</f>
        <v>0</v>
      </c>
      <c r="I29" s="361">
        <f t="shared" ref="I29:I41" ca="1" si="25">IF(D29="HDW",G29*F29,0)</f>
        <v>0</v>
      </c>
      <c r="J29" s="361">
        <f t="shared" ref="J29:J41" ca="1" si="26">IF(D29="JASA",G29*F29,0)</f>
        <v>0</v>
      </c>
      <c r="K29" s="362">
        <f t="shared" ref="K29:K41" ca="1" si="27">SUM(H29:J29)</f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8" t="s">
        <v>1035</v>
      </c>
      <c r="C30" s="519" t="s">
        <v>1629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2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4"/>
        <v>0</v>
      </c>
      <c r="I30" s="361">
        <f t="shared" ca="1" si="25"/>
        <v>0</v>
      </c>
      <c r="J30" s="361">
        <f t="shared" ca="1" si="26"/>
        <v>0</v>
      </c>
      <c r="K30" s="362">
        <f t="shared" ca="1" si="27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8">
        <v>1</v>
      </c>
      <c r="C31" s="519" t="s">
        <v>598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2</v>
      </c>
      <c r="G31" s="360">
        <f ca="1">IF(ISERROR(OFFSET('HARGA SATUAN'!$I$6,MATCH(RAB!C31,'HARGA SATUAN'!$C$7:$C$1492,0),0)),0,OFFSET('HARGA SATUAN'!$I$6,MATCH(RAB!C31,'HARGA SATUAN'!$C$7:$C$1492,0),0))</f>
        <v>3965</v>
      </c>
      <c r="H31" s="361">
        <f t="shared" ca="1" si="24"/>
        <v>0</v>
      </c>
      <c r="I31" s="361">
        <f t="shared" ca="1" si="25"/>
        <v>7930</v>
      </c>
      <c r="J31" s="361">
        <f t="shared" ca="1" si="26"/>
        <v>0</v>
      </c>
      <c r="K31" s="362">
        <f t="shared" ca="1" si="27"/>
        <v>7930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8">
        <v>2</v>
      </c>
      <c r="C32" s="519" t="s">
        <v>474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2</v>
      </c>
      <c r="G32" s="360">
        <f ca="1">IF(ISERROR(OFFSET('HARGA SATUAN'!$I$6,MATCH(RAB!C32,'HARGA SATUAN'!$C$7:$C$1492,0),0)),0,OFFSET('HARGA SATUAN'!$I$6,MATCH(RAB!C32,'HARGA SATUAN'!$C$7:$C$1492,0),0))</f>
        <v>3711.24</v>
      </c>
      <c r="H32" s="361">
        <f t="shared" ca="1" si="24"/>
        <v>0</v>
      </c>
      <c r="I32" s="361">
        <f t="shared" ca="1" si="25"/>
        <v>7422.48</v>
      </c>
      <c r="J32" s="361">
        <f t="shared" ca="1" si="26"/>
        <v>0</v>
      </c>
      <c r="K32" s="362">
        <f t="shared" ca="1" si="27"/>
        <v>7422.48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8">
        <v>3</v>
      </c>
      <c r="C33" s="519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2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24"/>
        <v>0</v>
      </c>
      <c r="I33" s="361">
        <f t="shared" ca="1" si="25"/>
        <v>46620</v>
      </c>
      <c r="J33" s="361">
        <f t="shared" ca="1" si="26"/>
        <v>0</v>
      </c>
      <c r="K33" s="362">
        <f t="shared" ca="1" si="27"/>
        <v>46620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8">
        <v>4</v>
      </c>
      <c r="C34" s="519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2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24"/>
        <v>0</v>
      </c>
      <c r="I34" s="361">
        <f t="shared" ca="1" si="25"/>
        <v>4600</v>
      </c>
      <c r="J34" s="361">
        <f t="shared" ca="1" si="26"/>
        <v>0</v>
      </c>
      <c r="K34" s="362">
        <f t="shared" ca="1" si="27"/>
        <v>4600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8">
        <v>5</v>
      </c>
      <c r="C35" s="519" t="s">
        <v>632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2</v>
      </c>
      <c r="G35" s="360">
        <f ca="1">IF(ISERROR(OFFSET('HARGA SATUAN'!$I$6,MATCH(RAB!C35,'HARGA SATUAN'!$C$7:$C$1492,0),0)),0,OFFSET('HARGA SATUAN'!$I$6,MATCH(RAB!C35,'HARGA SATUAN'!$C$7:$C$1492,0),0))</f>
        <v>22700</v>
      </c>
      <c r="H35" s="361">
        <f t="shared" ca="1" si="24"/>
        <v>0</v>
      </c>
      <c r="I35" s="361">
        <f t="shared" ca="1" si="25"/>
        <v>0</v>
      </c>
      <c r="J35" s="361">
        <f t="shared" ca="1" si="26"/>
        <v>45400</v>
      </c>
      <c r="K35" s="362">
        <f t="shared" ca="1" si="27"/>
        <v>45400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5"/>
      <c r="C36" s="516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4"/>
        <v>0</v>
      </c>
      <c r="I36" s="361">
        <f t="shared" ca="1" si="25"/>
        <v>0</v>
      </c>
      <c r="J36" s="361">
        <f t="shared" ca="1" si="26"/>
        <v>0</v>
      </c>
      <c r="K36" s="362">
        <f t="shared" ca="1" si="27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498"/>
      <c r="C37" s="513" t="s">
        <v>1624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4"/>
        <v>0</v>
      </c>
      <c r="I37" s="361">
        <f t="shared" ca="1" si="25"/>
        <v>0</v>
      </c>
      <c r="J37" s="361">
        <f t="shared" ca="1" si="26"/>
        <v>0</v>
      </c>
      <c r="K37" s="362">
        <f t="shared" ca="1" si="27"/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498">
        <v>1</v>
      </c>
      <c r="C38" s="109" t="s">
        <v>1459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1">
        <v>210</v>
      </c>
      <c r="G38" s="360">
        <f ca="1">IF(ISERROR(OFFSET('HARGA SATUAN'!$I$6,MATCH(RAB!C38,'HARGA SATUAN'!$C$7:$C$1492,0),0)),0,OFFSET('HARGA SATUAN'!$I$6,MATCH(RAB!C38,'HARGA SATUAN'!$C$7:$C$1492,0),0))</f>
        <v>54500</v>
      </c>
      <c r="H38" s="361">
        <f t="shared" ca="1" si="24"/>
        <v>11445000</v>
      </c>
      <c r="I38" s="361">
        <f t="shared" ca="1" si="25"/>
        <v>0</v>
      </c>
      <c r="J38" s="361">
        <f t="shared" ca="1" si="26"/>
        <v>0</v>
      </c>
      <c r="K38" s="362">
        <f t="shared" ca="1" si="27"/>
        <v>11445000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498">
        <v>2</v>
      </c>
      <c r="C39" s="109" t="s">
        <v>347</v>
      </c>
      <c r="D39" s="511" t="s">
        <v>47</v>
      </c>
      <c r="E39" s="512" t="s">
        <v>297</v>
      </c>
      <c r="F39" s="512">
        <f>F38/50</f>
        <v>4.2</v>
      </c>
      <c r="G39" s="360">
        <f ca="1">IF(ISERROR(OFFSET('HARGA SATUAN'!$I$6,MATCH(RAB!C39,'HARGA SATUAN'!$C$7:$C$1492,0),0)),0,OFFSET('HARGA SATUAN'!$I$6,MATCH(RAB!C39,'HARGA SATUAN'!$C$7:$C$1492,0),0))</f>
        <v>179000</v>
      </c>
      <c r="H39" s="361">
        <f t="shared" si="24"/>
        <v>0</v>
      </c>
      <c r="I39" s="361">
        <f t="shared" si="25"/>
        <v>0</v>
      </c>
      <c r="J39" s="361">
        <f t="shared" ca="1" si="26"/>
        <v>751800</v>
      </c>
      <c r="K39" s="362">
        <f t="shared" ca="1" si="27"/>
        <v>751800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498"/>
      <c r="C40" s="499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4"/>
        <v>0</v>
      </c>
      <c r="I40" s="361">
        <f t="shared" ca="1" si="25"/>
        <v>0</v>
      </c>
      <c r="J40" s="361">
        <f t="shared" ca="1" si="26"/>
        <v>0</v>
      </c>
      <c r="K40" s="362">
        <f t="shared" ca="1" si="27"/>
        <v>0</v>
      </c>
      <c r="L40" s="342"/>
      <c r="M40" s="342"/>
      <c r="N40" s="369"/>
      <c r="O40" s="344"/>
      <c r="P40" s="397"/>
      <c r="Q40" s="344"/>
    </row>
    <row r="41" spans="1:17">
      <c r="B41" s="366" t="s">
        <v>1614</v>
      </c>
      <c r="C41" s="367" t="s">
        <v>1616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501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4"/>
        <v>0</v>
      </c>
      <c r="I41" s="361">
        <f t="shared" ca="1" si="25"/>
        <v>0</v>
      </c>
      <c r="J41" s="361">
        <f t="shared" ca="1" si="26"/>
        <v>0</v>
      </c>
      <c r="K41" s="362">
        <f t="shared" ca="1" si="27"/>
        <v>0</v>
      </c>
    </row>
    <row r="42" spans="1:17">
      <c r="B42" s="494"/>
      <c r="C42" s="497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501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ref="H42" ca="1" si="28">IF(OR(D42="MDU",D42="MDU-KD"),(IF($O$3="RAB NON MDU","PLN KD",G42*F42)),0)</f>
        <v>0</v>
      </c>
      <c r="I42" s="361">
        <f t="shared" ref="I42" ca="1" si="29">IF(D42="HDW",G42*F42,0)</f>
        <v>0</v>
      </c>
      <c r="J42" s="361">
        <f t="shared" ref="J42" ca="1" si="30">IF(D42="JASA",G42*F42,0)</f>
        <v>0</v>
      </c>
      <c r="K42" s="362">
        <f t="shared" ref="K42" ca="1" si="31">SUM(H42:J42)</f>
        <v>0</v>
      </c>
    </row>
    <row r="43" spans="1:17">
      <c r="B43" s="717" t="s">
        <v>1035</v>
      </c>
      <c r="C43" s="718" t="s">
        <v>1640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ref="H43:H49" ca="1" si="32">IF(OR(D43="MDU",D43="MDU-KD"),(IF($O$3="RAB NON MDU","PLN KD",G43*F43)),0)</f>
        <v>0</v>
      </c>
      <c r="I43" s="361">
        <f t="shared" ref="I43:I49" ca="1" si="33">IF(D43="HDW",G43*F43,0)</f>
        <v>0</v>
      </c>
      <c r="J43" s="361">
        <f t="shared" ref="J43:J49" ca="1" si="34">IF(D43="JASA",G43*F43,0)</f>
        <v>0</v>
      </c>
      <c r="K43" s="362">
        <f t="shared" ref="K43:K49" ca="1" si="35">SUM(H43:J43)</f>
        <v>0</v>
      </c>
    </row>
    <row r="44" spans="1:17">
      <c r="B44" s="717">
        <v>1</v>
      </c>
      <c r="C44" s="718" t="s">
        <v>1146</v>
      </c>
      <c r="D44" s="721" t="s">
        <v>1643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F43*1</f>
        <v>1</v>
      </c>
      <c r="G44" s="360">
        <f ca="1">IF(ISERROR(OFFSET('HARGA SATUAN'!$I$6,MATCH(RAB!C44,'HARGA SATUAN'!$C$7:$C$1492,0),0)),0,OFFSET('HARGA SATUAN'!$I$6,MATCH(RAB!C44,'HARGA SATUAN'!$C$7:$C$1492,0),0))</f>
        <v>42757200</v>
      </c>
      <c r="H44" s="361">
        <f t="shared" si="32"/>
        <v>0</v>
      </c>
      <c r="I44" s="361">
        <f t="shared" si="33"/>
        <v>0</v>
      </c>
      <c r="J44" s="361">
        <f t="shared" si="34"/>
        <v>0</v>
      </c>
      <c r="K44" s="362">
        <f t="shared" si="35"/>
        <v>0</v>
      </c>
    </row>
    <row r="45" spans="1:17">
      <c r="B45" s="503">
        <v>2</v>
      </c>
      <c r="C45" s="506" t="s">
        <v>1618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7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32"/>
        <v>0</v>
      </c>
      <c r="I45" s="361">
        <f t="shared" ca="1" si="33"/>
        <v>0</v>
      </c>
      <c r="J45" s="361">
        <f t="shared" ca="1" si="34"/>
        <v>0</v>
      </c>
      <c r="K45" s="362">
        <f t="shared" ca="1" si="35"/>
        <v>0</v>
      </c>
    </row>
    <row r="46" spans="1:17">
      <c r="B46" s="717"/>
      <c r="C46" s="506" t="s">
        <v>65</v>
      </c>
      <c r="D46" s="358" t="str">
        <f ca="1">IF(ISERROR(OFFSET('HARGA SATUAN'!$D$6,MATCH(RAB!C46,'HARGA SATUAN'!$C$7:$C$1492,0),0)),"",OFFSET('HARGA SATUAN'!$D$6,MATCH(RAB!C46,'HARGA SATUAN'!$C$7:$C$1492,0),0))</f>
        <v>MDU-KD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501">
        <f>F43*(3*3)</f>
        <v>9</v>
      </c>
      <c r="G46" s="360">
        <f ca="1">IF(ISERROR(OFFSET('HARGA SATUAN'!$I$6,MATCH(RAB!C46,'HARGA SATUAN'!$C$7:$C$1492,0),0)),0,OFFSET('HARGA SATUAN'!$I$6,MATCH(RAB!C46,'HARGA SATUAN'!$C$7:$C$1492,0),0))</f>
        <v>14200</v>
      </c>
      <c r="H46" s="361">
        <f t="shared" ca="1" si="32"/>
        <v>127800</v>
      </c>
      <c r="I46" s="361">
        <f t="shared" ca="1" si="33"/>
        <v>0</v>
      </c>
      <c r="J46" s="361">
        <f t="shared" ca="1" si="34"/>
        <v>0</v>
      </c>
      <c r="K46" s="362">
        <f t="shared" ca="1" si="35"/>
        <v>127800</v>
      </c>
    </row>
    <row r="47" spans="1:17">
      <c r="B47" s="717"/>
      <c r="C47" s="109" t="s">
        <v>1459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01">
        <f>F43*3</f>
        <v>3</v>
      </c>
      <c r="G47" s="360">
        <f ca="1">IF(ISERROR(OFFSET('HARGA SATUAN'!$I$6,MATCH(RAB!C47,'HARGA SATUAN'!$C$7:$C$1492,0),0)),0,OFFSET('HARGA SATUAN'!$I$6,MATCH(RAB!C47,'HARGA SATUAN'!$C$7:$C$1492,0),0))</f>
        <v>54500</v>
      </c>
      <c r="H47" s="361">
        <f t="shared" ca="1" si="32"/>
        <v>163500</v>
      </c>
      <c r="I47" s="361">
        <f t="shared" ca="1" si="33"/>
        <v>0</v>
      </c>
      <c r="J47" s="361">
        <f t="shared" ca="1" si="34"/>
        <v>0</v>
      </c>
      <c r="K47" s="362">
        <f t="shared" ca="1" si="35"/>
        <v>163500</v>
      </c>
    </row>
    <row r="48" spans="1:17">
      <c r="B48" s="717">
        <v>3</v>
      </c>
      <c r="C48" s="109" t="s">
        <v>559</v>
      </c>
      <c r="D48" s="358" t="str">
        <f ca="1">IF(ISERROR(OFFSET('HARGA SATUAN'!$D$6,MATCH(RAB!C48,'HARGA SATUAN'!$C$7:$C$1492,0),0)),"",OFFSET('HARGA SATUAN'!$D$6,MATCH(RAB!C48,'HARGA SATUAN'!$C$7:$C$1492,0),0))</f>
        <v>MDU-KD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F43*3</f>
        <v>3</v>
      </c>
      <c r="G48" s="360">
        <f ca="1">IF(ISERROR(OFFSET('HARGA SATUAN'!$I$6,MATCH(RAB!C48,'HARGA SATUAN'!$C$7:$C$1492,0),0)),0,OFFSET('HARGA SATUAN'!$I$6,MATCH(RAB!C48,'HARGA SATUAN'!$C$7:$C$1492,0),0))</f>
        <v>725900</v>
      </c>
      <c r="H48" s="361">
        <f t="shared" ca="1" si="32"/>
        <v>2177700</v>
      </c>
      <c r="I48" s="361">
        <f t="shared" ca="1" si="33"/>
        <v>0</v>
      </c>
      <c r="J48" s="361">
        <f t="shared" ca="1" si="34"/>
        <v>0</v>
      </c>
      <c r="K48" s="362">
        <f t="shared" ca="1" si="35"/>
        <v>2177700</v>
      </c>
    </row>
    <row r="49" spans="2:11">
      <c r="B49" s="717">
        <v>4</v>
      </c>
      <c r="C49" s="718" t="s">
        <v>535</v>
      </c>
      <c r="D49" s="358" t="str">
        <f ca="1">IF(ISERROR(OFFSET('HARGA SATUAN'!$D$6,MATCH(RAB!C49,'HARGA SATUAN'!$C$7:$C$1492,0),0)),"",OFFSET('HARGA SATUAN'!$D$6,MATCH(RAB!C49,'HARGA SATUAN'!$C$7:$C$1492,0),0))</f>
        <v>MDU-KD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F43*3</f>
        <v>3</v>
      </c>
      <c r="G49" s="360">
        <f ca="1">IF(ISERROR(OFFSET('HARGA SATUAN'!$I$6,MATCH(RAB!C49,'HARGA SATUAN'!$C$7:$C$1492,0),0)),0,OFFSET('HARGA SATUAN'!$I$6,MATCH(RAB!C49,'HARGA SATUAN'!$C$7:$C$1492,0),0))</f>
        <v>848250</v>
      </c>
      <c r="H49" s="361">
        <f t="shared" ca="1" si="32"/>
        <v>2544750</v>
      </c>
      <c r="I49" s="361">
        <f t="shared" ca="1" si="33"/>
        <v>0</v>
      </c>
      <c r="J49" s="361">
        <f t="shared" ca="1" si="34"/>
        <v>0</v>
      </c>
      <c r="K49" s="362">
        <f t="shared" ca="1" si="35"/>
        <v>2544750</v>
      </c>
    </row>
    <row r="50" spans="2:11">
      <c r="B50" s="717">
        <v>5</v>
      </c>
      <c r="C50" s="718" t="s">
        <v>537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F43*3</f>
        <v>3</v>
      </c>
      <c r="G50" s="360">
        <f ca="1">IF(ISERROR(OFFSET('HARGA SATUAN'!$I$6,MATCH(RAB!C50,'HARGA SATUAN'!$C$7:$C$1492,0),0)),0,OFFSET('HARGA SATUAN'!$I$6,MATCH(RAB!C50,'HARGA SATUAN'!$C$7:$C$1492,0),0))</f>
        <v>17500</v>
      </c>
      <c r="H50" s="361">
        <f t="shared" ref="H50:H62" ca="1" si="36">IF(OR(D50="MDU",D50="MDU-KD"),(IF($O$3="RAB NON MDU","PLN KD",G50*F50)),0)</f>
        <v>0</v>
      </c>
      <c r="I50" s="361">
        <f t="shared" ref="I50:I62" ca="1" si="37">IF(D50="HDW",G50*F50,0)</f>
        <v>52500</v>
      </c>
      <c r="J50" s="361">
        <f t="shared" ref="J50:J62" ca="1" si="38">IF(D50="JASA",G50*F50,0)</f>
        <v>0</v>
      </c>
      <c r="K50" s="362">
        <f t="shared" ref="K50:K62" ca="1" si="39">SUM(H50:J50)</f>
        <v>52500</v>
      </c>
    </row>
    <row r="51" spans="2:11">
      <c r="B51" s="717">
        <v>6</v>
      </c>
      <c r="C51" s="109" t="s">
        <v>1569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F43*13</f>
        <v>13</v>
      </c>
      <c r="G51" s="360">
        <f ca="1">IF(ISERROR(OFFSET('HARGA SATUAN'!$I$6,MATCH(RAB!C51,'HARGA SATUAN'!$C$7:$C$1492,0),0)),0,OFFSET('HARGA SATUAN'!$I$6,MATCH(RAB!C51,'HARGA SATUAN'!$C$7:$C$1492,0),0))</f>
        <v>49000</v>
      </c>
      <c r="H51" s="361">
        <f t="shared" ca="1" si="36"/>
        <v>0</v>
      </c>
      <c r="I51" s="361">
        <f t="shared" ca="1" si="37"/>
        <v>637000</v>
      </c>
      <c r="J51" s="361">
        <f t="shared" ca="1" si="38"/>
        <v>0</v>
      </c>
      <c r="K51" s="362">
        <f t="shared" ca="1" si="39"/>
        <v>637000</v>
      </c>
    </row>
    <row r="52" spans="2:11">
      <c r="B52" s="717">
        <v>7</v>
      </c>
      <c r="C52" s="718" t="s">
        <v>163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F43*22</f>
        <v>22</v>
      </c>
      <c r="G52" s="360">
        <f ca="1">IF(ISERROR(OFFSET('HARGA SATUAN'!$I$6,MATCH(RAB!C52,'HARGA SATUAN'!$C$7:$C$1492,0),0)),0,OFFSET('HARGA SATUAN'!$I$6,MATCH(RAB!C52,'HARGA SATUAN'!$C$7:$C$1492,0),0))</f>
        <v>7938</v>
      </c>
      <c r="H52" s="361">
        <f t="shared" ca="1" si="36"/>
        <v>0</v>
      </c>
      <c r="I52" s="361">
        <f t="shared" ca="1" si="37"/>
        <v>174636</v>
      </c>
      <c r="J52" s="361">
        <f t="shared" ca="1" si="38"/>
        <v>0</v>
      </c>
      <c r="K52" s="362">
        <f t="shared" ca="1" si="39"/>
        <v>174636</v>
      </c>
    </row>
    <row r="53" spans="2:11">
      <c r="B53" s="717">
        <v>8</v>
      </c>
      <c r="C53" s="718" t="s">
        <v>176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F43*1</f>
        <v>1</v>
      </c>
      <c r="G53" s="360">
        <f ca="1">IF(ISERROR(OFFSET('HARGA SATUAN'!$I$6,MATCH(RAB!C53,'HARGA SATUAN'!$C$7:$C$1492,0),0)),0,OFFSET('HARGA SATUAN'!$I$6,MATCH(RAB!C53,'HARGA SATUAN'!$C$7:$C$1492,0),0))</f>
        <v>404600</v>
      </c>
      <c r="H53" s="361">
        <f t="shared" ca="1" si="36"/>
        <v>0</v>
      </c>
      <c r="I53" s="361">
        <f t="shared" ca="1" si="37"/>
        <v>404600</v>
      </c>
      <c r="J53" s="361">
        <f t="shared" ca="1" si="38"/>
        <v>0</v>
      </c>
      <c r="K53" s="362">
        <f t="shared" ca="1" si="39"/>
        <v>404600</v>
      </c>
    </row>
    <row r="54" spans="2:11">
      <c r="B54" s="717">
        <v>9</v>
      </c>
      <c r="C54" s="718" t="s">
        <v>184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F43*3</f>
        <v>3</v>
      </c>
      <c r="G54" s="360">
        <f ca="1">IF(ISERROR(OFFSET('HARGA SATUAN'!$I$6,MATCH(RAB!C54,'HARGA SATUAN'!$C$7:$C$1492,0),0)),0,OFFSET('HARGA SATUAN'!$I$6,MATCH(RAB!C54,'HARGA SATUAN'!$C$7:$C$1492,0),0))</f>
        <v>15900</v>
      </c>
      <c r="H54" s="361">
        <f t="shared" ca="1" si="36"/>
        <v>0</v>
      </c>
      <c r="I54" s="361">
        <f t="shared" ca="1" si="37"/>
        <v>47700</v>
      </c>
      <c r="J54" s="361">
        <f t="shared" ca="1" si="38"/>
        <v>0</v>
      </c>
      <c r="K54" s="362">
        <f t="shared" ca="1" si="39"/>
        <v>47700</v>
      </c>
    </row>
    <row r="55" spans="2:11">
      <c r="B55" s="717">
        <v>10</v>
      </c>
      <c r="C55" s="718" t="s">
        <v>592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F43*5</f>
        <v>5</v>
      </c>
      <c r="G55" s="360">
        <f ca="1">IF(ISERROR(OFFSET('HARGA SATUAN'!$I$6,MATCH(RAB!C55,'HARGA SATUAN'!$C$7:$C$1492,0),0)),0,OFFSET('HARGA SATUAN'!$I$6,MATCH(RAB!C55,'HARGA SATUAN'!$C$7:$C$1492,0),0))</f>
        <v>283100</v>
      </c>
      <c r="H55" s="361">
        <f t="shared" ca="1" si="36"/>
        <v>0</v>
      </c>
      <c r="I55" s="361">
        <f t="shared" ca="1" si="37"/>
        <v>1415500</v>
      </c>
      <c r="J55" s="361">
        <f t="shared" ca="1" si="38"/>
        <v>0</v>
      </c>
      <c r="K55" s="362">
        <f t="shared" ca="1" si="39"/>
        <v>1415500</v>
      </c>
    </row>
    <row r="56" spans="2:11">
      <c r="B56" s="717">
        <v>11</v>
      </c>
      <c r="C56" s="718" t="s">
        <v>593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1">
        <f>F43*4</f>
        <v>4</v>
      </c>
      <c r="G56" s="360">
        <f ca="1">IF(ISERROR(OFFSET('HARGA SATUAN'!$I$6,MATCH(RAB!C56,'HARGA SATUAN'!$C$7:$C$1492,0),0)),0,OFFSET('HARGA SATUAN'!$I$6,MATCH(RAB!C56,'HARGA SATUAN'!$C$7:$C$1492,0),0))</f>
        <v>380500</v>
      </c>
      <c r="H56" s="361">
        <f t="shared" ca="1" si="36"/>
        <v>0</v>
      </c>
      <c r="I56" s="361">
        <f t="shared" ca="1" si="37"/>
        <v>1522000</v>
      </c>
      <c r="J56" s="361">
        <f t="shared" ca="1" si="38"/>
        <v>0</v>
      </c>
      <c r="K56" s="362">
        <f t="shared" ca="1" si="39"/>
        <v>1522000</v>
      </c>
    </row>
    <row r="57" spans="2:11">
      <c r="B57" s="717">
        <v>12</v>
      </c>
      <c r="C57" s="718" t="s">
        <v>208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F43*3</f>
        <v>3</v>
      </c>
      <c r="G57" s="360">
        <f ca="1">IF(ISERROR(OFFSET('HARGA SATUAN'!$I$6,MATCH(RAB!C57,'HARGA SATUAN'!$C$7:$C$1492,0),0)),0,OFFSET('HARGA SATUAN'!$I$6,MATCH(RAB!C57,'HARGA SATUAN'!$C$7:$C$1492,0),0))</f>
        <v>173400</v>
      </c>
      <c r="H57" s="361">
        <f t="shared" ca="1" si="36"/>
        <v>0</v>
      </c>
      <c r="I57" s="361">
        <f t="shared" ca="1" si="37"/>
        <v>520200</v>
      </c>
      <c r="J57" s="361">
        <f t="shared" ca="1" si="38"/>
        <v>0</v>
      </c>
      <c r="K57" s="362">
        <f t="shared" ca="1" si="39"/>
        <v>520200</v>
      </c>
    </row>
    <row r="58" spans="2:11">
      <c r="B58" s="717">
        <v>13</v>
      </c>
      <c r="C58" s="718" t="s">
        <v>247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F43*1</f>
        <v>1</v>
      </c>
      <c r="G58" s="360">
        <f ca="1">IF(ISERROR(OFFSET('HARGA SATUAN'!$I$6,MATCH(RAB!C58,'HARGA SATUAN'!$C$7:$C$1492,0),0)),0,OFFSET('HARGA SATUAN'!$I$6,MATCH(RAB!C58,'HARGA SATUAN'!$C$7:$C$1492,0),0))</f>
        <v>57690</v>
      </c>
      <c r="H58" s="361">
        <f t="shared" ca="1" si="36"/>
        <v>0</v>
      </c>
      <c r="I58" s="361">
        <f t="shared" ca="1" si="37"/>
        <v>57690</v>
      </c>
      <c r="J58" s="361">
        <f t="shared" ca="1" si="38"/>
        <v>0</v>
      </c>
      <c r="K58" s="362">
        <f t="shared" ca="1" si="39"/>
        <v>57690</v>
      </c>
    </row>
    <row r="59" spans="2:11">
      <c r="B59" s="717">
        <v>14</v>
      </c>
      <c r="C59" s="718" t="s">
        <v>234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F43*2</f>
        <v>2</v>
      </c>
      <c r="G59" s="360">
        <f ca="1">IF(ISERROR(OFFSET('HARGA SATUAN'!$I$6,MATCH(RAB!C59,'HARGA SATUAN'!$C$7:$C$1492,0),0)),0,OFFSET('HARGA SATUAN'!$I$6,MATCH(RAB!C59,'HARGA SATUAN'!$C$7:$C$1492,0),0))</f>
        <v>67500</v>
      </c>
      <c r="H59" s="361">
        <f t="shared" ca="1" si="36"/>
        <v>0</v>
      </c>
      <c r="I59" s="361">
        <f t="shared" ca="1" si="37"/>
        <v>135000</v>
      </c>
      <c r="J59" s="361">
        <f t="shared" ca="1" si="38"/>
        <v>0</v>
      </c>
      <c r="K59" s="362">
        <f t="shared" ca="1" si="39"/>
        <v>135000</v>
      </c>
    </row>
    <row r="60" spans="2:11">
      <c r="B60" s="717">
        <v>15</v>
      </c>
      <c r="C60" s="718" t="s">
        <v>267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F43*2</f>
        <v>2</v>
      </c>
      <c r="G60" s="360">
        <f ca="1">IF(ISERROR(OFFSET('HARGA SATUAN'!$I$6,MATCH(RAB!C60,'HARGA SATUAN'!$C$7:$C$1492,0),0)),0,OFFSET('HARGA SATUAN'!$I$6,MATCH(RAB!C60,'HARGA SATUAN'!$C$7:$C$1492,0),0))</f>
        <v>129000</v>
      </c>
      <c r="H60" s="361">
        <f t="shared" ca="1" si="36"/>
        <v>0</v>
      </c>
      <c r="I60" s="361">
        <f t="shared" ca="1" si="37"/>
        <v>258000</v>
      </c>
      <c r="J60" s="361">
        <f t="shared" ca="1" si="38"/>
        <v>0</v>
      </c>
      <c r="K60" s="362">
        <f t="shared" ca="1" si="39"/>
        <v>258000</v>
      </c>
    </row>
    <row r="61" spans="2:11">
      <c r="B61" s="717">
        <v>16</v>
      </c>
      <c r="C61" s="718" t="s">
        <v>607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F43*4</f>
        <v>4</v>
      </c>
      <c r="G61" s="360">
        <f ca="1">IF(ISERROR(OFFSET('HARGA SATUAN'!$I$6,MATCH(RAB!C61,'HARGA SATUAN'!$C$7:$C$1492,0),0)),0,OFFSET('HARGA SATUAN'!$I$6,MATCH(RAB!C61,'HARGA SATUAN'!$C$7:$C$1492,0),0))</f>
        <v>250000</v>
      </c>
      <c r="H61" s="361">
        <f t="shared" ca="1" si="36"/>
        <v>0</v>
      </c>
      <c r="I61" s="361">
        <f t="shared" ca="1" si="37"/>
        <v>1000000</v>
      </c>
      <c r="J61" s="361">
        <f t="shared" ca="1" si="38"/>
        <v>0</v>
      </c>
      <c r="K61" s="362">
        <f t="shared" ca="1" si="39"/>
        <v>1000000</v>
      </c>
    </row>
    <row r="62" spans="2:11">
      <c r="B62" s="717">
        <v>17</v>
      </c>
      <c r="C62" s="718" t="s">
        <v>783</v>
      </c>
      <c r="D62" s="358" t="str">
        <f ca="1">IF(ISERROR(OFFSET('HARGA SATUAN'!$D$6,MATCH(RAB!C62,'HARGA SATUAN'!$C$7:$C$1492,0),0)),"",OFFSET('HARGA SATUAN'!$D$6,MATCH(RAB!C62,'HARGA SATUAN'!$C$7:$C$1492,0),0))</f>
        <v>JASA</v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01">
        <f>F43*1</f>
        <v>1</v>
      </c>
      <c r="G62" s="360">
        <f ca="1">IF(ISERROR(OFFSET('HARGA SATUAN'!$I$6,MATCH(RAB!C62,'HARGA SATUAN'!$C$7:$C$1492,0),0)),0,OFFSET('HARGA SATUAN'!$I$6,MATCH(RAB!C62,'HARGA SATUAN'!$C$7:$C$1492,0),0))</f>
        <v>1182800</v>
      </c>
      <c r="H62" s="361">
        <f t="shared" ca="1" si="36"/>
        <v>0</v>
      </c>
      <c r="I62" s="361">
        <f t="shared" ca="1" si="37"/>
        <v>0</v>
      </c>
      <c r="J62" s="361">
        <f t="shared" ca="1" si="38"/>
        <v>1182800</v>
      </c>
      <c r="K62" s="362">
        <f t="shared" ca="1" si="39"/>
        <v>1182800</v>
      </c>
    </row>
    <row r="63" spans="2:11">
      <c r="B63" s="508"/>
      <c r="C63" s="109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501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" ca="1" si="40">IF(OR(D63="MDU",D63="MDU-KD"),(IF($O$3="RAB NON MDU","PLN KD",G63*F63)),0)</f>
        <v>0</v>
      </c>
      <c r="I63" s="361">
        <f t="shared" ref="I63" ca="1" si="41">IF(D63="HDW",G63*F63,0)</f>
        <v>0</v>
      </c>
      <c r="J63" s="361">
        <f t="shared" ref="J63" ca="1" si="42">IF(D63="JASA",G63*F63,0)</f>
        <v>0</v>
      </c>
      <c r="K63" s="362">
        <f t="shared" ref="K63" ca="1" si="43">SUM(H63:J63)</f>
        <v>0</v>
      </c>
    </row>
    <row r="64" spans="2:11">
      <c r="B64" s="503" t="s">
        <v>1035</v>
      </c>
      <c r="C64" s="504" t="s">
        <v>1619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01">
        <v>2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ref="H64:H74" ca="1" si="44">IF(OR(D64="MDU",D64="MDU-KD"),(IF($O$3="RAB NON MDU","PLN KD",G64*F64)),0)</f>
        <v>0</v>
      </c>
      <c r="I64" s="361">
        <f t="shared" ref="I64:I74" ca="1" si="45">IF(D64="HDW",G64*F64,0)</f>
        <v>0</v>
      </c>
      <c r="J64" s="361">
        <f t="shared" ref="J64:J74" ca="1" si="46">IF(D64="JASA",G64*F64,0)</f>
        <v>0</v>
      </c>
      <c r="K64" s="362">
        <f t="shared" ref="K64:K74" ca="1" si="47">SUM(H64:J64)</f>
        <v>0</v>
      </c>
    </row>
    <row r="65" spans="2:11">
      <c r="B65" s="503">
        <v>1</v>
      </c>
      <c r="C65" s="505" t="s">
        <v>29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F64*1</f>
        <v>2</v>
      </c>
      <c r="G65" s="360">
        <f ca="1">IF(ISERROR(OFFSET('HARGA SATUAN'!$I$6,MATCH(RAB!C65,'HARGA SATUAN'!$C$7:$C$1492,0),0)),0,OFFSET('HARGA SATUAN'!$I$6,MATCH(RAB!C65,'HARGA SATUAN'!$C$7:$C$1492,0),0))</f>
        <v>185200</v>
      </c>
      <c r="H65" s="361">
        <f t="shared" ca="1" si="44"/>
        <v>0</v>
      </c>
      <c r="I65" s="361">
        <f t="shared" ca="1" si="45"/>
        <v>370400</v>
      </c>
      <c r="J65" s="361">
        <f t="shared" ca="1" si="46"/>
        <v>0</v>
      </c>
      <c r="K65" s="362">
        <f t="shared" ca="1" si="47"/>
        <v>370400</v>
      </c>
    </row>
    <row r="66" spans="2:11">
      <c r="B66" s="498">
        <v>2</v>
      </c>
      <c r="C66" s="499" t="s">
        <v>30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F64*1</f>
        <v>2</v>
      </c>
      <c r="G66" s="360">
        <f ca="1">IF(ISERROR(OFFSET('HARGA SATUAN'!$I$6,MATCH(RAB!C66,'HARGA SATUAN'!$C$7:$C$1492,0),0)),0,OFFSET('HARGA SATUAN'!$I$6,MATCH(RAB!C66,'HARGA SATUAN'!$C$7:$C$1492,0),0))</f>
        <v>47459</v>
      </c>
      <c r="H66" s="361">
        <f t="shared" ca="1" si="44"/>
        <v>0</v>
      </c>
      <c r="I66" s="361">
        <f t="shared" ca="1" si="45"/>
        <v>94918</v>
      </c>
      <c r="J66" s="361">
        <f t="shared" ca="1" si="46"/>
        <v>0</v>
      </c>
      <c r="K66" s="362">
        <f t="shared" ca="1" si="47"/>
        <v>94918</v>
      </c>
    </row>
    <row r="67" spans="2:11">
      <c r="B67" s="498">
        <v>3</v>
      </c>
      <c r="C67" s="499" t="s">
        <v>31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F64*1</f>
        <v>2</v>
      </c>
      <c r="G67" s="360">
        <f ca="1">IF(ISERROR(OFFSET('HARGA SATUAN'!$I$6,MATCH(RAB!C67,'HARGA SATUAN'!$C$7:$C$1492,0),0)),0,OFFSET('HARGA SATUAN'!$I$6,MATCH(RAB!C67,'HARGA SATUAN'!$C$7:$C$1492,0),0))</f>
        <v>4880</v>
      </c>
      <c r="H67" s="361">
        <f t="shared" ca="1" si="44"/>
        <v>0</v>
      </c>
      <c r="I67" s="361">
        <f t="shared" ca="1" si="45"/>
        <v>9760</v>
      </c>
      <c r="J67" s="361">
        <f t="shared" ca="1" si="46"/>
        <v>0</v>
      </c>
      <c r="K67" s="362">
        <f t="shared" ca="1" si="47"/>
        <v>9760</v>
      </c>
    </row>
    <row r="68" spans="2:11">
      <c r="B68" s="498">
        <v>4</v>
      </c>
      <c r="C68" s="499" t="s">
        <v>32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01">
        <f>F64*10</f>
        <v>20</v>
      </c>
      <c r="G68" s="360">
        <f ca="1">IF(ISERROR(OFFSET('HARGA SATUAN'!$I$6,MATCH(RAB!C68,'HARGA SATUAN'!$C$7:$C$1492,0),0)),0,OFFSET('HARGA SATUAN'!$I$6,MATCH(RAB!C68,'HARGA SATUAN'!$C$7:$C$1492,0),0))</f>
        <v>30000</v>
      </c>
      <c r="H68" s="361">
        <f t="shared" ca="1" si="44"/>
        <v>0</v>
      </c>
      <c r="I68" s="361">
        <f t="shared" ca="1" si="45"/>
        <v>600000</v>
      </c>
      <c r="J68" s="361">
        <f t="shared" ca="1" si="46"/>
        <v>0</v>
      </c>
      <c r="K68" s="362">
        <f t="shared" ca="1" si="47"/>
        <v>600000</v>
      </c>
    </row>
    <row r="69" spans="2:11">
      <c r="B69" s="498">
        <v>5</v>
      </c>
      <c r="C69" s="499" t="s">
        <v>33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F64*2</f>
        <v>4</v>
      </c>
      <c r="G69" s="360">
        <f ca="1">IF(ISERROR(OFFSET('HARGA SATUAN'!$I$6,MATCH(RAB!C69,'HARGA SATUAN'!$C$7:$C$1492,0),0)),0,OFFSET('HARGA SATUAN'!$I$6,MATCH(RAB!C69,'HARGA SATUAN'!$C$7:$C$1492,0),0))</f>
        <v>9500</v>
      </c>
      <c r="H69" s="361">
        <f t="shared" ca="1" si="44"/>
        <v>0</v>
      </c>
      <c r="I69" s="361">
        <f t="shared" ca="1" si="45"/>
        <v>38000</v>
      </c>
      <c r="J69" s="361">
        <f t="shared" ca="1" si="46"/>
        <v>0</v>
      </c>
      <c r="K69" s="362">
        <f t="shared" ca="1" si="47"/>
        <v>38000</v>
      </c>
    </row>
    <row r="70" spans="2:11">
      <c r="B70" s="498">
        <v>6</v>
      </c>
      <c r="C70" s="499" t="s">
        <v>34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1">
        <f>F64*5.5</f>
        <v>11</v>
      </c>
      <c r="G70" s="360">
        <f ca="1">IF(ISERROR(OFFSET('HARGA SATUAN'!$I$6,MATCH(RAB!C70,'HARGA SATUAN'!$C$7:$C$1492,0),0)),0,OFFSET('HARGA SATUAN'!$I$6,MATCH(RAB!C70,'HARGA SATUAN'!$C$7:$C$1492,0),0))</f>
        <v>6100</v>
      </c>
      <c r="H70" s="361">
        <f t="shared" ca="1" si="44"/>
        <v>0</v>
      </c>
      <c r="I70" s="361">
        <f t="shared" ca="1" si="45"/>
        <v>67100</v>
      </c>
      <c r="J70" s="361">
        <f t="shared" ca="1" si="46"/>
        <v>0</v>
      </c>
      <c r="K70" s="362">
        <f t="shared" ca="1" si="47"/>
        <v>67100</v>
      </c>
    </row>
    <row r="71" spans="2:11">
      <c r="B71" s="498">
        <v>7</v>
      </c>
      <c r="C71" s="499" t="s">
        <v>35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1">
        <f>F64*6</f>
        <v>12</v>
      </c>
      <c r="G71" s="360">
        <f ca="1">IF(ISERROR(OFFSET('HARGA SATUAN'!$I$6,MATCH(RAB!C71,'HARGA SATUAN'!$C$7:$C$1492,0),0)),0,OFFSET('HARGA SATUAN'!$I$6,MATCH(RAB!C71,'HARGA SATUAN'!$C$7:$C$1492,0),0))</f>
        <v>2300</v>
      </c>
      <c r="H71" s="361">
        <f t="shared" ca="1" si="44"/>
        <v>0</v>
      </c>
      <c r="I71" s="361">
        <f t="shared" ca="1" si="45"/>
        <v>27600</v>
      </c>
      <c r="J71" s="361">
        <f t="shared" ca="1" si="46"/>
        <v>0</v>
      </c>
      <c r="K71" s="362">
        <f t="shared" ca="1" si="47"/>
        <v>27600</v>
      </c>
    </row>
    <row r="72" spans="2:11">
      <c r="B72" s="498">
        <v>8</v>
      </c>
      <c r="C72" s="499" t="s">
        <v>1620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501">
        <f>F64*4.8</f>
        <v>9.6</v>
      </c>
      <c r="G72" s="360">
        <f ca="1">IF(ISERROR(OFFSET('HARGA SATUAN'!$I$6,MATCH(RAB!C72,'HARGA SATUAN'!$C$7:$C$1492,0),0)),0,OFFSET('HARGA SATUAN'!$I$6,MATCH(RAB!C72,'HARGA SATUAN'!$C$7:$C$1492,0),0))</f>
        <v>23310</v>
      </c>
      <c r="H72" s="361">
        <f t="shared" ca="1" si="44"/>
        <v>0</v>
      </c>
      <c r="I72" s="361">
        <f t="shared" ca="1" si="45"/>
        <v>223776</v>
      </c>
      <c r="J72" s="361">
        <f t="shared" ca="1" si="46"/>
        <v>0</v>
      </c>
      <c r="K72" s="362">
        <f t="shared" ca="1" si="47"/>
        <v>223776</v>
      </c>
    </row>
    <row r="73" spans="2:11">
      <c r="B73" s="498">
        <v>9</v>
      </c>
      <c r="C73" s="499" t="s">
        <v>736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1">
        <f>F64*1</f>
        <v>2</v>
      </c>
      <c r="G73" s="360">
        <f ca="1">IF(ISERROR(OFFSET('HARGA SATUAN'!$I$6,MATCH(RAB!C73,'HARGA SATUAN'!$C$7:$C$1492,0),0)),0,OFFSET('HARGA SATUAN'!$I$6,MATCH(RAB!C73,'HARGA SATUAN'!$C$7:$C$1492,0),0))</f>
        <v>65400</v>
      </c>
      <c r="H73" s="361">
        <f t="shared" ca="1" si="44"/>
        <v>0</v>
      </c>
      <c r="I73" s="361">
        <f t="shared" ca="1" si="45"/>
        <v>0</v>
      </c>
      <c r="J73" s="361">
        <f t="shared" ca="1" si="46"/>
        <v>130800</v>
      </c>
      <c r="K73" s="362">
        <f t="shared" ca="1" si="47"/>
        <v>130800</v>
      </c>
    </row>
    <row r="74" spans="2:11">
      <c r="B74" s="494"/>
      <c r="C74" s="497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502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44"/>
        <v>0</v>
      </c>
      <c r="I74" s="361">
        <f t="shared" ca="1" si="45"/>
        <v>0</v>
      </c>
      <c r="J74" s="361">
        <f t="shared" ca="1" si="46"/>
        <v>0</v>
      </c>
      <c r="K74" s="362">
        <f t="shared" ca="1" si="47"/>
        <v>0</v>
      </c>
    </row>
    <row r="75" spans="2:11">
      <c r="B75" s="495" t="s">
        <v>1615</v>
      </c>
      <c r="C75" s="500" t="s">
        <v>1621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368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81" ca="1" si="48">IF(OR(D75="MDU",D75="MDU-KD"),(IF($O$3="RAB NON MDU","PLN KD",G75*F75)),0)</f>
        <v>0</v>
      </c>
      <c r="I75" s="361">
        <f t="shared" ref="I75:I81" ca="1" si="49">IF(D75="HDW",G75*F75,0)</f>
        <v>0</v>
      </c>
      <c r="J75" s="361">
        <f t="shared" ref="J75:J81" ca="1" si="50">IF(D75="JASA",G75*F75,0)</f>
        <v>0</v>
      </c>
      <c r="K75" s="362">
        <f t="shared" ref="K75:K81" ca="1" si="51">SUM(H75:J75)</f>
        <v>0</v>
      </c>
    </row>
    <row r="76" spans="2:11">
      <c r="B76" s="495"/>
      <c r="C76" s="496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10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48"/>
        <v>0</v>
      </c>
      <c r="I76" s="361">
        <f t="shared" ca="1" si="49"/>
        <v>0</v>
      </c>
      <c r="J76" s="361">
        <f t="shared" ca="1" si="50"/>
        <v>0</v>
      </c>
      <c r="K76" s="362">
        <f t="shared" ca="1" si="51"/>
        <v>0</v>
      </c>
    </row>
    <row r="77" spans="2:11">
      <c r="B77" s="495" t="s">
        <v>1035</v>
      </c>
      <c r="C77" s="496" t="s">
        <v>1641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14">
        <v>1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8"/>
        <v>0</v>
      </c>
      <c r="I77" s="361">
        <f t="shared" ca="1" si="49"/>
        <v>0</v>
      </c>
      <c r="J77" s="361">
        <f t="shared" ca="1" si="50"/>
        <v>0</v>
      </c>
      <c r="K77" s="362">
        <f t="shared" ca="1" si="51"/>
        <v>0</v>
      </c>
    </row>
    <row r="78" spans="2:11" ht="30">
      <c r="B78" s="717">
        <v>1</v>
      </c>
      <c r="C78" s="109" t="s">
        <v>1197</v>
      </c>
      <c r="D78" s="358" t="str">
        <f ca="1">IF(ISERROR(OFFSET('HARGA SATUAN'!$D$6,MATCH(RAB!C78,'HARGA SATUAN'!$C$7:$C$1492,0),0)),"",OFFSET('HARGA SATUAN'!$D$6,MATCH(RAB!C78,'HARGA SATUAN'!$C$7:$C$1492,0),0))</f>
        <v>MDU-KD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14">
        <f>F77*1</f>
        <v>1</v>
      </c>
      <c r="G78" s="360">
        <f ca="1">IF(ISERROR(OFFSET('HARGA SATUAN'!$I$6,MATCH(RAB!C78,'HARGA SATUAN'!$C$7:$C$1492,0),0)),0,OFFSET('HARGA SATUAN'!$I$6,MATCH(RAB!C78,'HARGA SATUAN'!$C$7:$C$1492,0),0))</f>
        <v>1427400</v>
      </c>
      <c r="H78" s="361">
        <f t="shared" ca="1" si="48"/>
        <v>1427400</v>
      </c>
      <c r="I78" s="361">
        <f t="shared" ca="1" si="49"/>
        <v>0</v>
      </c>
      <c r="J78" s="361">
        <f t="shared" ca="1" si="50"/>
        <v>0</v>
      </c>
      <c r="K78" s="362">
        <f t="shared" ca="1" si="51"/>
        <v>1427400</v>
      </c>
    </row>
    <row r="79" spans="2:11">
      <c r="B79" s="717">
        <v>2</v>
      </c>
      <c r="C79" s="719" t="s">
        <v>509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14">
        <f>F77*1</f>
        <v>1</v>
      </c>
      <c r="G79" s="360">
        <f ca="1">IF(ISERROR(OFFSET('HARGA SATUAN'!$I$6,MATCH(RAB!C79,'HARGA SATUAN'!$C$7:$C$1492,0),0)),0,OFFSET('HARGA SATUAN'!$I$6,MATCH(RAB!C79,'HARGA SATUAN'!$C$7:$C$1492,0),0))</f>
        <v>3564900</v>
      </c>
      <c r="H79" s="361">
        <f t="shared" ca="1" si="48"/>
        <v>3564900</v>
      </c>
      <c r="I79" s="361">
        <f t="shared" ca="1" si="49"/>
        <v>0</v>
      </c>
      <c r="J79" s="361">
        <f t="shared" ca="1" si="50"/>
        <v>0</v>
      </c>
      <c r="K79" s="362">
        <f t="shared" ca="1" si="51"/>
        <v>3564900</v>
      </c>
    </row>
    <row r="80" spans="2:11">
      <c r="B80" s="717">
        <v>3</v>
      </c>
      <c r="C80" s="719" t="s">
        <v>77</v>
      </c>
      <c r="D80" s="358" t="str">
        <f ca="1">IF(ISERROR(OFFSET('HARGA SATUAN'!$D$6,MATCH(RAB!C80,'HARGA SATUAN'!$C$7:$C$1492,0),0)),"",OFFSET('HARGA SATUAN'!$D$6,MATCH(RAB!C80,'HARGA SATUAN'!$C$7:$C$1492,0),0))</f>
        <v>MDU-KD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14">
        <f>F77*35</f>
        <v>35</v>
      </c>
      <c r="G80" s="360">
        <f ca="1">IF(ISERROR(OFFSET('HARGA SATUAN'!$I$6,MATCH(RAB!C80,'HARGA SATUAN'!$C$7:$C$1492,0),0)),0,OFFSET('HARGA SATUAN'!$I$6,MATCH(RAB!C80,'HARGA SATUAN'!$C$7:$C$1492,0),0))</f>
        <v>13500</v>
      </c>
      <c r="H80" s="361">
        <f t="shared" ca="1" si="48"/>
        <v>472500</v>
      </c>
      <c r="I80" s="361">
        <f t="shared" ca="1" si="49"/>
        <v>0</v>
      </c>
      <c r="J80" s="361">
        <f t="shared" ca="1" si="50"/>
        <v>0</v>
      </c>
      <c r="K80" s="362">
        <f t="shared" ca="1" si="51"/>
        <v>472500</v>
      </c>
    </row>
    <row r="81" spans="2:11">
      <c r="B81" s="717">
        <v>4</v>
      </c>
      <c r="C81" s="719" t="s">
        <v>799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14">
        <f>F77*1</f>
        <v>1</v>
      </c>
      <c r="G81" s="360">
        <f ca="1">IF(ISERROR(OFFSET('HARGA SATUAN'!$I$6,MATCH(RAB!C81,'HARGA SATUAN'!$C$7:$C$1492,0),0)),0,OFFSET('HARGA SATUAN'!$I$6,MATCH(RAB!C81,'HARGA SATUAN'!$C$7:$C$1492,0),0))</f>
        <v>106400</v>
      </c>
      <c r="H81" s="361">
        <f t="shared" ca="1" si="48"/>
        <v>0</v>
      </c>
      <c r="I81" s="361">
        <f t="shared" ca="1" si="49"/>
        <v>0</v>
      </c>
      <c r="J81" s="361">
        <f t="shared" ca="1" si="50"/>
        <v>106400</v>
      </c>
      <c r="K81" s="362">
        <f t="shared" ca="1" si="51"/>
        <v>106400</v>
      </c>
    </row>
    <row r="82" spans="2:11">
      <c r="B82" s="374"/>
      <c r="C82" s="509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94" ca="1" si="52">IF(OR(D82="MDU",D82="MDU-KD"),(IF($O$3="RAB NON MDU","PLN KD",G82*F82)),0)</f>
        <v>0</v>
      </c>
      <c r="I82" s="361">
        <f t="shared" ref="I82:I94" ca="1" si="53">IF(D82="HDW",G82*F82,0)</f>
        <v>0</v>
      </c>
      <c r="J82" s="361">
        <f t="shared" ref="J82:J94" ca="1" si="54">IF(D82="JASA",G82*F82,0)</f>
        <v>0</v>
      </c>
      <c r="K82" s="362">
        <f t="shared" ref="K82:K94" ca="1" si="55">SUM(H82:J82)</f>
        <v>0</v>
      </c>
    </row>
    <row r="83" spans="2:11">
      <c r="B83" s="717" t="s">
        <v>1035</v>
      </c>
      <c r="C83" s="719" t="s">
        <v>1642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720">
        <v>1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52"/>
        <v>0</v>
      </c>
      <c r="I83" s="361">
        <f t="shared" ca="1" si="53"/>
        <v>0</v>
      </c>
      <c r="J83" s="361">
        <f t="shared" ca="1" si="54"/>
        <v>0</v>
      </c>
      <c r="K83" s="362">
        <f t="shared" ca="1" si="55"/>
        <v>0</v>
      </c>
    </row>
    <row r="84" spans="2:11">
      <c r="B84" s="717">
        <v>1</v>
      </c>
      <c r="C84" s="719" t="s">
        <v>115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720">
        <f>F83*1</f>
        <v>1</v>
      </c>
      <c r="G84" s="360">
        <f ca="1">IF(ISERROR(OFFSET('HARGA SATUAN'!$I$6,MATCH(RAB!C84,'HARGA SATUAN'!$C$7:$C$1492,0),0)),0,OFFSET('HARGA SATUAN'!$I$6,MATCH(RAB!C84,'HARGA SATUAN'!$C$7:$C$1492,0),0))</f>
        <v>11500</v>
      </c>
      <c r="H84" s="361">
        <f t="shared" ca="1" si="52"/>
        <v>0</v>
      </c>
      <c r="I84" s="361">
        <f t="shared" ca="1" si="53"/>
        <v>11500</v>
      </c>
      <c r="J84" s="361">
        <f t="shared" ca="1" si="54"/>
        <v>0</v>
      </c>
      <c r="K84" s="362">
        <f t="shared" ca="1" si="55"/>
        <v>11500</v>
      </c>
    </row>
    <row r="85" spans="2:11">
      <c r="B85" s="717">
        <v>2</v>
      </c>
      <c r="C85" s="719" t="s">
        <v>145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720">
        <f>F83*1</f>
        <v>1</v>
      </c>
      <c r="G85" s="360">
        <f ca="1">IF(ISERROR(OFFSET('HARGA SATUAN'!$I$6,MATCH(RAB!C85,'HARGA SATUAN'!$C$7:$C$1492,0),0)),0,OFFSET('HARGA SATUAN'!$I$6,MATCH(RAB!C85,'HARGA SATUAN'!$C$7:$C$1492,0),0))</f>
        <v>6200</v>
      </c>
      <c r="H85" s="361">
        <f t="shared" ca="1" si="52"/>
        <v>0</v>
      </c>
      <c r="I85" s="361">
        <f t="shared" ca="1" si="53"/>
        <v>6200</v>
      </c>
      <c r="J85" s="361">
        <f t="shared" ca="1" si="54"/>
        <v>0</v>
      </c>
      <c r="K85" s="362">
        <f t="shared" ca="1" si="55"/>
        <v>6200</v>
      </c>
    </row>
    <row r="86" spans="2:11">
      <c r="B86" s="717">
        <v>3</v>
      </c>
      <c r="C86" s="719" t="s">
        <v>587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Btg</v>
      </c>
      <c r="F86" s="720">
        <f>F83*1</f>
        <v>1</v>
      </c>
      <c r="G86" s="360">
        <f ca="1">IF(ISERROR(OFFSET('HARGA SATUAN'!$I$6,MATCH(RAB!C86,'HARGA SATUAN'!$C$7:$C$1492,0),0)),0,OFFSET('HARGA SATUAN'!$I$6,MATCH(RAB!C86,'HARGA SATUAN'!$C$7:$C$1492,0),0))</f>
        <v>45796</v>
      </c>
      <c r="H86" s="361">
        <f t="shared" ca="1" si="52"/>
        <v>0</v>
      </c>
      <c r="I86" s="361">
        <f t="shared" ca="1" si="53"/>
        <v>45796</v>
      </c>
      <c r="J86" s="361">
        <f t="shared" ca="1" si="54"/>
        <v>0</v>
      </c>
      <c r="K86" s="362">
        <f t="shared" ca="1" si="55"/>
        <v>45796</v>
      </c>
    </row>
    <row r="87" spans="2:11">
      <c r="B87" s="717">
        <v>4</v>
      </c>
      <c r="C87" s="719" t="s">
        <v>118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720">
        <f>F83*1</f>
        <v>1</v>
      </c>
      <c r="G87" s="360">
        <f ca="1">IF(ISERROR(OFFSET('HARGA SATUAN'!$I$6,MATCH(RAB!C87,'HARGA SATUAN'!$C$7:$C$1492,0),0)),0,OFFSET('HARGA SATUAN'!$I$6,MATCH(RAB!C87,'HARGA SATUAN'!$C$7:$C$1492,0),0))</f>
        <v>5300</v>
      </c>
      <c r="H87" s="361">
        <f t="shared" ca="1" si="52"/>
        <v>0</v>
      </c>
      <c r="I87" s="361">
        <f t="shared" ca="1" si="53"/>
        <v>5300</v>
      </c>
      <c r="J87" s="361">
        <f t="shared" ca="1" si="54"/>
        <v>0</v>
      </c>
      <c r="K87" s="362">
        <f t="shared" ca="1" si="55"/>
        <v>5300</v>
      </c>
    </row>
    <row r="88" spans="2:11">
      <c r="B88" s="717">
        <v>5</v>
      </c>
      <c r="C88" s="719" t="s">
        <v>117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720">
        <f>F83*1</f>
        <v>1</v>
      </c>
      <c r="G88" s="360">
        <f ca="1">IF(ISERROR(OFFSET('HARGA SATUAN'!$I$6,MATCH(RAB!C88,'HARGA SATUAN'!$C$7:$C$1492,0),0)),0,OFFSET('HARGA SATUAN'!$I$6,MATCH(RAB!C88,'HARGA SATUAN'!$C$7:$C$1492,0),0))</f>
        <v>58600</v>
      </c>
      <c r="H88" s="361">
        <f t="shared" ca="1" si="52"/>
        <v>0</v>
      </c>
      <c r="I88" s="361">
        <f t="shared" ca="1" si="53"/>
        <v>58600</v>
      </c>
      <c r="J88" s="361">
        <f t="shared" ca="1" si="54"/>
        <v>0</v>
      </c>
      <c r="K88" s="362">
        <f t="shared" ca="1" si="55"/>
        <v>58600</v>
      </c>
    </row>
    <row r="89" spans="2:11">
      <c r="B89" s="717">
        <v>6</v>
      </c>
      <c r="C89" s="109" t="s">
        <v>1155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Set</v>
      </c>
      <c r="F89" s="720">
        <f>F83*2</f>
        <v>2</v>
      </c>
      <c r="G89" s="360">
        <f ca="1">IF(ISERROR(OFFSET('HARGA SATUAN'!$I$6,MATCH(RAB!C89,'HARGA SATUAN'!$C$7:$C$1492,0),0)),0,OFFSET('HARGA SATUAN'!$I$6,MATCH(RAB!C89,'HARGA SATUAN'!$C$7:$C$1492,0),0))</f>
        <v>2900</v>
      </c>
      <c r="H89" s="361">
        <f t="shared" ca="1" si="52"/>
        <v>0</v>
      </c>
      <c r="I89" s="361">
        <f t="shared" ca="1" si="53"/>
        <v>5800</v>
      </c>
      <c r="J89" s="361">
        <f t="shared" ca="1" si="54"/>
        <v>0</v>
      </c>
      <c r="K89" s="362">
        <f t="shared" ca="1" si="55"/>
        <v>5800</v>
      </c>
    </row>
    <row r="90" spans="2:11">
      <c r="B90" s="717">
        <v>7</v>
      </c>
      <c r="C90" s="719" t="s">
        <v>119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Set</v>
      </c>
      <c r="F90" s="720">
        <f>F83*4</f>
        <v>4</v>
      </c>
      <c r="G90" s="360">
        <f ca="1">IF(ISERROR(OFFSET('HARGA SATUAN'!$I$6,MATCH(RAB!C90,'HARGA SATUAN'!$C$7:$C$1492,0),0)),0,OFFSET('HARGA SATUAN'!$I$6,MATCH(RAB!C90,'HARGA SATUAN'!$C$7:$C$1492,0),0))</f>
        <v>8900</v>
      </c>
      <c r="H90" s="361">
        <f t="shared" ca="1" si="52"/>
        <v>0</v>
      </c>
      <c r="I90" s="361">
        <f t="shared" ca="1" si="53"/>
        <v>35600</v>
      </c>
      <c r="J90" s="361">
        <f t="shared" ca="1" si="54"/>
        <v>0</v>
      </c>
      <c r="K90" s="362">
        <f t="shared" ca="1" si="55"/>
        <v>35600</v>
      </c>
    </row>
    <row r="91" spans="2:11">
      <c r="B91" s="374"/>
      <c r="C91" s="509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52"/>
        <v>0</v>
      </c>
      <c r="I91" s="361">
        <f t="shared" ca="1" si="53"/>
        <v>0</v>
      </c>
      <c r="J91" s="361">
        <f t="shared" ca="1" si="54"/>
        <v>0</v>
      </c>
      <c r="K91" s="362">
        <f t="shared" ca="1" si="55"/>
        <v>0</v>
      </c>
    </row>
    <row r="92" spans="2:11">
      <c r="B92" s="366" t="s">
        <v>22</v>
      </c>
      <c r="C92" s="367" t="s">
        <v>1617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368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52"/>
        <v>0</v>
      </c>
      <c r="I92" s="361">
        <f t="shared" ca="1" si="53"/>
        <v>0</v>
      </c>
      <c r="J92" s="361">
        <f t="shared" ca="1" si="54"/>
        <v>0</v>
      </c>
      <c r="K92" s="362">
        <f t="shared" ca="1" si="55"/>
        <v>0</v>
      </c>
    </row>
    <row r="93" spans="2:11">
      <c r="B93" s="374"/>
      <c r="C93" s="373"/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368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52"/>
        <v>0</v>
      </c>
      <c r="I93" s="361">
        <f t="shared" ca="1" si="53"/>
        <v>0</v>
      </c>
      <c r="J93" s="361">
        <f t="shared" ca="1" si="54"/>
        <v>0</v>
      </c>
      <c r="K93" s="362">
        <f t="shared" ca="1" si="55"/>
        <v>0</v>
      </c>
    </row>
    <row r="94" spans="2:11">
      <c r="B94" s="375"/>
      <c r="C94" s="376" t="s">
        <v>475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368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52"/>
        <v>0</v>
      </c>
      <c r="I94" s="361">
        <f t="shared" ca="1" si="53"/>
        <v>0</v>
      </c>
      <c r="J94" s="361">
        <f t="shared" ca="1" si="54"/>
        <v>0</v>
      </c>
      <c r="K94" s="362">
        <f t="shared" ca="1" si="55"/>
        <v>0</v>
      </c>
    </row>
    <row r="95" spans="2:11">
      <c r="B95" s="378">
        <v>1</v>
      </c>
      <c r="C95" s="379" t="s">
        <v>1091</v>
      </c>
      <c r="D95" s="380" t="str">
        <f ca="1">IF(ISERROR(OFFSET('HARGA SATUAN'!$D$6,MATCH(RAB!C95,'HARGA SATUAN'!$C$7:$C$1492,0),0)),"",OFFSET('HARGA SATUAN'!$D$6,MATCH(RAB!C95,'HARGA SATUAN'!$C$7:$C$1492,0),0))</f>
        <v>JASA</v>
      </c>
      <c r="E95" s="381" t="str">
        <f ca="1">IF(ISERROR(OFFSET('HARGA SATUAN'!$E$6,MATCH(RAB!C95,'HARGA SATUAN'!$C$7:$C$1492,0),0)),"",OFFSET('HARGA SATUAN'!$E$6,MATCH(RAB!C95,'HARGA SATUAN'!$C$7:$C$1492,0),0))</f>
        <v>Lot</v>
      </c>
      <c r="F95" s="382">
        <v>1</v>
      </c>
      <c r="G95" s="383">
        <f ca="1">IF(ISERROR(OFFSET('HARGA SATUAN'!$I$6,MATCH(RAB!C95,'HARGA SATUAN'!$C$7:$C$1492,0),0)),0,OFFSET('HARGA SATUAN'!$I$6,MATCH(RAB!C95,'HARGA SATUAN'!$C$7:$C$1492,0),0))</f>
        <v>2.5000000000000001E-2</v>
      </c>
      <c r="H95" s="384">
        <f ca="1">SUM(H14:H94)*G95</f>
        <v>548088.75</v>
      </c>
      <c r="I95" s="384">
        <f ca="1">SUM(I14:I94)*G95</f>
        <v>303107.01200000005</v>
      </c>
      <c r="J95" s="384">
        <f ca="1">SUM(J14:J94)*G95</f>
        <v>61036.666666666664</v>
      </c>
      <c r="K95" s="385">
        <f ca="1">SUM(H95:J95)</f>
        <v>912232.42866666673</v>
      </c>
    </row>
    <row r="96" spans="2:11">
      <c r="B96" s="386"/>
      <c r="C96" s="387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IF(ISERROR(OFFSET('HARGA SATUAN'!$E$6,MATCH(RAB!C96,'HARGA SATUAN'!$C$7:$C$1492,0),0)),"",OFFSET('HARGA SATUAN'!$E$6,MATCH(RAB!C96,'HARGA SATUAN'!$C$7:$C$1492,0),0))</f>
        <v/>
      </c>
      <c r="F96" s="377"/>
      <c r="G96" s="360" t="str">
        <f ca="1">IF(ISERROR(OFFSET('HARGA SATUAN'!$I$6,MATCH(RAB!C96,'HARGA SATUAN'!$C$7:$C$1492,0),0)),"",OFFSET('HARGA SATUAN'!$I$6,MATCH(RAB!C96,'HARGA SATUAN'!$C$7:$C$1492,0),0))</f>
        <v/>
      </c>
      <c r="H96" s="361">
        <f ca="1">IF(OR(D96="MDU",D96="MDU-KD"),IF(G96="PLN",0,G96*F96),0)</f>
        <v>0</v>
      </c>
      <c r="I96" s="361">
        <f ca="1">IF(D96="HDW",IF(G96="PLN",0,G96*F96),0)</f>
        <v>0</v>
      </c>
      <c r="J96" s="361">
        <f ca="1">IF(D96="JASA",IF(G96="PLN",0,G96*F96),0)</f>
        <v>0</v>
      </c>
      <c r="K96" s="362">
        <f ca="1">SUM(H96:J96)</f>
        <v>0</v>
      </c>
    </row>
    <row r="97" spans="2:13" ht="15.75" thickBot="1">
      <c r="B97" s="388"/>
      <c r="C97" s="389"/>
      <c r="D97" s="390"/>
      <c r="E97" s="391"/>
      <c r="F97" s="391"/>
      <c r="G97" s="391"/>
      <c r="H97" s="392"/>
      <c r="I97" s="392"/>
      <c r="J97" s="392"/>
      <c r="K97" s="393"/>
    </row>
    <row r="98" spans="2:13">
      <c r="B98" s="394"/>
      <c r="C98" s="638" t="s">
        <v>1008</v>
      </c>
      <c r="D98" s="638"/>
      <c r="E98" s="638"/>
      <c r="F98" s="638"/>
      <c r="G98" s="395" t="s">
        <v>9</v>
      </c>
      <c r="H98" s="396">
        <f ca="1">SUM(H14:H96)</f>
        <v>22471638.75</v>
      </c>
      <c r="I98" s="396">
        <f ca="1">SUM(I14:I96)</f>
        <v>12427387.492000001</v>
      </c>
      <c r="J98" s="396">
        <f ca="1">SUM(J14:J96)</f>
        <v>2502503.333333333</v>
      </c>
      <c r="K98" s="396">
        <f ca="1">SUM(K14:K96)</f>
        <v>37401529.575333335</v>
      </c>
    </row>
    <row r="99" spans="2:13">
      <c r="B99" s="398"/>
      <c r="C99" s="621" t="s">
        <v>1457</v>
      </c>
      <c r="D99" s="621"/>
      <c r="E99" s="621"/>
      <c r="F99" s="621"/>
      <c r="G99" s="399" t="s">
        <v>9</v>
      </c>
      <c r="H99" s="400">
        <f ca="1">H98*0.11</f>
        <v>2471880.2625000002</v>
      </c>
      <c r="I99" s="400">
        <f ca="1">I98*0.11</f>
        <v>1367012.6241200001</v>
      </c>
      <c r="J99" s="400">
        <f ca="1">J98*0.11</f>
        <v>275275.36666666664</v>
      </c>
      <c r="K99" s="400">
        <f ca="1">K98*0.11</f>
        <v>4114168.2532866667</v>
      </c>
    </row>
    <row r="100" spans="2:13" ht="15.75" thickBot="1">
      <c r="B100" s="398"/>
      <c r="C100" s="619" t="s">
        <v>463</v>
      </c>
      <c r="D100" s="619"/>
      <c r="E100" s="619"/>
      <c r="F100" s="619"/>
      <c r="G100" s="401" t="s">
        <v>9</v>
      </c>
      <c r="H100" s="402">
        <f ca="1">SUM(H98:H99)</f>
        <v>24943519.012499999</v>
      </c>
      <c r="I100" s="402">
        <f ca="1">SUM(I98:I99)</f>
        <v>13794400.116120001</v>
      </c>
      <c r="J100" s="401">
        <f ca="1">SUM(J98:J99)</f>
        <v>2777778.6999999997</v>
      </c>
      <c r="K100" s="401">
        <f ca="1">SUM(K98:K99)</f>
        <v>41515697.828620002</v>
      </c>
      <c r="M100" s="484"/>
    </row>
    <row r="101" spans="2:13">
      <c r="B101" s="622" t="str">
        <f ca="1">"Terbilang : "&amp;PROPER(IF(K100=0,"nol",IF(K100&lt;0,"minus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IF(--MID(TEXT(ABS(K100),"000000000000000"),1,3)=0,"",MID(TEXT(ABS(K100),"000000000000000"),1,1)&amp;" ratus "&amp;MID(TEXT(ABS(K100),"000000000000000"),2,1)&amp;" puluh "&amp;MID(TEXT(ABS(K100),"000000000000000"),3,1)&amp;" trilyun ")&amp; IF(--MID(TEXT(ABS(K100),"000000000000000"),4,3)=0,"",MID(TEXT(ABS(K100),"000000000000000"),4,1)&amp;" ratus "&amp;MID(TEXT(ABS(K100),"000000000000000"),5,1)&amp;" puluh "&amp;MID(TEXT(ABS(K100),"000000000000000"),6,1)&amp;" milyar ")&amp; IF(--MID(TEXT(ABS(K100),"000000000000000"),7,3)=0,"",MID(TEXT(ABS(K100),"000000000000000"),7,1)&amp;" ratus "&amp;MID(TEXT(ABS(K100),"000000000000000"),8,1)&amp;" puluh "&amp;MID(TEXT(ABS(K100),"000000000000000"),9,1)&amp;" juta ")&amp; IF(--MID(TEXT(ABS(K100),"000000000000000"),10,3)=0,"",IF(--MID(TEXT(ABS(K100),"000000000000000"),10,3)=1,"*",MID(TEXT(ABS(K100),"000000000000000"),10,1)&amp;" ratus "&amp;MID(TEXT(ABS(K100),"000000000000000"),11,1)&amp;" puluh ")&amp;MID(TEXT(ABS(K100),"000000000000000"),12,1)&amp;" ribu ")&amp; IF(--MID(TEXT(ABS(K100),"000000000000000"),13,3)=0,"",MID(TEXT(ABS(K100),"000000000000000"),13,1)&amp;" ratus "&amp;MID(TEXT(ABS(K100),"000000000000000"),14,1)&amp;" puluh "&amp;MID(TEXT(ABS(K100),"000000000000000"),15,1)),1,"satu"),2,"dua"),3,"tiga"),4,"empat"),5,"lima"),6,"enam"),7,"tujuh"),8,"delapan"),9,"sembilan"),"0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Satu Juta Lima Ratus Lima Belas Ribu Enam Ratus Sembilan Puluh Delapan Rupiah</v>
      </c>
      <c r="C101" s="623"/>
      <c r="D101" s="623"/>
      <c r="E101" s="623"/>
      <c r="F101" s="623"/>
      <c r="G101" s="623"/>
      <c r="H101" s="623"/>
      <c r="I101" s="623"/>
      <c r="J101" s="623"/>
      <c r="K101" s="624"/>
    </row>
    <row r="102" spans="2:13">
      <c r="B102" s="625"/>
      <c r="C102" s="626"/>
      <c r="D102" s="626"/>
      <c r="E102" s="626"/>
      <c r="F102" s="626"/>
      <c r="G102" s="626"/>
      <c r="H102" s="626"/>
      <c r="I102" s="626"/>
      <c r="J102" s="626"/>
      <c r="K102" s="627"/>
    </row>
    <row r="103" spans="2:13" ht="15.75" thickBot="1">
      <c r="B103" s="403" t="str">
        <f>"Harga yang dipakai adalah "&amp;'HARGA SATUAN'!I5&amp;""</f>
        <v>Harga yang dipakai adalah RAB HSS 2023</v>
      </c>
      <c r="C103" s="404"/>
      <c r="D103" s="405"/>
      <c r="E103" s="405"/>
      <c r="F103" s="405"/>
      <c r="G103" s="406"/>
      <c r="H103" s="406"/>
      <c r="I103" s="406"/>
      <c r="J103" s="406"/>
      <c r="K103" s="407"/>
    </row>
    <row r="104" spans="2:13">
      <c r="C104" s="408"/>
      <c r="E104" s="410"/>
      <c r="F104" s="410"/>
      <c r="G104" s="410"/>
    </row>
    <row r="105" spans="2:13">
      <c r="C105" s="337"/>
      <c r="E105" s="410"/>
      <c r="F105" s="410"/>
      <c r="G105" s="410"/>
      <c r="H105" s="628"/>
      <c r="I105" s="628"/>
      <c r="J105" s="629"/>
      <c r="K105" s="629"/>
    </row>
    <row r="106" spans="2:13">
      <c r="C106" s="337"/>
      <c r="E106" s="410"/>
      <c r="F106" s="410"/>
      <c r="G106" s="410"/>
      <c r="H106" s="411"/>
      <c r="I106" s="618" t="s">
        <v>1610</v>
      </c>
      <c r="J106" s="618"/>
      <c r="K106" s="618"/>
    </row>
    <row r="107" spans="2:13">
      <c r="C107" s="337"/>
      <c r="E107" s="410"/>
      <c r="F107" s="410"/>
      <c r="G107" s="410"/>
      <c r="H107" s="411"/>
      <c r="I107" s="618" t="s">
        <v>1546</v>
      </c>
      <c r="J107" s="618"/>
      <c r="K107" s="618"/>
    </row>
    <row r="108" spans="2:13">
      <c r="C108" s="337"/>
      <c r="E108" s="410"/>
      <c r="F108" s="410"/>
      <c r="G108" s="410"/>
      <c r="H108" s="412"/>
      <c r="I108" s="413"/>
      <c r="J108" s="413"/>
      <c r="K108" s="413"/>
    </row>
    <row r="109" spans="2:13">
      <c r="C109" s="337"/>
      <c r="E109" s="410"/>
      <c r="F109" s="410"/>
      <c r="G109" s="410"/>
      <c r="H109" s="412"/>
      <c r="I109" s="412"/>
      <c r="J109" s="412"/>
      <c r="K109" s="412"/>
    </row>
    <row r="110" spans="2:13">
      <c r="C110" s="337"/>
      <c r="E110" s="410"/>
      <c r="F110" s="410"/>
      <c r="G110" s="410"/>
      <c r="H110" s="412"/>
      <c r="I110" s="412"/>
      <c r="J110" s="412"/>
      <c r="K110" s="412"/>
    </row>
    <row r="111" spans="2:13">
      <c r="C111" s="337"/>
      <c r="E111" s="410"/>
      <c r="F111" s="410"/>
      <c r="G111" s="410"/>
      <c r="H111" s="412"/>
      <c r="I111" s="412"/>
      <c r="J111" s="412"/>
      <c r="K111" s="412"/>
    </row>
    <row r="112" spans="2:13">
      <c r="C112" s="337"/>
      <c r="E112" s="410"/>
      <c r="F112" s="410"/>
      <c r="G112" s="410"/>
      <c r="H112" s="414"/>
      <c r="I112" s="618" t="s">
        <v>1547</v>
      </c>
      <c r="J112" s="618"/>
      <c r="K112" s="618"/>
    </row>
    <row r="113" spans="3:11">
      <c r="C113" s="408"/>
      <c r="E113" s="410"/>
      <c r="F113" s="410"/>
      <c r="G113" s="410"/>
      <c r="H113" s="412"/>
      <c r="I113" s="412"/>
      <c r="J113" s="412"/>
      <c r="K113" s="412"/>
    </row>
    <row r="114" spans="3:11">
      <c r="C114" s="408"/>
      <c r="E114" s="410"/>
      <c r="F114" s="410"/>
      <c r="G114" s="410"/>
      <c r="H114" s="412"/>
      <c r="I114" s="412"/>
      <c r="J114" s="412"/>
      <c r="K114" s="412"/>
    </row>
    <row r="115" spans="3:11">
      <c r="C115" s="408"/>
      <c r="E115" s="410"/>
      <c r="F115" s="410"/>
      <c r="G115" s="410"/>
      <c r="H115" s="412"/>
      <c r="I115" s="412"/>
      <c r="J115" s="412"/>
      <c r="K115" s="412"/>
    </row>
  </sheetData>
  <sheetProtection sort="0" autoFilter="0"/>
  <protectedRanges>
    <protectedRange sqref="B93 B76:B91" name="Range1_1"/>
    <protectedRange sqref="F75:F94 F40:F42 F49 F14:F38" name="Range1_1_2_2"/>
    <protectedRange sqref="C93 C76:C77 C81:C91 C79" name="Range1_1_1"/>
    <protectedRange sqref="B63 B52:C53 B58 B74:C75 B54 B51 B42:C42 B55:C57 B59:C62 B49:C50" name="Range1_6_2"/>
    <protectedRange sqref="C63" name="Range1_1_3_2"/>
    <protectedRange sqref="C58" name="Range1_1_3_3"/>
    <protectedRange sqref="C54" name="Range1_1_3_10"/>
    <protectedRange sqref="C80" name="Range1_1_3_13"/>
    <protectedRange sqref="C17" name="Range1_1_3_14"/>
    <protectedRange sqref="C18:C20" name="Range1_1_3"/>
    <protectedRange sqref="C39" name="Range1_1_3_5"/>
    <protectedRange sqref="C78" name="Range1_1_3_4"/>
    <protectedRange sqref="C38 C47" name="Range1_1_3_7"/>
    <protectedRange sqref="C51" name="Range1_1_3_8"/>
  </protectedRanges>
  <mergeCells count="22">
    <mergeCell ref="O3:P4"/>
    <mergeCell ref="B4:K4"/>
    <mergeCell ref="C98:F98"/>
    <mergeCell ref="B11:B13"/>
    <mergeCell ref="C11:C13"/>
    <mergeCell ref="D11:D13"/>
    <mergeCell ref="E11:E13"/>
    <mergeCell ref="F11:F13"/>
    <mergeCell ref="G11:G13"/>
    <mergeCell ref="I12:I13"/>
    <mergeCell ref="I107:K107"/>
    <mergeCell ref="I112:K112"/>
    <mergeCell ref="C100:F100"/>
    <mergeCell ref="G6:K6"/>
    <mergeCell ref="I106:K106"/>
    <mergeCell ref="C99:F99"/>
    <mergeCell ref="B101:K102"/>
    <mergeCell ref="H105:K105"/>
    <mergeCell ref="H11:K11"/>
    <mergeCell ref="H12:H13"/>
    <mergeCell ref="J12:J13"/>
    <mergeCell ref="K12:K13"/>
  </mergeCells>
  <phoneticPr fontId="140" type="noConversion"/>
  <conditionalFormatting sqref="C15 C17:C21 C63">
    <cfRule type="cellIs" dxfId="21" priority="505" operator="equal">
      <formula>0</formula>
    </cfRule>
  </conditionalFormatting>
  <conditionalFormatting sqref="C39">
    <cfRule type="cellIs" dxfId="20" priority="23" operator="equal">
      <formula>0</formula>
    </cfRule>
  </conditionalFormatting>
  <conditionalFormatting sqref="C41">
    <cfRule type="cellIs" dxfId="19" priority="130" operator="equal">
      <formula>0</formula>
    </cfRule>
  </conditionalFormatting>
  <conditionalFormatting sqref="C92">
    <cfRule type="cellIs" dxfId="14" priority="128" operator="equal">
      <formula>0</formula>
    </cfRule>
  </conditionalFormatting>
  <conditionalFormatting sqref="D39:F39">
    <cfRule type="cellIs" dxfId="13" priority="31" operator="equal">
      <formula>0</formula>
    </cfRule>
  </conditionalFormatting>
  <conditionalFormatting sqref="E1:E3 G1:G13 E5:E13 H12:I12 O13 S14:V21 E14:K28 G29:K41 E40:F41 E42:K42 E95:G95 H95:K97 E96:H96 E97:F97 E43:E62 G43:K62">
    <cfRule type="cellIs" dxfId="12" priority="1085" stopIfTrue="1" operator="equal">
      <formula>0</formula>
    </cfRule>
  </conditionalFormatting>
  <conditionalFormatting sqref="E29:F38">
    <cfRule type="cellIs" dxfId="11" priority="9" stopIfTrue="1" operator="equal">
      <formula>0</formula>
    </cfRule>
  </conditionalFormatting>
  <conditionalFormatting sqref="E63:K82 E91:K94 E83:E90 G83:K90">
    <cfRule type="cellIs" dxfId="10" priority="18" stopIfTrue="1" operator="equal">
      <formula>0</formula>
    </cfRule>
  </conditionalFormatting>
  <conditionalFormatting sqref="G96:G65562 E101:E65562">
    <cfRule type="cellIs" dxfId="8" priority="219" stopIfTrue="1" operator="equal">
      <formula>0</formula>
    </cfRule>
  </conditionalFormatting>
  <conditionalFormatting sqref="C38">
    <cfRule type="cellIs" dxfId="7" priority="8" operator="equal">
      <formula>0</formula>
    </cfRule>
  </conditionalFormatting>
  <conditionalFormatting sqref="C48">
    <cfRule type="cellIs" dxfId="6" priority="7" operator="equal">
      <formula>0</formula>
    </cfRule>
  </conditionalFormatting>
  <conditionalFormatting sqref="F43:F62">
    <cfRule type="cellIs" dxfId="5" priority="6" stopIfTrue="1" operator="equal">
      <formula>0</formula>
    </cfRule>
  </conditionalFormatting>
  <conditionalFormatting sqref="C47">
    <cfRule type="cellIs" dxfId="4" priority="5" operator="equal">
      <formula>0</formula>
    </cfRule>
  </conditionalFormatting>
  <conditionalFormatting sqref="C51">
    <cfRule type="cellIs" dxfId="3" priority="4" operator="equal">
      <formula>0</formula>
    </cfRule>
  </conditionalFormatting>
  <conditionalFormatting sqref="C78">
    <cfRule type="cellIs" dxfId="2" priority="3" operator="equal">
      <formula>0</formula>
    </cfRule>
  </conditionalFormatting>
  <conditionalFormatting sqref="C89">
    <cfRule type="cellIs" dxfId="1" priority="2" operator="equal">
      <formula>0</formula>
    </cfRule>
  </conditionalFormatting>
  <conditionalFormatting sqref="F83:F90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H14:K97 F23:F38 F40:F74 C45:C4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9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13" zoomScale="145" zoomScaleNormal="115" zoomScaleSheetLayoutView="145" workbookViewId="0">
      <selection activeCell="S32" sqref="S3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1" t="s">
        <v>1439</v>
      </c>
      <c r="X2" s="702"/>
      <c r="Y2" s="702"/>
      <c r="Z2" s="702"/>
      <c r="AA2" s="702"/>
      <c r="AB2" s="702"/>
      <c r="AC2" s="702"/>
      <c r="AD2" s="703"/>
    </row>
    <row r="3" spans="3:30">
      <c r="C3" s="238"/>
      <c r="W3" s="704"/>
      <c r="X3" s="705"/>
      <c r="Y3" s="705"/>
      <c r="Z3" s="705"/>
      <c r="AA3" s="705"/>
      <c r="AB3" s="705"/>
      <c r="AC3" s="705"/>
      <c r="AD3" s="70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90" t="str">
        <f>PETA!C6</f>
        <v>KOORDINAT : -6.869605, 110.527378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99"/>
      <c r="Y19" s="699"/>
      <c r="Z19" s="699"/>
      <c r="AA19" s="699"/>
      <c r="AB19" s="699"/>
      <c r="AC19" s="699"/>
      <c r="AD19" s="700"/>
    </row>
    <row r="20" spans="3:30">
      <c r="C20" s="238"/>
      <c r="O20" s="235" t="s">
        <v>1631</v>
      </c>
      <c r="W20" s="686" t="s">
        <v>992</v>
      </c>
      <c r="X20" s="687"/>
      <c r="Y20" s="687"/>
      <c r="Z20" s="687"/>
      <c r="AA20" s="687"/>
      <c r="AB20" s="687"/>
      <c r="AC20" s="687"/>
      <c r="AD20" s="688"/>
    </row>
    <row r="21" spans="3:30">
      <c r="C21" s="238"/>
      <c r="O21" s="235" t="s">
        <v>1632</v>
      </c>
      <c r="W21" s="689" t="s">
        <v>985</v>
      </c>
      <c r="X21" s="690"/>
      <c r="Y21" s="690"/>
      <c r="Z21" s="691"/>
      <c r="AA21" s="692" t="s">
        <v>986</v>
      </c>
      <c r="AB21" s="693"/>
      <c r="AC21" s="693"/>
      <c r="AD21" s="694"/>
    </row>
    <row r="22" spans="3:30">
      <c r="C22" s="238"/>
      <c r="O22" s="235" t="s">
        <v>1633</v>
      </c>
      <c r="W22" s="695" t="s">
        <v>1626</v>
      </c>
      <c r="X22" s="696"/>
      <c r="Y22" s="492">
        <v>3</v>
      </c>
      <c r="Z22" s="493"/>
      <c r="AA22" s="697"/>
      <c r="AB22" s="698"/>
      <c r="AC22" s="248"/>
      <c r="AD22" s="249"/>
    </row>
    <row r="23" spans="3:30">
      <c r="C23" s="238"/>
      <c r="O23" s="235" t="s">
        <v>1634</v>
      </c>
      <c r="W23" s="695"/>
      <c r="X23" s="696"/>
      <c r="Y23" s="492"/>
      <c r="Z23" s="493"/>
      <c r="AA23" s="684"/>
      <c r="AB23" s="685"/>
      <c r="AC23" s="248"/>
      <c r="AD23" s="249"/>
    </row>
    <row r="24" spans="3:30">
      <c r="C24" s="238"/>
      <c r="O24" s="235" t="s">
        <v>1635</v>
      </c>
      <c r="W24" s="679" t="s">
        <v>1627</v>
      </c>
      <c r="X24" s="681"/>
      <c r="Y24" s="246">
        <v>1</v>
      </c>
      <c r="Z24" s="247"/>
      <c r="AA24" s="682"/>
      <c r="AB24" s="683"/>
      <c r="AC24" s="248"/>
      <c r="AD24" s="249"/>
    </row>
    <row r="25" spans="3:30">
      <c r="C25" s="238"/>
      <c r="O25" s="235" t="s">
        <v>1636</v>
      </c>
      <c r="W25" s="679" t="s">
        <v>1619</v>
      </c>
      <c r="X25" s="681"/>
      <c r="Y25" s="246">
        <v>2</v>
      </c>
      <c r="Z25" s="247"/>
      <c r="AA25" s="684"/>
      <c r="AB25" s="685"/>
      <c r="AC25" s="248"/>
      <c r="AD25" s="249"/>
    </row>
    <row r="26" spans="3:30">
      <c r="C26" s="238"/>
      <c r="O26" s="235" t="s">
        <v>1637</v>
      </c>
      <c r="W26" s="480" t="s">
        <v>1625</v>
      </c>
      <c r="X26" s="481"/>
      <c r="Y26" s="246">
        <v>1</v>
      </c>
      <c r="Z26" s="247"/>
      <c r="AA26" s="684"/>
      <c r="AB26" s="685"/>
      <c r="AC26" s="248"/>
      <c r="AD26" s="249"/>
    </row>
    <row r="27" spans="3:30">
      <c r="C27" s="238"/>
      <c r="W27" s="480" t="s">
        <v>1623</v>
      </c>
      <c r="X27" s="481"/>
      <c r="Y27" s="246">
        <v>2</v>
      </c>
      <c r="Z27" s="247"/>
      <c r="AA27" s="678"/>
      <c r="AB27" s="673"/>
      <c r="AC27" s="248"/>
      <c r="AD27" s="249"/>
    </row>
    <row r="28" spans="3:30">
      <c r="C28" s="238"/>
      <c r="W28" s="480"/>
      <c r="X28" s="481"/>
      <c r="Y28" s="246"/>
      <c r="Z28" s="247"/>
      <c r="AA28" s="678"/>
      <c r="AB28" s="673"/>
      <c r="AC28" s="248"/>
      <c r="AD28" s="249"/>
    </row>
    <row r="29" spans="3:30">
      <c r="C29" s="238"/>
      <c r="W29" s="480"/>
      <c r="X29" s="481"/>
      <c r="Y29" s="246"/>
      <c r="Z29" s="247"/>
      <c r="AA29" s="678"/>
      <c r="AB29" s="673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8"/>
      <c r="AB30" s="673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8"/>
      <c r="AB31" s="673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8"/>
      <c r="AB32" s="673"/>
      <c r="AC32" s="248"/>
      <c r="AD32" s="249"/>
    </row>
    <row r="33" spans="3:30">
      <c r="C33" s="238"/>
      <c r="W33" s="480"/>
      <c r="X33" s="481"/>
      <c r="Y33" s="246"/>
      <c r="Z33" s="247"/>
      <c r="AA33" s="678"/>
      <c r="AB33" s="673"/>
      <c r="AC33" s="248"/>
      <c r="AD33" s="249"/>
    </row>
    <row r="34" spans="3:30">
      <c r="C34" s="238"/>
      <c r="W34" s="480"/>
      <c r="X34" s="481"/>
      <c r="Y34" s="246"/>
      <c r="Z34" s="247"/>
      <c r="AA34" s="678"/>
      <c r="AB34" s="673"/>
      <c r="AC34" s="248"/>
      <c r="AD34" s="249"/>
    </row>
    <row r="35" spans="3:30">
      <c r="C35" s="238"/>
      <c r="W35" s="679"/>
      <c r="X35" s="680"/>
      <c r="Y35" s="246"/>
      <c r="Z35" s="247"/>
      <c r="AA35" s="678"/>
      <c r="AB35" s="673"/>
      <c r="AC35" s="248"/>
      <c r="AD35" s="249"/>
    </row>
    <row r="36" spans="3:30">
      <c r="C36" s="238"/>
      <c r="W36" s="670"/>
      <c r="X36" s="671"/>
      <c r="Y36" s="246"/>
      <c r="Z36" s="251"/>
      <c r="AA36" s="672"/>
      <c r="AB36" s="673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7"/>
      <c r="W39" s="674"/>
      <c r="X39" s="675"/>
      <c r="Y39" s="254"/>
      <c r="Z39" s="257"/>
      <c r="AA39" s="666"/>
      <c r="AB39" s="667"/>
      <c r="AC39" s="252"/>
      <c r="AD39" s="253"/>
    </row>
    <row r="40" spans="3:30" ht="12" customHeight="1">
      <c r="C40" s="238"/>
      <c r="D40" s="517"/>
      <c r="W40" s="662"/>
      <c r="X40" s="663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7"/>
      <c r="W41" s="664"/>
      <c r="X41" s="665"/>
      <c r="Y41" s="260"/>
      <c r="Z41" s="261"/>
      <c r="AA41" s="666"/>
      <c r="AB41" s="667"/>
      <c r="AC41" s="252"/>
      <c r="AD41" s="253"/>
    </row>
    <row r="42" spans="3:30" ht="12" customHeight="1">
      <c r="C42" s="238"/>
      <c r="D42" s="517"/>
      <c r="W42" s="668" t="s">
        <v>1456</v>
      </c>
      <c r="X42" s="669"/>
      <c r="Y42" s="669"/>
      <c r="Z42" s="669"/>
      <c r="AA42" s="262"/>
      <c r="AB42" s="262"/>
      <c r="AC42" s="262"/>
      <c r="AD42" s="263"/>
    </row>
    <row r="43" spans="3:30" ht="12" customHeight="1">
      <c r="C43" s="238"/>
      <c r="D43" s="517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7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7" t="s">
        <v>11</v>
      </c>
      <c r="X44" s="648"/>
      <c r="Y44" s="650"/>
      <c r="Z44" s="650"/>
      <c r="AA44" s="650"/>
      <c r="AB44" s="650"/>
      <c r="AC44" s="650"/>
      <c r="AD44" s="651"/>
    </row>
    <row r="45" spans="3:30">
      <c r="C45" s="268"/>
      <c r="D45" s="517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7" t="s">
        <v>984</v>
      </c>
      <c r="X45" s="648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7" t="s">
        <v>15</v>
      </c>
      <c r="X46" s="648"/>
      <c r="Y46" s="661"/>
      <c r="Z46" s="661"/>
      <c r="AA46" s="661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7" t="str">
        <f>RAB!G6</f>
        <v>TSEL MTEL SURODADI SAYUNG</v>
      </c>
      <c r="X48" s="657"/>
      <c r="Y48" s="657"/>
      <c r="Z48" s="657"/>
      <c r="AA48" s="657"/>
      <c r="AB48" s="657"/>
      <c r="AC48" s="657"/>
      <c r="AD48" s="65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7" t="s">
        <v>18</v>
      </c>
      <c r="X52" s="648"/>
      <c r="Y52" s="650" t="s">
        <v>1549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7" t="s">
        <v>19</v>
      </c>
      <c r="X53" s="648"/>
      <c r="Y53" s="650" t="s">
        <v>1549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7" t="s">
        <v>20</v>
      </c>
      <c r="X54" s="648"/>
      <c r="Y54" s="649" t="s">
        <v>1550</v>
      </c>
      <c r="Z54" s="649"/>
      <c r="AA54" s="649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2" t="s">
        <v>21</v>
      </c>
      <c r="X55" s="653"/>
      <c r="Y55" s="649" t="s">
        <v>1551</v>
      </c>
      <c r="Z55" s="649"/>
      <c r="AA55" s="649"/>
      <c r="AB55" s="649"/>
      <c r="AC55" s="649"/>
      <c r="AD55" s="654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Q26" sqref="Q2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7" t="s">
        <v>1528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17"/>
      <c r="AE4" s="216"/>
      <c r="AF4" s="216"/>
    </row>
    <row r="5" spans="2:32" ht="13.5" customHeight="1">
      <c r="B5" s="215"/>
      <c r="C5" s="215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17"/>
      <c r="AE5" s="216"/>
      <c r="AF5" s="216"/>
    </row>
    <row r="6" spans="2:32" ht="12.75" customHeight="1">
      <c r="B6" s="215"/>
      <c r="C6" s="215"/>
      <c r="D6" s="710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2"/>
      <c r="AE6" s="216"/>
      <c r="AF6" s="216"/>
    </row>
    <row r="7" spans="2:32" ht="12.75" customHeight="1" thickBot="1">
      <c r="B7" s="215"/>
      <c r="C7" s="215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  <c r="AA7" s="714"/>
      <c r="AB7" s="714"/>
      <c r="AC7" s="71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U45" sqref="U44:U45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1" t="s">
        <v>1527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6" t="s">
        <v>1630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28"/>
      <c r="Z6" s="428"/>
      <c r="AA6" s="428"/>
      <c r="AB6" s="429"/>
      <c r="AC6" s="429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2024-03-15T02:49:43Z</dcterms:modified>
</cp:coreProperties>
</file>