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F667313B-729E-4036-92E0-D4531C38F1BF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3" i="11" l="1"/>
  <c r="F42" i="11"/>
  <c r="F41" i="11"/>
  <c r="F40" i="11"/>
  <c r="F39" i="11"/>
  <c r="G37" i="11"/>
  <c r="G38" i="11"/>
  <c r="G39" i="11"/>
  <c r="G40" i="11"/>
  <c r="G41" i="11"/>
  <c r="G42" i="11"/>
  <c r="G43" i="11"/>
  <c r="G44" i="11"/>
  <c r="G45" i="11"/>
  <c r="G46" i="11"/>
  <c r="G47" i="11"/>
  <c r="H47" i="11"/>
  <c r="I47" i="11"/>
  <c r="G48" i="11"/>
  <c r="G49" i="11"/>
  <c r="D37" i="11"/>
  <c r="H37" i="11" s="1"/>
  <c r="E37" i="11"/>
  <c r="D38" i="11"/>
  <c r="J38" i="11" s="1"/>
  <c r="E38" i="11"/>
  <c r="D39" i="11"/>
  <c r="I39" i="11" s="1"/>
  <c r="E39" i="11"/>
  <c r="D40" i="11"/>
  <c r="H40" i="11" s="1"/>
  <c r="E40" i="11"/>
  <c r="D41" i="11"/>
  <c r="H41" i="11" s="1"/>
  <c r="E41" i="11"/>
  <c r="D42" i="11"/>
  <c r="J42" i="11" s="1"/>
  <c r="E42" i="11"/>
  <c r="D43" i="11"/>
  <c r="I43" i="11" s="1"/>
  <c r="E43" i="11"/>
  <c r="D44" i="11"/>
  <c r="I44" i="11" s="1"/>
  <c r="E44" i="11"/>
  <c r="D45" i="11"/>
  <c r="H45" i="11" s="1"/>
  <c r="E45" i="11"/>
  <c r="D46" i="11"/>
  <c r="H46" i="11" s="1"/>
  <c r="E46" i="11"/>
  <c r="G18" i="11"/>
  <c r="G19" i="11"/>
  <c r="D18" i="11"/>
  <c r="H18" i="11" s="1"/>
  <c r="E18" i="11"/>
  <c r="D19" i="11"/>
  <c r="I19" i="11" s="1"/>
  <c r="E19" i="11"/>
  <c r="F36" i="11"/>
  <c r="F35" i="11"/>
  <c r="F34" i="11"/>
  <c r="F33" i="11"/>
  <c r="F32" i="11"/>
  <c r="F29" i="11"/>
  <c r="F28" i="11"/>
  <c r="F27" i="11"/>
  <c r="F26" i="11"/>
  <c r="F25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E36" i="11"/>
  <c r="G36" i="11"/>
  <c r="G17" i="11"/>
  <c r="D17" i="11"/>
  <c r="H17" i="11" s="1"/>
  <c r="E17" i="11"/>
  <c r="I38" i="11" l="1"/>
  <c r="H44" i="11"/>
  <c r="J46" i="11"/>
  <c r="I42" i="11"/>
  <c r="H39" i="11"/>
  <c r="J37" i="11"/>
  <c r="H43" i="11"/>
  <c r="J41" i="11"/>
  <c r="I46" i="11"/>
  <c r="J45" i="11"/>
  <c r="H42" i="11"/>
  <c r="I41" i="11"/>
  <c r="J40" i="11"/>
  <c r="H38" i="11"/>
  <c r="I37" i="11"/>
  <c r="I45" i="11"/>
  <c r="J44" i="11"/>
  <c r="J43" i="11"/>
  <c r="I40" i="11"/>
  <c r="J39" i="11"/>
  <c r="J19" i="11"/>
  <c r="H19" i="11"/>
  <c r="J18" i="11"/>
  <c r="I18" i="11"/>
  <c r="I27" i="11"/>
  <c r="J25" i="11"/>
  <c r="I25" i="11"/>
  <c r="I31" i="11"/>
  <c r="I35" i="11"/>
  <c r="J29" i="11"/>
  <c r="I23" i="11"/>
  <c r="H23" i="11"/>
  <c r="H35" i="11"/>
  <c r="I34" i="11"/>
  <c r="J33" i="11"/>
  <c r="H31" i="11"/>
  <c r="I30" i="11"/>
  <c r="I33" i="11"/>
  <c r="I29" i="11"/>
  <c r="H27" i="11"/>
  <c r="I26" i="11"/>
  <c r="J36" i="11"/>
  <c r="I36" i="11"/>
  <c r="I32" i="11"/>
  <c r="I28" i="11"/>
  <c r="I24" i="11"/>
  <c r="H36" i="11"/>
  <c r="J34" i="11"/>
  <c r="H32" i="11"/>
  <c r="J30" i="11"/>
  <c r="H28" i="11"/>
  <c r="J26" i="11"/>
  <c r="H24" i="11"/>
  <c r="J17" i="11"/>
  <c r="I17" i="11"/>
  <c r="F56" i="11"/>
  <c r="F55" i="11"/>
  <c r="F54" i="11"/>
  <c r="F53" i="11"/>
  <c r="F52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E56" i="11"/>
  <c r="G56" i="11"/>
  <c r="D57" i="11"/>
  <c r="H57" i="11" s="1"/>
  <c r="E57" i="11"/>
  <c r="G57" i="11"/>
  <c r="F89" i="11"/>
  <c r="F88" i="11"/>
  <c r="F87" i="11"/>
  <c r="F86" i="11"/>
  <c r="F98" i="11"/>
  <c r="F97" i="11"/>
  <c r="F96" i="11"/>
  <c r="F95" i="11"/>
  <c r="F94" i="11"/>
  <c r="F93" i="11"/>
  <c r="F92" i="11"/>
  <c r="F70" i="11"/>
  <c r="F69" i="11"/>
  <c r="F68" i="11"/>
  <c r="F67" i="11"/>
  <c r="F66" i="11"/>
  <c r="F65" i="11"/>
  <c r="F64" i="11"/>
  <c r="F63" i="11"/>
  <c r="F62" i="11"/>
  <c r="F61" i="11"/>
  <c r="F59" i="11"/>
  <c r="K37" i="11" l="1"/>
  <c r="K44" i="11"/>
  <c r="K38" i="11"/>
  <c r="K46" i="11"/>
  <c r="K40" i="11"/>
  <c r="K43" i="11"/>
  <c r="K42" i="11"/>
  <c r="K39" i="11"/>
  <c r="K45" i="11"/>
  <c r="K41" i="11"/>
  <c r="K18" i="11"/>
  <c r="K19" i="11"/>
  <c r="K25" i="11"/>
  <c r="K27" i="11"/>
  <c r="K29" i="11"/>
  <c r="K31" i="11"/>
  <c r="K23" i="11"/>
  <c r="K34" i="11"/>
  <c r="K35" i="11"/>
  <c r="K33" i="11"/>
  <c r="K30" i="11"/>
  <c r="K24" i="11"/>
  <c r="K26" i="11"/>
  <c r="K28" i="11"/>
  <c r="K36" i="11"/>
  <c r="K32" i="11"/>
  <c r="K17" i="11"/>
  <c r="H55" i="11"/>
  <c r="I54" i="11"/>
  <c r="J53" i="11"/>
  <c r="J56" i="11"/>
  <c r="I51" i="11"/>
  <c r="I57" i="11"/>
  <c r="I55" i="11"/>
  <c r="I53" i="11"/>
  <c r="H51" i="11"/>
  <c r="I56" i="11"/>
  <c r="I52" i="11"/>
  <c r="J57" i="11"/>
  <c r="H56" i="11"/>
  <c r="J54" i="11"/>
  <c r="H52" i="11"/>
  <c r="K52" i="11" s="1"/>
  <c r="K53" i="11" l="1"/>
  <c r="K51" i="11"/>
  <c r="K55" i="11"/>
  <c r="K54" i="11"/>
  <c r="K56" i="11"/>
  <c r="K57" i="11"/>
  <c r="G90" i="11" l="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D90" i="11"/>
  <c r="H90" i="11" s="1"/>
  <c r="E90" i="11"/>
  <c r="D91" i="11"/>
  <c r="J91" i="11" s="1"/>
  <c r="E91" i="11"/>
  <c r="D92" i="11"/>
  <c r="E92" i="11"/>
  <c r="D93" i="11"/>
  <c r="H93" i="11" s="1"/>
  <c r="E93" i="11"/>
  <c r="D94" i="11"/>
  <c r="H94" i="11" s="1"/>
  <c r="E94" i="11"/>
  <c r="D95" i="11"/>
  <c r="J95" i="11" s="1"/>
  <c r="E95" i="11"/>
  <c r="D96" i="11"/>
  <c r="E96" i="11"/>
  <c r="D97" i="11"/>
  <c r="H97" i="11" s="1"/>
  <c r="E97" i="11"/>
  <c r="D98" i="11"/>
  <c r="H98" i="11" s="1"/>
  <c r="E98" i="11"/>
  <c r="D99" i="11"/>
  <c r="J99" i="11" s="1"/>
  <c r="E99" i="11"/>
  <c r="D100" i="11"/>
  <c r="J100" i="11" s="1"/>
  <c r="E100" i="11"/>
  <c r="D101" i="11"/>
  <c r="I101" i="11" s="1"/>
  <c r="E101" i="11"/>
  <c r="D102" i="11"/>
  <c r="H102" i="11" s="1"/>
  <c r="E102" i="11"/>
  <c r="D48" i="11"/>
  <c r="E48" i="11"/>
  <c r="D49" i="11"/>
  <c r="E49" i="11"/>
  <c r="D50" i="11"/>
  <c r="J50" i="11" s="1"/>
  <c r="E50" i="11"/>
  <c r="G50" i="11"/>
  <c r="F47" i="11"/>
  <c r="J47" i="11" s="1"/>
  <c r="K47" i="11" s="1"/>
  <c r="I48" i="11" l="1"/>
  <c r="J48" i="11"/>
  <c r="H48" i="11"/>
  <c r="H49" i="11"/>
  <c r="I49" i="11"/>
  <c r="J49" i="11"/>
  <c r="I96" i="11"/>
  <c r="I92" i="11"/>
  <c r="I98" i="11"/>
  <c r="J90" i="11"/>
  <c r="H101" i="11"/>
  <c r="J94" i="11"/>
  <c r="H92" i="11"/>
  <c r="I90" i="11"/>
  <c r="J98" i="11"/>
  <c r="H96" i="11"/>
  <c r="I94" i="11"/>
  <c r="I100" i="11"/>
  <c r="I99" i="11"/>
  <c r="I95" i="11"/>
  <c r="I91" i="11"/>
  <c r="J102" i="11"/>
  <c r="H100" i="11"/>
  <c r="H99" i="11"/>
  <c r="J97" i="11"/>
  <c r="H95" i="11"/>
  <c r="J93" i="11"/>
  <c r="H91" i="11"/>
  <c r="I102" i="11"/>
  <c r="J101" i="11"/>
  <c r="I97" i="11"/>
  <c r="J96" i="11"/>
  <c r="I93" i="11"/>
  <c r="J92" i="11"/>
  <c r="I50" i="11"/>
  <c r="H50" i="11"/>
  <c r="K49" i="11" l="1"/>
  <c r="K48" i="11"/>
  <c r="K99" i="11"/>
  <c r="K94" i="11"/>
  <c r="K96" i="11"/>
  <c r="K93" i="11"/>
  <c r="K102" i="11"/>
  <c r="K91" i="11"/>
  <c r="K100" i="11"/>
  <c r="K98" i="11"/>
  <c r="K97" i="11"/>
  <c r="K92" i="11"/>
  <c r="K90" i="11"/>
  <c r="K101" i="11"/>
  <c r="K95" i="11"/>
  <c r="K50" i="11"/>
  <c r="D84" i="11" l="1"/>
  <c r="D85" i="11"/>
  <c r="D86" i="11"/>
  <c r="D87" i="11"/>
  <c r="D88" i="11"/>
  <c r="D89" i="11"/>
  <c r="D20" i="11"/>
  <c r="J20" i="11" s="1"/>
  <c r="E20" i="11"/>
  <c r="G20" i="11"/>
  <c r="D22" i="11"/>
  <c r="H22" i="11" s="1"/>
  <c r="E22" i="11"/>
  <c r="G22" i="11"/>
  <c r="E7" i="64"/>
  <c r="D15" i="11"/>
  <c r="J15" i="11" s="1"/>
  <c r="E15" i="11"/>
  <c r="G15" i="11"/>
  <c r="D16" i="11"/>
  <c r="J16" i="11" s="1"/>
  <c r="E16" i="11"/>
  <c r="G16" i="11"/>
  <c r="G71" i="11"/>
  <c r="D71" i="11"/>
  <c r="J71" i="11" s="1"/>
  <c r="E71" i="11"/>
  <c r="J22" i="11" l="1"/>
  <c r="I22" i="11"/>
  <c r="I20" i="11"/>
  <c r="H20" i="11"/>
  <c r="I15" i="11"/>
  <c r="H15" i="11"/>
  <c r="I16" i="11"/>
  <c r="H16" i="11"/>
  <c r="I71" i="11"/>
  <c r="H71" i="11"/>
  <c r="K22" i="11" l="1"/>
  <c r="K20" i="11"/>
  <c r="K15" i="11"/>
  <c r="K71" i="11"/>
  <c r="K16" i="11"/>
  <c r="F81" i="11" l="1"/>
  <c r="F80" i="11"/>
  <c r="F79" i="11"/>
  <c r="F78" i="11"/>
  <c r="F77" i="11"/>
  <c r="F76" i="11"/>
  <c r="F75" i="11"/>
  <c r="F74" i="11"/>
  <c r="F73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J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E81" i="11"/>
  <c r="G81" i="11"/>
  <c r="D82" i="11"/>
  <c r="J82" i="11" s="1"/>
  <c r="E82" i="11"/>
  <c r="G82" i="11"/>
  <c r="D58" i="11"/>
  <c r="J58" i="11" s="1"/>
  <c r="E58" i="11"/>
  <c r="G58" i="11"/>
  <c r="D59" i="11"/>
  <c r="I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E63" i="11"/>
  <c r="G63" i="11"/>
  <c r="D64" i="11"/>
  <c r="J64" i="11" s="1"/>
  <c r="E64" i="11"/>
  <c r="G64" i="11"/>
  <c r="D65" i="11"/>
  <c r="J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E70" i="11"/>
  <c r="G70" i="11"/>
  <c r="G6" i="11"/>
  <c r="D83" i="11"/>
  <c r="J83" i="11" s="1"/>
  <c r="E83" i="11"/>
  <c r="G83" i="11"/>
  <c r="H84" i="11"/>
  <c r="E84" i="11"/>
  <c r="G84" i="11"/>
  <c r="E85" i="11"/>
  <c r="G85" i="11"/>
  <c r="J86" i="11"/>
  <c r="E86" i="11"/>
  <c r="G86" i="11"/>
  <c r="J87" i="11"/>
  <c r="E87" i="11"/>
  <c r="G87" i="11"/>
  <c r="E88" i="11"/>
  <c r="G88" i="11"/>
  <c r="H89" i="11"/>
  <c r="E89" i="11"/>
  <c r="G89" i="11"/>
  <c r="D20" i="60"/>
  <c r="I63" i="11" l="1"/>
  <c r="J70" i="11"/>
  <c r="J81" i="11"/>
  <c r="J80" i="11"/>
  <c r="J72" i="11"/>
  <c r="I76" i="11"/>
  <c r="I72" i="11"/>
  <c r="I78" i="11"/>
  <c r="H78" i="11"/>
  <c r="H74" i="11"/>
  <c r="I74" i="11"/>
  <c r="I82" i="11"/>
  <c r="I80" i="11"/>
  <c r="I79" i="11"/>
  <c r="J59" i="11"/>
  <c r="H82" i="11"/>
  <c r="H76" i="11"/>
  <c r="I75" i="11"/>
  <c r="I81" i="11"/>
  <c r="H81" i="11"/>
  <c r="J79" i="11"/>
  <c r="H77" i="11"/>
  <c r="J75" i="11"/>
  <c r="H73" i="11"/>
  <c r="I77" i="11"/>
  <c r="I73" i="11"/>
  <c r="I67" i="11"/>
  <c r="J63" i="11"/>
  <c r="H63" i="11"/>
  <c r="H67" i="11"/>
  <c r="J68" i="11"/>
  <c r="H64" i="11"/>
  <c r="I61" i="11"/>
  <c r="I60" i="11"/>
  <c r="I68" i="11"/>
  <c r="I64" i="11"/>
  <c r="H59" i="11"/>
  <c r="H69" i="11"/>
  <c r="H65" i="11"/>
  <c r="H60" i="11"/>
  <c r="I65" i="11"/>
  <c r="H61" i="11"/>
  <c r="I69" i="11"/>
  <c r="I66" i="11"/>
  <c r="I58" i="11"/>
  <c r="H70" i="11"/>
  <c r="H66" i="11"/>
  <c r="H62" i="11"/>
  <c r="H58" i="11"/>
  <c r="I70" i="11"/>
  <c r="I62" i="11"/>
  <c r="H85" i="11"/>
  <c r="H88" i="11"/>
  <c r="J89" i="11"/>
  <c r="J88" i="11"/>
  <c r="I86" i="11"/>
  <c r="H86" i="11"/>
  <c r="J85" i="11"/>
  <c r="J84" i="11"/>
  <c r="I84" i="11"/>
  <c r="I88" i="11"/>
  <c r="H87" i="11"/>
  <c r="H83" i="11"/>
  <c r="I87" i="11"/>
  <c r="I83" i="11"/>
  <c r="I89" i="11"/>
  <c r="I85" i="11"/>
  <c r="D14" i="11"/>
  <c r="J14" i="11" s="1"/>
  <c r="E14" i="11"/>
  <c r="G14" i="11"/>
  <c r="K19" i="60"/>
  <c r="D19" i="60"/>
  <c r="K61" i="11" l="1"/>
  <c r="K78" i="11"/>
  <c r="K66" i="11"/>
  <c r="K72" i="11"/>
  <c r="K76" i="11"/>
  <c r="K63" i="11"/>
  <c r="K80" i="11"/>
  <c r="K68" i="11"/>
  <c r="K79" i="11"/>
  <c r="K67" i="11"/>
  <c r="K74" i="11"/>
  <c r="K64" i="11"/>
  <c r="K60" i="11"/>
  <c r="K59" i="11"/>
  <c r="K82" i="11"/>
  <c r="K75" i="11"/>
  <c r="K73" i="11"/>
  <c r="K81" i="11"/>
  <c r="K77" i="11"/>
  <c r="K65" i="11"/>
  <c r="K69" i="11"/>
  <c r="K70" i="11"/>
  <c r="K58" i="11"/>
  <c r="K62" i="11"/>
  <c r="K84" i="11"/>
  <c r="K86" i="11"/>
  <c r="K88" i="11"/>
  <c r="K89" i="11"/>
  <c r="K85" i="11"/>
  <c r="K83" i="11"/>
  <c r="K8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0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3" i="11"/>
  <c r="D104" i="11"/>
  <c r="H104" i="11" s="1"/>
  <c r="E10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3" i="11"/>
  <c r="J10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4" i="11"/>
  <c r="I104" i="11"/>
  <c r="H103" i="11" l="1"/>
  <c r="K103" i="11" s="1"/>
  <c r="I103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0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6" i="11"/>
  <c r="H107" i="11" s="1"/>
  <c r="I106" i="11"/>
  <c r="I10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8" i="11"/>
  <c r="I10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06" i="11" l="1"/>
  <c r="K107" i="11" s="1"/>
  <c r="K108" i="11" s="1"/>
  <c r="B10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6" i="11"/>
  <c r="J10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<sst xmlns="http://schemas.openxmlformats.org/spreadsheetml/2006/main" count="4772" uniqueCount="1639">
  <si>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</si>
  <si>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</si>
  <si>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</si>
  <si>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</si>
  <si>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</si>
  <si>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</si>
  <si>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</si>
  <si>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</si>
  <si>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</si>
  <si>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</si>
  <si>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</si>
  <si>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</si>
  <si>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</si>
  <si>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</si>
  <si>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</si>
  <si>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</si>
  <si>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</si>
  <si>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</si>
  <si>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</si>
  <si>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</si>
  <si>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</si>
  <si>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</si>
  <si>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</si>
  <si>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</si>
  <si>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</si>
  <si>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</si>
  <si>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</si>
  <si>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</si>
  <si>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</si>
  <si>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</si>
  <si>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</si>
  <si>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</si>
  <si>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</si>
  <si>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</si>
  <si>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</si>
  <si>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</si>
  <si>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</si>
  <si>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</si>
  <si>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</si>
  <si>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</si>
  <si>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</si>
  <si>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</si>
  <si>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</si>
  <si>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</si>
  <si>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</si>
  <si>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</si>
  <si>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</si>
  <si>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</si>
  <si>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</si>
  <si>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</si>
  <si>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</si>
  <si>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</si>
  <si>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</si>
  <si>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</si>
  <si>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</si>
  <si>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</si>
  <si>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</si>
  <si>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</si>
  <si>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</si>
  <si>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</si>
  <si>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</si>
  <si>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</si>
  <si>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</si>
  <si>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</si>
  <si>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</si>
  <si>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</si>
  <si>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</si>
  <si>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</si>
  <si>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</si>
  <si>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</si>
  <si>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</si>
  <si>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</si>
  <si>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</si>
  <si>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</si>
  <si>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</si>
  <si>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</si>
  <si>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</si>
  <si>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</si>
  <si>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</si>
  <si>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</si>
  <si>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</si>
  <si>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</si>
  <si>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</si>
  <si>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</si>
  <si>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</si>
  <si>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</si>
  <si>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</si>
  <si>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</si>
  <si>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</si>
  <si>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</si>
  <si>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</si>
  <si>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</si>
  <si>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</si>
  <si>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</si>
  <si>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</si>
  <si>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</si>
  <si>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</si>
  <si>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</si>
  <si>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</si>
  <si>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</si>
  <si>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</si>
  <si>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</si>
  <si>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</si>
  <si>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</si>
  <si>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</si>
  <si>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</si>
  <si>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</si>
  <si>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</si>
  <si>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</si>
  <si>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</si>
  <si>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</si>
  <si>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</si>
  <si>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</si>
  <si>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</si>
  <si>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</si>
  <si>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</si>
  <si>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</si>
  <si>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</si>
  <si>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</si>
  <si>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</si>
  <si>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</si>
  <si>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</si>
  <si>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</si>
  <si>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</si>
  <si>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</si>
  <si>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</si>
  <si>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</si>
  <si>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</si>
  <si>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</si>
  <si>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</si>
  <si>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</si>
  <si>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</si>
  <si>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</si>
  <si>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</si>
  <si>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</si>
  <si>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</si>
  <si>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</si>
  <si>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</si>
  <si>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</si>
  <si>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</si>
  <si>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</si>
  <si>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</si>
  <si>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</si>
  <si>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</si>
  <si>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</si>
  <si>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</si>
  <si>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</si>
  <si>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</si>
  <si>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</si>
  <si>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</si>
  <si>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</si>
  <si>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</si>
  <si>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</si>
  <si>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</si>
  <si>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</si>
  <si>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</si>
  <si>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</si>
  <si>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</si>
  <si>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</si>
  <si>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</si>
  <si>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</si>
  <si>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</si>
  <si>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</si>
  <si>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</si>
  <si>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</si>
  <si>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</si>
  <si>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</si>
  <si>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</si>
  <si>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</si>
  <si>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</si>
  <si>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</si>
  <si>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</si>
  <si>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</si>
  <si>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</si>
  <si>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</si>
  <si>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</si>
  <si>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</si>
  <si>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</si>
  <si>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</si>
  <si>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</si>
  <si>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</si>
  <si>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</si>
  <si>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</si>
  <si>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</si>
  <si>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</si>
  <si>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</si>
  <si>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</si>
  <si>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</si>
  <si>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</si>
  <si>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</si>
  <si>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</si>
  <si>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</si>
  <si>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</si>
  <si>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</si>
  <si>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</si>
  <si>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</si>
  <si>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</si>
  <si>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</si>
  <si>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</si>
  <si>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</si>
  <si>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</si>
  <si>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</si>
  <si>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</si>
  <si>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</si>
  <si>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</si>
  <si>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</si>
  <si>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</si>
  <si>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</si>
  <si>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</si>
  <si>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</si>
  <si>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</si>
  <si>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</si>
  <si>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</si>
  <si>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</si>
  <si>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</si>
  <si>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</si>
  <si>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</si>
  <si>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</si>
  <si>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</si>
  <si>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</si>
  <si>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</si>
  <si>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</si>
  <si>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</si>
  <si>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</si>
  <si>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</si>
  <si>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</si>
  <si>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</si>
  <si>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</si>
  <si>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</si>
  <si>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</si>
  <si>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</si>
  <si>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</si>
  <si>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</si>
  <si>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</si>
  <si>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</si>
  <si>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</si>
  <si>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</si>
  <si>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</si>
  <si>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</si>
  <si>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</si>
  <si>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</si>
  <si>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</si>
  <si>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</si>
  <si>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</si>
  <si>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</si>
  <si>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</si>
  <si>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</si>
  <si>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</si>
  <si>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</si>
  <si>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</si>
  <si>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</si>
  <si>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</si>
  <si>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</si>
  <si>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</si>
  <si>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</si>
  <si>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</si>
  <si>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</si>
  <si>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</si>
  <si>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</si>
  <si>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</si>
  <si>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</si>
  <si>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</si>
  <si>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</si>
  <si>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</si>
  <si>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</si>
  <si>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</si>
  <si>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</si>
  <si>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</si>
  <si>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</si>
  <si>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</si>
  <si>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</si>
  <si>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</si>
  <si>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</si>
  <si>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</si>
  <si>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</si>
  <si>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</si>
  <si>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</si>
  <si>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</si>
  <si>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</si>
  <si>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</si>
  <si>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</si>
  <si>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</si>
  <si>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</si>
  <si>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</si>
  <si>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</si>
  <si>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</si>
  <si>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</si>
  <si>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</si>
  <si>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</si>
  <si>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</si>
  <si>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</si>
  <si>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</si>
  <si>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</si>
  <si>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</si>
  <si>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</si>
  <si>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</si>
  <si>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</si>
  <si>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</si>
  <si>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</si>
  <si>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</si>
  <si>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</si>
  <si>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</si>
  <si>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</si>
  <si>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</si>
  <si>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</si>
  <si>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</si>
  <si>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</si>
  <si>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</si>
  <si>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</si>
  <si>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</si>
  <si>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</si>
  <si>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</si>
  <si>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</si>
  <si>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</si>
  <si>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</si>
  <si>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</si>
  <si>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</si>
  <si>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</si>
  <si>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</si>
  <si>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</si>
  <si>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</si>
  <si>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</si>
  <si>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</si>
  <si>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</si>
  <si>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</si>
  <si>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</si>
  <si>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</si>
  <si>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</si>
  <si>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</si>
  <si>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</si>
  <si>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</si>
  <si>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</si>
  <si>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</si>
  <si>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</si>
  <si>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</si>
  <si>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</si>
  <si>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</si>
  <si>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</si>
  <si>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</si>
  <si>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</si>
  <si>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</si>
  <si>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</si>
  <si>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</si>
  <si>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</si>
  <si>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</si>
  <si>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</si>
  <si>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</si>
  <si>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</si>
  <si>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</si>
  <si>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</si>
  <si>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</si>
  <si>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</si>
  <si>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</si>
  <si>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</si>
  <si>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</si>
  <si>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</si>
  <si>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</si>
  <si>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</si>
  <si>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</si>
  <si>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</si>
  <si>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</si>
  <si>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</si>
  <si>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</si>
  <si>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</si>
  <si>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</si>
  <si>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</si>
  <si>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</si>
  <si>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</si>
  <si>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</si>
  <si>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</si>
  <si>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</si>
  <si>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</si>
  <si>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</si>
  <si>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</si>
  <si>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</si>
  <si>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</si>
  <si>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</si>
  <si>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</si>
  <si>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</si>
  <si>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</si>
  <si>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</si>
  <si>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</si>
  <si>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</si>
  <si>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</si>
  <si>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</si>
  <si>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</si>
  <si>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</si>
  <si>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</si>
  <si>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</si>
  <si>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</si>
  <si>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</si>
  <si>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</si>
  <si>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</si>
  <si>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</si>
  <si>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</si>
  <si>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</si>
  <si>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</si>
  <si>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</si>
  <si>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</si>
  <si>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</si>
  <si>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</si>
  <si>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</si>
  <si>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</si>
  <si>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</si>
  <si>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</si>
  <si>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</si>
  <si>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</si>
  <si>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</si>
  <si>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</si>
  <si>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</si>
  <si>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</si>
  <si>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</si>
  <si>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</si>
  <si>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</si>
  <si>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</si>
  <si>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</si>
  <si>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</si>
  <si>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</si>
  <si>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</si>
  <si>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</si>
  <si>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</si>
  <si>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</si>
  <si>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</si>
  <si>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</si>
  <si>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</si>
  <si>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</si>
  <si>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</si>
  <si>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</si>
  <si>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</si>
  <si>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</si>
  <si>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</si>
  <si>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</si>
  <si>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</si>
  <si>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</si>
  <si>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</si>
  <si>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</si>
  <si>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</si>
  <si>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</si>
  <si>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</si>
  <si>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</si>
  <si>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</si>
  <si>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</si>
  <si>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</si>
  <si>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</si>
  <si>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</si>
  <si>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</si>
  <si>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</si>
  <si>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</si>
  <si>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</si>
  <si>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</si>
  <si>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</si>
  <si>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</si>
  <si>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</si>
  <si>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</si>
  <si>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</si>
  <si>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</si>
  <si>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</si>
  <si>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</si>
  <si>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</si>
  <si>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</si>
  <si>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</si>
  <si>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</si>
  <si>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</si>
  <si>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</si>
  <si>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</si>
  <si>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</si>
  <si>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</si>
  <si>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</si>
  <si>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</si>
  <si>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</si>
  <si>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</si>
  <si>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</si>
  <si>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</si>
  <si>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</si>
  <si>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</si>
  <si>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</si>
  <si>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</si>
  <si>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</si>
  <si>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</si>
  <si>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</si>
  <si>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</si>
  <si>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</si>
  <si>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</si>
  <si>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</si>
  <si>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</si>
  <si>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</si>
  <si>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</si>
  <si>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</si>
  <si>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</si>
  <si>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</si>
  <si>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</si>
  <si>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</si>
  <si>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</si>
  <si>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</si>
  <si>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</si>
  <si>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</si>
  <si>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</si>
  <si>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</si>
  <si>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</si>
  <si>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</si>
  <si>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</si>
  <si>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</si>
  <si>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</si>
  <si>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</si>
  <si>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</si>
  <si>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</si>
  <si>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</si>
  <si>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</si>
  <si>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</si>
  <si>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</si>
  <si>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</si>
  <si>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</si>
  <si>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</si>
  <si>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</si>
  <si>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</si>
  <si>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</si>
  <si>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</si>
  <si>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</si>
  <si>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</si>
  <si>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</si>
  <si>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</si>
  <si>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</si>
  <si>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</si>
  <si>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</si>
  <si>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</si>
  <si>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</si>
  <si>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</si>
  <si>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</si>
  <si>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</si>
  <si>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</si>
  <si>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</si>
  <si>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</si>
  <si>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</si>
  <si>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</si>
  <si>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</si>
  <si>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</si>
  <si>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</si>
  <si>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</si>
  <si>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</si>
  <si>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</si>
  <si>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</si>
  <si>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</si>
  <si>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</si>
  <si>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</si>
  <si>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</si>
  <si>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</si>
  <si>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</si>
  <si>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</si>
  <si>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</si>
  <si>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</si>
  <si>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</si>
  <si>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</si>
  <si>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</si>
  <si>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</si>
  <si>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</si>
  <si>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</si>
  <si>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</si>
  <si>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</si>
  <si>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</si>
  <si>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</si>
  <si>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</si>
  <si>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</si>
  <si>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</si>
  <si>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</si>
  <si>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</si>
  <si>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</si>
  <si>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</si>
  <si>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</si>
  <si>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</si>
  <si>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</si>
  <si>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</si>
  <si>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</si>
  <si>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</si>
  <si>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</si>
  <si>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</si>
  <si>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</si>
  <si>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</si>
  <si>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</si>
  <si>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</si>
  <si>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</si>
  <si>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</si>
  <si>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</si>
  <si>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</si>
  <si>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</si>
  <si>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</si>
  <si>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</si>
  <si>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</si>
  <si>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</si>
  <si>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</si>
  <si>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</si>
  <si>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</si>
  <si>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</si>
  <si>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</si>
  <si>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</si>
  <si>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</si>
  <si>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</si>
  <si>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</si>
  <si>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</si>
  <si>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</si>
  <si>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</si>
  <si>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</si>
  <si>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</si>
  <si>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</si>
  <si>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</si>
  <si>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</si>
  <si>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</si>
  <si>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</si>
  <si>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</si>
  <si>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</si>
  <si>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</si>
  <si>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</si>
  <si>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</si>
  <si>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</si>
  <si>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</si>
  <si>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</si>
  <si>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</si>
  <si>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</si>
  <si>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</si>
  <si>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</si>
  <si>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</si>
  <si>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</si>
  <si>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</si>
  <si>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</si>
  <si>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</si>
  <si>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</si>
  <si>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</si>
  <si>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</si>
  <si>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</si>
  <si>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</si>
  <si>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</si>
  <si>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</si>
  <si>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</si>
  <si>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</si>
  <si>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</si>
  <si>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</si>
  <si>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</si>
  <si>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</si>
  <si>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</si>
  <si>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</si>
  <si>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</si>
  <si>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</si>
  <si>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</si>
  <si>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</si>
  <si>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</si>
  <si>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</si>
  <si>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</si>
  <si>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</si>
  <si>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</si>
  <si>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</si>
  <si>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</si>
  <si>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</si>
  <si>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</si>
  <si>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</si>
  <si>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</si>
  <si>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</si>
  <si>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</si>
  <si>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</si>
  <si>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</si>
  <si>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</si>
  <si>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</si>
  <si>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</si>
  <si>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</si>
  <si>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</si>
  <si>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</si>
  <si>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</si>
  <si>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</si>
  <si>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</si>
  <si>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</si>
  <si>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</si>
  <si>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</si>
  <si>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</si>
  <si>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</si>
  <si>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</si>
  <si>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</si>
  <si>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</si>
  <si>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</si>
  <si>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</si>
  <si>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</si>
  <si>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</si>
  <si>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</si>
  <si>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</si>
  <si>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</si>
  <si>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</si>
  <si>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</si>
  <si>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</si>
  <si>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</si>
  <si>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</si>
  <si>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</si>
  <si>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</si>
  <si>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</si>
  <si>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</si>
  <si>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</si>
  <si>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</si>
  <si>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</si>
  <si>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</si>
  <si>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</si>
  <si>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</si>
  <si>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</si>
  <si>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</si>
  <si>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</si>
  <si>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</si>
  <si>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</si>
  <si>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</si>
  <si>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</si>
  <si>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</si>
  <si>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</si>
  <si>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</si>
  <si>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</si>
  <si>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</si>
  <si>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</si>
  <si>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</si>
  <si>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</si>
  <si>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</si>
  <si>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</si>
  <si>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</si>
  <si>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</si>
  <si>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</si>
  <si>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</si>
  <si>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</si>
  <si>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</si>
  <si>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</si>
  <si>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</si>
  <si>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</si>
  <si>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</si>
  <si>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</si>
  <si>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</si>
  <si>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</si>
  <si>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</si>
  <si>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</si>
  <si>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</si>
  <si>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</si>
  <si>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</si>
  <si>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</si>
  <si>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</si>
  <si>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</si>
  <si>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</si>
  <si>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</si>
  <si>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</si>
  <si>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</si>
  <si>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</si>
  <si>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</si>
  <si>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</si>
  <si>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</si>
  <si>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</si>
  <si>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</si>
  <si>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</si>
  <si>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</si>
  <si>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</si>
  <si>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</si>
  <si>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</si>
  <si>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</si>
  <si>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</si>
  <si>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</si>
  <si>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</si>
  <si>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</si>
  <si>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</si>
  <si>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</si>
  <si>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</si>
  <si>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</si>
  <si>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</si>
  <si>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</si>
  <si>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</si>
  <si>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</si>
  <si>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</si>
  <si>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</si>
  <si>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</si>
  <si>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</si>
  <si>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</si>
  <si>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</si>
  <si>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</si>
  <si>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</si>
  <si>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</si>
  <si>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</si>
  <si>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</si>
  <si>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</si>
  <si>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</si>
  <si>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</si>
  <si>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</si>
  <si>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</si>
  <si>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</si>
  <si>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</si>
  <si>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</si>
  <si>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</si>
  <si>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</si>
  <si>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</si>
  <si>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</si>
  <si>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</si>
  <si>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</si>
  <si>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</si>
  <si>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</si>
  <si>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</si>
  <si>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</si>
  <si>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</si>
  <si>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</si>
  <si>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</si>
  <si>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</si>
  <si>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</si>
  <si>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</si>
  <si>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</si>
  <si>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</si>
  <si>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</si>
  <si>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</si>
  <si>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</si>
  <si>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</si>
  <si>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</si>
  <si>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</si>
  <si>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</si>
  <si>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</si>
  <si>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</si>
  <si>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</si>
  <si>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</si>
  <si>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</si>
  <si>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</si>
  <si>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</si>
  <si>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</si>
  <si>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</si>
  <si>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</si>
  <si>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</si>
  <si>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</si>
  <si>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</si>
  <si>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</si>
  <si>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</si>
  <si>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</si>
  <si>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</si>
  <si>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</si>
  <si>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</si>
  <si>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</si>
  <si>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</si>
  <si>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</si>
  <si>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</si>
  <si>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</si>
  <si>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</si>
  <si>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</si>
  <si>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</si>
  <si>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</si>
  <si>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</si>
  <si>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</si>
  <si>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</si>
  <si>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</si>
  <si>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</si>
  <si>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</si>
  <si>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</si>
  <si>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</si>
  <si>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</si>
  <si>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</si>
  <si>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</si>
  <si>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</si>
  <si>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</si>
  <si>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</si>
  <si>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</si>
  <si>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</si>
  <si>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</si>
  <si>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</si>
  <si>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</si>
  <si>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</si>
  <si>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</si>
  <si>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</si>
  <si>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</si>
  <si>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</si>
  <si>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</si>
  <si>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</si>
  <si>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</si>
  <si>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</si>
  <si>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</si>
  <si>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</si>
  <si>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</si>
  <si>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</si>
  <si>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</si>
  <si>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</si>
  <si>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</si>
  <si>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</si>
  <si>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</si>
  <si>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</si>
  <si>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</si>
  <si>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</si>
  <si>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</si>
  <si>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</si>
  <si>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</si>
  <si>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</si>
  <si>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</si>
  <si>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</si>
  <si>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</si>
  <si>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</si>
  <si>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</si>
  <si>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</si>
  <si>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</si>
  <si>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</si>
  <si>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</si>
  <si>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</si>
  <si>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</si>
  <si>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</si>
  <si>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</si>
  <si>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</si>
  <si>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</si>
  <si>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</si>
  <si>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</si>
  <si>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</si>
  <si>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</si>
  <si>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</si>
  <si>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</si>
  <si>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</si>
  <si>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</si>
  <si>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</si>
  <si>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</si>
  <si>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</si>
  <si>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</si>
  <si>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</si>
  <si>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</si>
  <si>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</si>
  <si>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</si>
  <si>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</si>
  <si>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</si>
  <si>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</si>
  <si>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</si>
  <si>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</si>
  <si>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</si>
  <si>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</si>
  <si>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</si>
  <si>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</si>
  <si>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</si>
  <si>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</si>
  <si>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</si>
  <si>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</si>
  <si>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</si>
  <si>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</si>
  <si>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</si>
  <si>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</si>
  <si>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</si>
  <si>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</si>
  <si>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</si>
  <si>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</si>
  <si>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</si>
  <si>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</si>
  <si>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</si>
  <si>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</si>
  <si>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</si>
  <si>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</si>
  <si>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</si>
  <si>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</si>
  <si>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</si>
  <si>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</si>
  <si>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</si>
  <si>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</si>
  <si>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</si>
  <si>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</si>
  <si>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</si>
  <si>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</si>
  <si>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</si>
  <si>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</si>
  <si>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</si>
  <si>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</si>
  <si>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</si>
  <si>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</si>
  <si>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</si>
  <si>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</si>
  <si>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</si>
  <si>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</si>
  <si>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</si>
  <si>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</si>
  <si>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</si>
  <si>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</si>
  <si>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</si>
  <si>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</si>
  <si>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</si>
  <si>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</si>
  <si>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</si>
  <si>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</si>
  <si>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</si>
  <si>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</si>
  <si>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</si>
  <si>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</si>
  <si>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</si>
  <si>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</si>
  <si>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</si>
  <si>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</si>
  <si>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</si>
  <si>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</si>
  <si>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</si>
  <si>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</si>
  <si>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</si>
  <si>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</si>
  <si>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</si>
  <si>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</si>
  <si>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</si>
  <si>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</si>
  <si>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</si>
  <si>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</si>
  <si>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</si>
  <si>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</si>
  <si>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</si>
  <si>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</si>
  <si>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</si>
  <si>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</si>
  <si>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</si>
  <si>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</si>
  <si>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</si>
  <si>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</si>
  <si>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</si>
  <si>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</si>
  <si>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</si>
  <si>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</si>
  <si>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</si>
  <si>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</si>
  <si>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</si>
  <si>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</si>
  <si>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</si>
  <si>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</si>
  <si>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</si>
  <si>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</si>
  <si>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</si>
  <si>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</si>
  <si>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</si>
  <si>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</si>
  <si>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</si>
  <si>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</si>
  <si>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</si>
  <si>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</si>
  <si>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</si>
  <si>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</si>
  <si>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</si>
  <si>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</si>
  <si>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</si>
  <si>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</si>
  <si>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</si>
  <si>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</si>
  <si>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</si>
  <si>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</si>
  <si>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</si>
  <si>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</si>
  <si>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</si>
  <si>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</si>
  <si>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</si>
  <si>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</si>
  <si>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</si>
  <si>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</si>
  <si>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</si>
  <si>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</si>
  <si>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</si>
  <si>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</si>
  <si>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</si>
  <si>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</si>
  <si>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</si>
  <si>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</si>
  <si>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</si>
  <si>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</si>
  <si>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</si>
  <si>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</si>
  <si>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</si>
  <si>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</si>
  <si>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</si>
  <si>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</si>
  <si>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</si>
  <si>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</si>
  <si>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</si>
  <si>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</si>
  <si>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</si>
  <si>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</si>
  <si>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</si>
  <si>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</si>
  <si>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</si>
  <si>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</si>
  <si>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</si>
  <si>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</si>
  <si>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</si>
  <si>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</si>
  <si>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</si>
  <si>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</si>
  <si>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</si>
  <si>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</si>
  <si>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</si>
  <si>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</si>
  <si>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</si>
  <si>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</si>
  <si>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</si>
  <si>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</si>
  <si>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</si>
  <si>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</si>
  <si>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</si>
  <si>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</si>
  <si>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</si>
  <si>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</si>
  <si>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</si>
  <si>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</si>
  <si>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</si>
  <si>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</si>
  <si>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</si>
  <si>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</si>
  <si>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</si>
  <si>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</si>
  <si>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</si>
  <si>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</si>
  <si>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</si>
  <si>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</si>
  <si>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</si>
  <si>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</si>
  <si>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</si>
  <si>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</si>
  <si>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</si>
  <si>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</si>
  <si>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</si>
  <si>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</si>
  <si>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</si>
  <si>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</si>
  <si>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</si>
  <si>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</si>
  <si>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</si>
  <si>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</si>
  <si>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</si>
  <si>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</si>
  <si>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</si>
  <si>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</si>
  <si>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</si>
  <si>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</si>
  <si>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</si>
  <si>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</si>
  <si>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</si>
  <si>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</si>
  <si>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</si>
  <si>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</si>
  <si>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</si>
  <si>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</si>
  <si>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</si>
  <si>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</si>
  <si>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</si>
  <si>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</si>
  <si>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</si>
  <si>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</si>
  <si>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</si>
  <si>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</si>
  <si>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</si>
  <si>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</si>
  <si>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</si>
  <si>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</si>
  <si>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</si>
  <si>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</si>
  <si>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</si>
  <si>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</si>
  <si>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</si>
  <si>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</si>
  <si>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</si>
  <si>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</si>
  <si>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</si>
  <si>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</si>
  <si>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</si>
  <si>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</si>
  <si>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</si>
  <si>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</si>
  <si>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</si>
  <si>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</si>
  <si>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</si>
  <si>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</si>
  <si>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</si>
  <si>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</si>
  <si>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</si>
  <si>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</si>
  <si>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</si>
  <si>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</si>
  <si>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</si>
  <si>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</si>
  <si>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</si>
  <si>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</si>
  <si>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</si>
  <si>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</si>
  <si>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</si>
  <si>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</si>
  <si>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</si>
  <si>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</si>
  <si>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</si>
  <si>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</si>
  <si>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</si>
  <si>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</si>
  <si>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</si>
  <si>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</si>
  <si>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</si>
  <si>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</si>
  <si>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</si>
  <si>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</si>
  <si>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</si>
  <si>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</si>
  <si>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</si>
  <si>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</si>
  <si>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</si>
  <si>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</si>
  <si>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</si>
  <si>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</si>
  <si>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</si>
  <si>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</si>
  <si>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</si>
  <si>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</si>
  <si>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</si>
  <si>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</si>
  <si>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</si>
  <si>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</si>
  <si>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</si>
  <si>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</si>
  <si>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</si>
  <si>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</si>
  <si>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</si>
  <si>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</si>
  <si>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</si>
  <si>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</si>
  <si>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</si>
  <si>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</si>
  <si>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</si>
  <si>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</si>
  <si>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</si>
  <si>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</si>
  <si>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</si>
  <si>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</si>
  <si>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</si>
  <si>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</si>
  <si>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</si>
  <si>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</si>
  <si>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</si>
  <si>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</si>
  <si>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</si>
  <si>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</si>
  <si>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</si>
  <si>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</si>
  <si>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</si>
  <si>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</si>
  <si>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</si>
  <si>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</si>
  <si>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</si>
  <si>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</si>
  <si>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</si>
  <si>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</si>
  <si>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</si>
  <si>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</si>
  <si>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</si>
  <si>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</si>
  <si>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</si>
  <si>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</si>
  <si>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</si>
  <si>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</si>
  <si>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</si>
  <si>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</si>
  <si>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</si>
  <si>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</si>
  <si>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</si>
  <si>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</si>
  <si>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</si>
  <si>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</si>
  <si>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</si>
  <si>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</si>
  <si>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</si>
  <si>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</si>
  <si>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</si>
  <si>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</si>
  <si>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</si>
  <si>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</si>
  <si>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</si>
  <si>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</si>
  <si>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</si>
  <si>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</si>
  <si>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</si>
  <si>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</si>
  <si>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</si>
  <si>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</si>
  <si>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</si>
  <si>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</si>
  <si>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</si>
  <si>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</si>
  <si>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</si>
  <si>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</si>
  <si>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</si>
  <si>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</si>
  <si>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</si>
  <si>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</si>
  <si>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</si>
  <si>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</si>
  <si>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</si>
  <si>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</si>
  <si>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</si>
  <si>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</si>
  <si>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</si>
  <si>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</si>
  <si>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</si>
  <si>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</si>
  <si>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</si>
  <si>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</si>
  <si>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</si>
  <si>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</si>
  <si>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</si>
  <si>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</si>
  <si>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</si>
  <si>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</si>
  <si>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</si>
  <si>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</si>
  <si>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</si>
  <si>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</si>
  <si>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</si>
  <si>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</si>
  <si>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</si>
  <si>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</si>
  <si>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</si>
  <si>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</si>
  <si>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</si>
  <si>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</si>
  <si>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</si>
  <si>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</si>
  <si>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</si>
  <si>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</si>
  <si>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</si>
  <si>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</si>
  <si>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</si>
  <si>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</si>
  <si>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</si>
  <si>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</si>
  <si>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</si>
  <si>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</si>
  <si>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</si>
  <si>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</si>
  <si>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</si>
  <si>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</si>
  <si>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</si>
  <si>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</si>
  <si>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</si>
  <si>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</si>
  <si>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</si>
  <si>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</si>
  <si>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</si>
  <si>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</si>
  <si>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</si>
  <si>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</si>
  <si>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</si>
  <si>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</si>
  <si>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</si>
  <si>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</si>
  <si>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</si>
  <si>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</si>
  <si>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</si>
  <si>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</si>
  <si>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</si>
  <si>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</si>
  <si>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</si>
  <si>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</si>
  <si>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</si>
  <si>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</si>
  <si>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</si>
  <si>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</si>
  <si>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</si>
  <si>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</si>
  <si>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</si>
  <si>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</si>
  <si>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</si>
  <si>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</si>
  <si>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</si>
  <si>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</si>
  <si>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</si>
  <si>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</si>
  <si>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</si>
  <si>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</si>
  <si>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</si>
  <si>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</si>
  <si>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</si>
  <si>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</si>
  <si>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</si>
  <si>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</si>
  <si>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</si>
  <si>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</si>
  <si>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</si>
  <si>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</si>
  <si>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</si>
  <si>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</si>
  <si>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</si>
  <si>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</si>
  <si>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</si>
  <si>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</si>
  <si>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</si>
  <si>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</si>
  <si>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</si>
  <si>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</si>
  <si>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</si>
  <si>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</si>
  <si>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</si>
  <si>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</si>
  <si>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</si>
  <si>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</si>
  <si>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</si>
  <si>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</si>
  <si>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</si>
  <si>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</si>
  <si>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</si>
  <si>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</si>
  <si>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</si>
  <si>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</si>
  <si>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</si>
  <si>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</si>
  <si>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</si>
  <si>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</si>
  <si>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</si>
  <si>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</si>
  <si>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</si>
  <si>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</si>
  <si>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</si>
  <si>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</si>
  <si>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</si>
  <si>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</si>
  <si>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</si>
  <si>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</si>
  <si>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</si>
  <si>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</si>
  <si>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</si>
  <si>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</si>
  <si>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</si>
  <si>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</si>
  <si>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</si>
  <si>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</si>
  <si>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</si>
  <si>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</si>
  <si>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</si>
  <si>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</si>
  <si>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</si>
  <si>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</si>
  <si>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</si>
  <si>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</si>
  <si>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</si>
  <si>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</si>
  <si>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</si>
  <si>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</si>
  <si>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</si>
  <si>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</si>
  <si>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</si>
  <si>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</si>
  <si>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</si>
  <si>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</si>
  <si>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</si>
  <si>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</si>
  <si>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</si>
  <si>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</si>
  <si>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</si>
  <si>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</si>
  <si>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</si>
  <si>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</si>
  <si>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</si>
  <si>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</si>
  <si>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</si>
  <si>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</si>
  <si>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</si>
  <si>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</si>
  <si>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</si>
  <si>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</si>
  <si>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</si>
  <si>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</si>
  <si>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</si>
  <si>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</si>
  <si>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</si>
  <si>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</si>
  <si>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</si>
  <si>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</si>
  <si>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</si>
  <si>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</si>
  <si>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</si>
  <si>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</si>
  <si>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</si>
  <si>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</si>
  <si>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</si>
  <si>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</si>
  <si>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</si>
  <si>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</si>
  <si>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</si>
  <si>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</si>
  <si>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</si>
  <si>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</si>
  <si>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</si>
  <si>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</si>
  <si>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</si>
  <si>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</si>
  <si>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</si>
  <si>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</si>
  <si>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</si>
  <si>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</si>
  <si>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</si>
  <si>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</si>
  <si>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</si>
  <si>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</si>
  <si>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</si>
  <si>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</si>
  <si>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</si>
  <si>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</si>
  <si>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</si>
  <si>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</si>
  <si>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</si>
  <si>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</si>
  <si>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</si>
  <si>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</si>
  <si>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</si>
  <si>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</si>
  <si>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</si>
  <si>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</si>
  <si>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</si>
  <si>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</si>
  <si>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</si>
  <si>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</si>
  <si>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</si>
  <si>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</si>
  <si>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</si>
  <si>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</si>
  <si>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</si>
  <si>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</si>
  <si>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</si>
  <si>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</si>
  <si>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</si>
  <si>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</si>
  <si>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</si>
  <si>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</si>
  <si>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</si>
  <si>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</si>
  <si>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</si>
  <si>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</si>
  <si>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</si>
  <si>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</si>
  <si>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</si>
  <si>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</si>
  <si>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</si>
  <si>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</si>
  <si>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</si>
  <si>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</si>
  <si>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</si>
  <si>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</si>
  <si>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</si>
  <si>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</si>
  <si>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</si>
  <si>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</si>
  <si>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</si>
  <si>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</si>
  <si>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</si>
  <si>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</si>
  <si>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</si>
  <si>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</si>
  <si>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</si>
  <si>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</si>
  <si>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</si>
  <si>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</si>
  <si>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</si>
  <si>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</si>
  <si>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</si>
  <si>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</si>
  <si>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</si>
  <si>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</si>
  <si>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</si>
  <si>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</si>
  <si>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</si>
  <si>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</si>
  <si>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</si>
  <si>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</si>
  <si>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</si>
  <si>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</si>
  <si>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</si>
  <si>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</si>
  <si>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</si>
  <si>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</si>
  <si>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</si>
  <si>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</si>
  <si>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</si>
  <si>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</si>
  <si>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</si>
  <si>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</si>
  <si>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</si>
  <si>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</si>
  <si>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</si>
  <si>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</si>
  <si>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</si>
  <si>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</si>
  <si>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</si>
  <si>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</si>
  <si>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</si>
  <si>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</si>
  <si>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</si>
  <si>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</si>
  <si>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</si>
  <si>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</si>
  <si>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</si>
  <si>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</si>
  <si>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</si>
  <si>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</si>
  <si>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</si>
  <si>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</si>
  <si>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</si>
  <si>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</si>
  <si>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</si>
  <si>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</si>
  <si>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</si>
  <si>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</si>
  <si>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</si>
  <si>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</si>
  <si>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</si>
  <si>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</si>
  <si>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</si>
  <si>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</si>
  <si>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</si>
  <si>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</si>
  <si>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</si>
  <si>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</si>
  <si>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</si>
  <si>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</si>
  <si>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</si>
  <si>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</si>
  <si>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</si>
  <si>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</si>
  <si>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</si>
  <si>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</si>
  <si>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</si>
  <si>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</si>
  <si>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</si>
  <si>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</si>
  <si>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</si>
  <si>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</si>
  <si>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</si>
  <si>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</si>
  <si>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</si>
  <si>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</si>
  <si>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</si>
  <si>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</si>
  <si>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</si>
  <si>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</si>
  <si>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</si>
  <si>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</si>
  <si>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</si>
  <si>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</si>
  <si>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</si>
  <si>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</si>
  <si>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</si>
  <si>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</si>
  <si>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</si>
  <si>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</si>
  <si>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</si>
  <si>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</si>
  <si>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</si>
  <si>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</si>
  <si>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</si>
  <si>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C12-200</t>
  </si>
  <si>
    <t>CG105</t>
  </si>
  <si>
    <t>B2</t>
  </si>
  <si>
    <t>KOORDINAT : -6.885491, 110.643632</t>
  </si>
  <si>
    <t>MJ6-T</t>
  </si>
  <si>
    <t>TSEL_TBG_DMK718 BETOKAN</t>
  </si>
  <si>
    <t>KRAPYAK BARAT, BETOKAN KEC.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</si>
</sst>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20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7" fillId="33" borderId="0" xfId="0" applyFont="1" applyFill="1" applyAlignment="1">
      <alignment horizontal="left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118</xdr:row>
      <xdr:rowOff>81642</xdr:rowOff>
    </xdr:from>
    <xdr:to>
      <xdr:col>12</xdr:col>
      <xdr:colOff>41108</xdr:colOff>
      <xdr:row>121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263770</xdr:colOff>
      <xdr:row>24</xdr:row>
      <xdr:rowOff>7328</xdr:rowOff>
    </xdr:from>
    <xdr:to>
      <xdr:col>14</xdr:col>
      <xdr:colOff>227135</xdr:colOff>
      <xdr:row>27</xdr:row>
      <xdr:rowOff>21981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76088A16-EA99-45DC-8FC0-53969FCBCBFF}"/>
            </a:ext>
          </a:extLst>
        </xdr:cNvPr>
        <xdr:cNvSpPr/>
      </xdr:nvSpPr>
      <xdr:spPr>
        <a:xfrm>
          <a:off x="4000501" y="3722078"/>
          <a:ext cx="1106365" cy="47624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363921</xdr:colOff>
      <xdr:row>16</xdr:row>
      <xdr:rowOff>28575</xdr:rowOff>
    </xdr:from>
    <xdr:to>
      <xdr:col>17</xdr:col>
      <xdr:colOff>76200</xdr:colOff>
      <xdr:row>16</xdr:row>
      <xdr:rowOff>58464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>
          <a:off x="2573721" y="2495550"/>
          <a:ext cx="3522279" cy="298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109904</xdr:colOff>
      <xdr:row>15</xdr:row>
      <xdr:rowOff>132108</xdr:rowOff>
    </xdr:from>
    <xdr:to>
      <xdr:col>12</xdr:col>
      <xdr:colOff>110159</xdr:colOff>
      <xdr:row>23</xdr:row>
      <xdr:rowOff>58615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4227635" y="2462070"/>
          <a:ext cx="255" cy="115743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252682</xdr:colOff>
      <xdr:row>17</xdr:row>
      <xdr:rowOff>32644</xdr:rowOff>
    </xdr:from>
    <xdr:to>
      <xdr:col>12</xdr:col>
      <xdr:colOff>337582</xdr:colOff>
      <xdr:row>17</xdr:row>
      <xdr:rowOff>133421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4367482" y="2652019"/>
          <a:ext cx="84900" cy="1007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125139</xdr:colOff>
      <xdr:row>30</xdr:row>
      <xdr:rowOff>118889</xdr:rowOff>
    </xdr:from>
    <xdr:to>
      <xdr:col>13</xdr:col>
      <xdr:colOff>97810</xdr:colOff>
      <xdr:row>32</xdr:row>
      <xdr:rowOff>115637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4242870" y="4749504"/>
          <a:ext cx="353671" cy="30447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12</xdr:col>
      <xdr:colOff>337588</xdr:colOff>
      <xdr:row>15</xdr:row>
      <xdr:rowOff>149796</xdr:rowOff>
    </xdr:from>
    <xdr:to>
      <xdr:col>13</xdr:col>
      <xdr:colOff>99463</xdr:colOff>
      <xdr:row>16</xdr:row>
      <xdr:rowOff>149796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4455319" y="2479758"/>
          <a:ext cx="142875" cy="15386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131138</xdr:colOff>
      <xdr:row>11</xdr:row>
      <xdr:rowOff>67654</xdr:rowOff>
    </xdr:from>
    <xdr:to>
      <xdr:col>12</xdr:col>
      <xdr:colOff>322892</xdr:colOff>
      <xdr:row>16</xdr:row>
      <xdr:rowOff>104346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3867869" y="1774827"/>
          <a:ext cx="572754" cy="81334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80069</xdr:colOff>
      <xdr:row>17</xdr:row>
      <xdr:rowOff>17605</xdr:rowOff>
    </xdr:from>
    <xdr:to>
      <xdr:col>10</xdr:col>
      <xdr:colOff>168435</xdr:colOff>
      <xdr:row>17</xdr:row>
      <xdr:rowOff>111744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432869" y="2636980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327738</xdr:colOff>
      <xdr:row>23</xdr:row>
      <xdr:rowOff>139361</xdr:rowOff>
    </xdr:from>
    <xdr:to>
      <xdr:col>12</xdr:col>
      <xdr:colOff>136019</xdr:colOff>
      <xdr:row>26</xdr:row>
      <xdr:rowOff>18782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18683632">
          <a:off x="3988601" y="3776114"/>
          <a:ext cx="341017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12</xdr:col>
      <xdr:colOff>199770</xdr:colOff>
      <xdr:row>19</xdr:row>
      <xdr:rowOff>47433</xdr:rowOff>
    </xdr:from>
    <xdr:to>
      <xdr:col>13</xdr:col>
      <xdr:colOff>14829</xdr:colOff>
      <xdr:row>21</xdr:row>
      <xdr:rowOff>74720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539D551-DE1D-4E80-B342-B5FD7FFED797}"/>
            </a:ext>
          </a:extLst>
        </xdr:cNvPr>
        <xdr:cNvSpPr/>
      </xdr:nvSpPr>
      <xdr:spPr>
        <a:xfrm rot="4959496">
          <a:off x="4248022" y="3062335"/>
          <a:ext cx="335018" cy="19605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185722</xdr:colOff>
      <xdr:row>28</xdr:row>
      <xdr:rowOff>50969</xdr:rowOff>
    </xdr:from>
    <xdr:to>
      <xdr:col>12</xdr:col>
      <xdr:colOff>139740</xdr:colOff>
      <xdr:row>29</xdr:row>
      <xdr:rowOff>93163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 rot="1519573">
          <a:off x="3922453" y="4381181"/>
          <a:ext cx="335018" cy="19605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138410</xdr:colOff>
      <xdr:row>27</xdr:row>
      <xdr:rowOff>129981</xdr:rowOff>
    </xdr:from>
    <xdr:to>
      <xdr:col>12</xdr:col>
      <xdr:colOff>301975</xdr:colOff>
      <xdr:row>30</xdr:row>
      <xdr:rowOff>118889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0"/>
          <a:endCxn id="26" idx="5"/>
        </xdr:cNvCxnSpPr>
      </xdr:nvCxnSpPr>
      <xdr:spPr>
        <a:xfrm flipH="1" flipV="1">
          <a:off x="3875141" y="4306327"/>
          <a:ext cx="544565" cy="44317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295132</xdr:colOff>
      <xdr:row>17</xdr:row>
      <xdr:rowOff>133421</xdr:rowOff>
    </xdr:from>
    <xdr:to>
      <xdr:col>12</xdr:col>
      <xdr:colOff>298893</xdr:colOff>
      <xdr:row>22</xdr:row>
      <xdr:rowOff>65942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F7D7FD-E129-437B-94A6-7FC88BFBEB92}"/>
            </a:ext>
          </a:extLst>
        </xdr:cNvPr>
        <xdr:cNvCxnSpPr>
          <a:stCxn id="66" idx="4"/>
          <a:endCxn id="22" idx="0"/>
        </xdr:cNvCxnSpPr>
      </xdr:nvCxnSpPr>
      <xdr:spPr>
        <a:xfrm>
          <a:off x="4412863" y="2771113"/>
          <a:ext cx="3761" cy="70184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37898</xdr:colOff>
      <xdr:row>21</xdr:row>
      <xdr:rowOff>89186</xdr:rowOff>
    </xdr:from>
    <xdr:to>
      <xdr:col>14</xdr:col>
      <xdr:colOff>153854</xdr:colOff>
      <xdr:row>23</xdr:row>
      <xdr:rowOff>122315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A7E583D-E99F-4A76-8960-8105AFF6FE9E}"/>
            </a:ext>
          </a:extLst>
        </xdr:cNvPr>
        <xdr:cNvSpPr/>
      </xdr:nvSpPr>
      <xdr:spPr>
        <a:xfrm>
          <a:off x="4536629" y="3342340"/>
          <a:ext cx="496956" cy="34086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CJ7-T</a:t>
          </a:r>
        </a:p>
      </xdr:txBody>
    </xdr:sp>
    <xdr:clientData/>
  </xdr:twoCellAnchor>
  <xdr:twoCellAnchor>
    <xdr:from>
      <xdr:col>9</xdr:col>
      <xdr:colOff>249115</xdr:colOff>
      <xdr:row>17</xdr:row>
      <xdr:rowOff>36635</xdr:rowOff>
    </xdr:from>
    <xdr:to>
      <xdr:col>15</xdr:col>
      <xdr:colOff>7327</xdr:colOff>
      <xdr:row>17</xdr:row>
      <xdr:rowOff>43962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/>
      </xdr:nvCxnSpPr>
      <xdr:spPr>
        <a:xfrm flipH="1" flipV="1">
          <a:off x="3223846" y="2674327"/>
          <a:ext cx="2044212" cy="7327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245072</xdr:colOff>
      <xdr:row>27</xdr:row>
      <xdr:rowOff>148560</xdr:rowOff>
    </xdr:from>
    <xdr:to>
      <xdr:col>11</xdr:col>
      <xdr:colOff>29307</xdr:colOff>
      <xdr:row>32</xdr:row>
      <xdr:rowOff>36636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47B89505-D65C-4B0F-882E-F411864EC989}"/>
            </a:ext>
          </a:extLst>
        </xdr:cNvPr>
        <xdr:cNvSpPr/>
      </xdr:nvSpPr>
      <xdr:spPr>
        <a:xfrm>
          <a:off x="3219803" y="4324906"/>
          <a:ext cx="546235" cy="65007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57150</xdr:colOff>
      <xdr:row>17</xdr:row>
      <xdr:rowOff>0</xdr:rowOff>
    </xdr:from>
    <xdr:to>
      <xdr:col>14</xdr:col>
      <xdr:colOff>145516</xdr:colOff>
      <xdr:row>17</xdr:row>
      <xdr:rowOff>94139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4933950" y="2619375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256443</xdr:colOff>
      <xdr:row>22</xdr:row>
      <xdr:rowOff>65942</xdr:rowOff>
    </xdr:from>
    <xdr:to>
      <xdr:col>12</xdr:col>
      <xdr:colOff>341343</xdr:colOff>
      <xdr:row>23</xdr:row>
      <xdr:rowOff>12853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4104F9BB-7FDE-475B-A705-2020273B1EBE}"/>
            </a:ext>
          </a:extLst>
        </xdr:cNvPr>
        <xdr:cNvGrpSpPr/>
      </xdr:nvGrpSpPr>
      <xdr:grpSpPr>
        <a:xfrm>
          <a:off x="4371243" y="3447317"/>
          <a:ext cx="84900" cy="9931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649CD185-F97C-235D-8CF2-77D311FC41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48A8D8CF-7A35-0D3F-FE78-353D150A6ABE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F41B0D0D-1E12-739D-188C-604028F0EC84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65943</xdr:colOff>
      <xdr:row>27</xdr:row>
      <xdr:rowOff>43962</xdr:rowOff>
    </xdr:from>
    <xdr:to>
      <xdr:col>11</xdr:col>
      <xdr:colOff>150843</xdr:colOff>
      <xdr:row>27</xdr:row>
      <xdr:rowOff>144739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5A011C17-F3B0-4D63-B76A-30A3000EC4F2}"/>
            </a:ext>
          </a:extLst>
        </xdr:cNvPr>
        <xdr:cNvGrpSpPr/>
      </xdr:nvGrpSpPr>
      <xdr:grpSpPr>
        <a:xfrm>
          <a:off x="3799743" y="4187337"/>
          <a:ext cx="84900" cy="1007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415664BF-D3EA-8F73-5EFD-C761EA46FFC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E708CD6-F2F3-EC07-CC37-2834F35D6A17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F24EE6D-4DE1-D14F-C58B-73F75ADBCE98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138410</xdr:colOff>
      <xdr:row>22</xdr:row>
      <xdr:rowOff>151961</xdr:rowOff>
    </xdr:from>
    <xdr:to>
      <xdr:col>12</xdr:col>
      <xdr:colOff>268876</xdr:colOff>
      <xdr:row>27</xdr:row>
      <xdr:rowOff>58720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FC6A576A-AFC5-46BF-A5A6-9569E60EBFFA}"/>
            </a:ext>
          </a:extLst>
        </xdr:cNvPr>
        <xdr:cNvCxnSpPr>
          <a:stCxn id="22" idx="3"/>
          <a:endCxn id="26" idx="7"/>
        </xdr:cNvCxnSpPr>
      </xdr:nvCxnSpPr>
      <xdr:spPr>
        <a:xfrm flipH="1">
          <a:off x="3875141" y="3558980"/>
          <a:ext cx="511466" cy="67608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27510</xdr:colOff>
      <xdr:row>39</xdr:row>
      <xdr:rowOff>146537</xdr:rowOff>
    </xdr:from>
    <xdr:to>
      <xdr:col>21</xdr:col>
      <xdr:colOff>285155</xdr:colOff>
      <xdr:row>53</xdr:row>
      <xdr:rowOff>145745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A372E56-1719-EF8E-84AC-FE854F08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7241" y="6176595"/>
          <a:ext cx="2924645" cy="2255900"/>
        </a:xfrm>
        <a:prstGeom prst="rect">
          <a:avLst/>
        </a:prstGeom>
      </xdr:spPr>
    </xdr:pic>
    <xdr:clientData/>
  </xdr:twoCellAnchor>
  <xdr:twoCellAnchor>
    <xdr:from>
      <xdr:col>10</xdr:col>
      <xdr:colOff>322384</xdr:colOff>
      <xdr:row>17</xdr:row>
      <xdr:rowOff>87923</xdr:rowOff>
    </xdr:from>
    <xdr:to>
      <xdr:col>11</xdr:col>
      <xdr:colOff>373673</xdr:colOff>
      <xdr:row>23</xdr:row>
      <xdr:rowOff>102577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DAAFB9B0-E439-992B-8C4F-C83D143B6BE4}"/>
            </a:ext>
          </a:extLst>
        </xdr:cNvPr>
        <xdr:cNvSpPr/>
      </xdr:nvSpPr>
      <xdr:spPr>
        <a:xfrm>
          <a:off x="3678115" y="2725615"/>
          <a:ext cx="432289" cy="93784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476248</xdr:colOff>
      <xdr:row>9</xdr:row>
      <xdr:rowOff>108857</xdr:rowOff>
    </xdr:from>
    <xdr:to>
      <xdr:col>18</xdr:col>
      <xdr:colOff>68034</xdr:colOff>
      <xdr:row>51</xdr:row>
      <xdr:rowOff>20618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6D49D1-782D-D6B8-C3E3-BA36EC5D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3177" y="1728107"/>
          <a:ext cx="8776607" cy="67697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175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SUMIFS(RAB!$F$14:$F$102,RAB!$C$14:$C$102,C714)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SUMIFS(RAB!$F$14:$F$102,RAB!$C$14:$C$102,C715)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SUMIFS(RAB!$F$14:$F$102,RAB!$C$14:$C$102,C716)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SUMIFS(RAB!$F$14:$F$102,RAB!$C$14:$C$102,C717)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SUMIFS(RAB!$F$14:$F$102,RAB!$C$14:$C$102,C718)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SUMIFS(RAB!$F$14:$F$102,RAB!$C$14:$C$102,C719)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SUMIFS(RAB!$F$14:$F$102,RAB!$C$14:$C$102,C720)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SUMIFS(RAB!$F$14:$F$102,RAB!$C$14:$C$102,C721)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SUMIFS(RAB!$F$14:$F$102,RAB!$C$14:$C$102,C722)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SUMIFS(RAB!$F$14:$F$102,RAB!$C$14:$C$102,C723)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SUMIFS(RAB!$F$14:$F$102,RAB!$C$14:$C$102,C724)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SUMIFS(RAB!$F$14:$F$102,RAB!$C$14:$C$102,C725)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SUMIFS(RAB!$F$14:$F$102,RAB!$C$14:$C$102,C726)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SUMIFS(RAB!$F$14:$F$102,RAB!$C$14:$C$102,C727)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SUMIFS(RAB!$F$14:$F$102,RAB!$C$14:$C$102,C728)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SUMIFS(RAB!$F$14:$F$102,RAB!$C$14:$C$102,C729)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SUMIFS(RAB!$F$14:$F$102,RAB!$C$14:$C$102,C730)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SUMIFS(RAB!$F$14:$F$102,RAB!$C$14:$C$102,C731)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SUMIFS(RAB!$F$14:$F$102,RAB!$C$14:$C$102,C732)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SUMIFS(RAB!$F$14:$F$102,RAB!$C$14:$C$102,C733)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SUMIFS(RAB!$F$14:$F$102,RAB!$C$14:$C$102,C734)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SUMIFS(RAB!$F$14:$F$102,RAB!$C$14:$C$102,C735)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SUMIFS(RAB!$F$14:$F$102,RAB!$C$14:$C$102,C736)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SUMIFS(RAB!$F$14:$F$102,RAB!$C$14:$C$102,C737)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SUMIFS(RAB!$F$14:$F$102,RAB!$C$14:$C$102,C738)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SUMIFS(RAB!$F$14:$F$102,RAB!$C$14:$C$102,C739)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SUMIFS(RAB!$F$14:$F$102,RAB!$C$14:$C$102,C740)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SUMIFS(RAB!$F$14:$F$102,RAB!$C$14:$C$102,C741)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SUMIFS(RAB!$F$14:$F$102,RAB!$C$14:$C$102,C742)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SUMIFS(RAB!$F$14:$F$102,RAB!$C$14:$C$102,C743)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SUMIFS(RAB!$F$14:$F$102,RAB!$C$14:$C$102,C744)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SUMIFS(RAB!$F$14:$F$102,RAB!$C$14:$C$102,C745)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SUMIFS(RAB!$F$14:$F$102,RAB!$C$14:$C$102,C746)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SUMIFS(RAB!$F$14:$F$102,RAB!$C$14:$C$102,C747)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SUMIFS(RAB!$F$14:$F$102,RAB!$C$14:$C$102,C748)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SUMIFS(RAB!$F$14:$F$102,RAB!$C$14:$C$102,C749)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SUMIFS(RAB!$F$14:$F$102,RAB!$C$14:$C$102,C750)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SUMIFS(RAB!$F$14:$F$102,RAB!$C$14:$C$102,C751)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SUMIFS(RAB!$F$14:$F$102,RAB!$C$14:$C$102,C752)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SUMIFS(RAB!$F$14:$F$102,RAB!$C$14:$C$102,C753)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SUMIFS(RAB!$F$14:$F$102,RAB!$C$14:$C$102,C754)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SUMIFS(RAB!$F$14:$F$102,RAB!$C$14:$C$102,C755)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SUMIFS(RAB!$F$14:$F$102,RAB!$C$14:$C$102,C756)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SUMIFS(RAB!$F$14:$F$102,RAB!$C$14:$C$102,C757)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SUMIFS(RAB!$F$14:$F$102,RAB!$C$14:$C$102,C758)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SUMIFS(RAB!$F$14:$F$102,RAB!$C$14:$C$102,C759)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SUMIFS(RAB!$F$14:$F$102,RAB!$C$14:$C$102,C760)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SUMIFS(RAB!$F$14:$F$102,RAB!$C$14:$C$102,C761)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SUMIFS(RAB!$F$14:$F$102,RAB!$C$14:$C$102,C762)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SUMIFS(RAB!$F$14:$F$102,RAB!$C$14:$C$102,C763)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SUMIFS(RAB!$F$14:$F$102,RAB!$C$14:$C$102,C764)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SUMIFS(RAB!$F$14:$F$102,RAB!$C$14:$C$102,C765)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SUMIFS(RAB!$F$14:$F$102,RAB!$C$14:$C$102,C766)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SUMIFS(RAB!$F$14:$F$102,RAB!$C$14:$C$102,C767)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SUMIFS(RAB!$F$14:$F$102,RAB!$C$14:$C$102,C768)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SUMIFS(RAB!$F$14:$F$102,RAB!$C$14:$C$102,C769)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SUMIFS(RAB!$F$14:$F$102,RAB!$C$14:$C$102,C770)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SUMIFS(RAB!$F$14:$F$102,RAB!$C$14:$C$102,C771)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SUMIFS(RAB!$F$14:$F$102,RAB!$C$14:$C$102,C772)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SUMIFS(RAB!$F$14:$F$102,RAB!$C$14:$C$102,C773)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SUMIFS(RAB!$F$14:$F$102,RAB!$C$14:$C$102,C774)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SUMIFS(RAB!$F$14:$F$102,RAB!$C$14:$C$102,C775)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SUMIFS(RAB!$F$14:$F$102,RAB!$C$14:$C$102,C776)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SUMIFS(RAB!$F$14:$F$102,RAB!$C$14:$C$102,C777)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SUMIFS(RAB!$F$14:$F$102,RAB!$C$14:$C$102,C778)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SUMIFS(RAB!$F$14:$F$102,RAB!$C$14:$C$102,C779)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SUMIFS(RAB!$F$14:$F$102,RAB!$C$14:$C$102,C780)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SUMIFS(RAB!$F$14:$F$102,RAB!$C$14:$C$102,C781)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SUMIFS(RAB!$F$14:$F$102,RAB!$C$14:$C$102,C782)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SUMIFS(RAB!$F$14:$F$102,RAB!$C$14:$C$102,C783)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SUMIFS(RAB!$F$14:$F$102,RAB!$C$14:$C$102,C784)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SUMIFS(RAB!$F$14:$F$102,RAB!$C$14:$C$102,C785)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SUMIFS(RAB!$F$14:$F$102,RAB!$C$14:$C$102,C786)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SUMIFS(RAB!$F$14:$F$102,RAB!$C$14:$C$102,C787)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SUMIFS(RAB!$F$14:$F$102,RAB!$C$14:$C$102,C788)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SUMIFS(RAB!$F$14:$F$102,RAB!$C$14:$C$102,C789)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SUMIFS(RAB!$F$14:$F$102,RAB!$C$14:$C$102,C790)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SUMIFS(RAB!$F$14:$F$102,RAB!$C$14:$C$102,C791)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SUMIFS(RAB!$F$14:$F$102,RAB!$C$14:$C$102,C792)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SUMIFS(RAB!$F$14:$F$102,RAB!$C$14:$C$102,C793)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SUMIFS(RAB!$F$14:$F$102,RAB!$C$14:$C$102,C794)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SUMIFS(RAB!$F$14:$F$102,RAB!$C$14:$C$102,C795)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SUMIFS(RAB!$F$14:$F$102,RAB!$C$14:$C$102,C796)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SUMIFS(RAB!$F$14:$F$102,RAB!$C$14:$C$102,C797)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SUMIFS(RAB!$F$14:$F$102,RAB!$C$14:$C$102,C798)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SUMIFS(RAB!$F$14:$F$102,RAB!$C$14:$C$102,C799)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SUMIFS(RAB!$F$14:$F$102,RAB!$C$14:$C$102,C800)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SUMIFS(RAB!$F$14:$F$102,RAB!$C$14:$C$102,C801)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SUMIFS(RAB!$F$14:$F$102,RAB!$C$14:$C$102,C802)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SUMIFS(RAB!$F$14:$F$102,RAB!$C$14:$C$102,C803)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SUMIFS(RAB!$F$14:$F$102,RAB!$C$14:$C$102,C804)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SUMIFS(RAB!$F$14:$F$102,RAB!$C$14:$C$102,C805)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SUMIFS(RAB!$F$14:$F$102,RAB!$C$14:$C$102,C806)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SUMIFS(RAB!$F$14:$F$102,RAB!$C$14:$C$102,C807)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SUMIFS(RAB!$F$14:$F$102,RAB!$C$14:$C$102,C808)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SUMIFS(RAB!$F$14:$F$102,RAB!$C$14:$C$102,C809)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SUMIFS(RAB!$F$14:$F$102,RAB!$C$14:$C$102,C810)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SUMIFS(RAB!$F$14:$F$102,RAB!$C$14:$C$102,C811)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SUMIFS(RAB!$F$14:$F$102,RAB!$C$14:$C$102,C812)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SUMIFS(RAB!$F$14:$F$102,RAB!$C$14:$C$102,C813)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SUMIFS(RAB!$F$14:$F$102,RAB!$C$14:$C$102,C814)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SUMIFS(RAB!$F$14:$F$102,RAB!$C$14:$C$102,C815)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SUMIFS(RAB!$F$14:$F$102,RAB!$C$14:$C$102,C816)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SUMIFS(RAB!$F$14:$F$102,RAB!$C$14:$C$102,C817)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SUMIFS(RAB!$F$14:$F$102,RAB!$C$14:$C$102,C818)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SUMIFS(RAB!$F$14:$F$102,RAB!$C$14:$C$102,C819)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SUMIFS(RAB!$F$14:$F$102,RAB!$C$14:$C$102,C820)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SUMIFS(RAB!$F$14:$F$102,RAB!$C$14:$C$102,C821)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SUMIFS(RAB!$F$14:$F$102,RAB!$C$14:$C$102,C822)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SUMIFS(RAB!$F$14:$F$102,RAB!$C$14:$C$102,C823)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SUMIFS(RAB!$F$14:$F$102,RAB!$C$14:$C$102,C824)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SUMIFS(RAB!$F$14:$F$102,RAB!$C$14:$C$102,C825)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SUMIFS(RAB!$F$14:$F$102,RAB!$C$14:$C$102,C826)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SUMIFS(RAB!$F$14:$F$102,RAB!$C$14:$C$102,C827)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SUMIFS(RAB!$F$14:$F$102,RAB!$C$14:$C$102,C828)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SUMIFS(RAB!$F$14:$F$102,RAB!$C$14:$C$102,C829)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SUMIFS(RAB!$F$14:$F$102,RAB!$C$14:$C$102,C830)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SUMIFS(RAB!$F$14:$F$102,RAB!$C$14:$C$102,C831)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SUMIFS(RAB!$F$14:$F$102,RAB!$C$14:$C$102,C832)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SUMIFS(RAB!$F$14:$F$102,RAB!$C$14:$C$102,C833)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SUMIFS(RAB!$F$14:$F$102,RAB!$C$14:$C$102,C834)</f>
        <v>175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SUMIFS(RAB!$F$14:$F$102,RAB!$C$14:$C$102,C835)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SUMIFS(RAB!$F$14:$F$102,RAB!$C$14:$C$102,C836)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SUMIFS(RAB!$F$14:$F$102,RAB!$C$14:$C$102,C837)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SUMIFS(RAB!$F$14:$F$102,RAB!$C$14:$C$102,C838)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SUMIFS(RAB!$F$14:$F$102,RAB!$C$14:$C$102,C839)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SUMIFS(RAB!$F$14:$F$102,RAB!$C$14:$C$102,C840)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SUMIFS(RAB!$F$14:$F$102,RAB!$C$14:$C$102,C841)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SUMIFS(RAB!$F$14:$F$102,RAB!$C$14:$C$102,C842)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SUMIFS(RAB!$F$14:$F$102,RAB!$C$14:$C$102,C843)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SUMIFS(RAB!$F$14:$F$102,RAB!$C$14:$C$102,C844)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SUMIFS(RAB!$F$14:$F$102,RAB!$C$14:$C$102,C845)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SUMIFS(RAB!$F$14:$F$102,RAB!$C$14:$C$102,C846)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SUMIFS(RAB!$F$14:$F$102,RAB!$C$14:$C$102,C847)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SUMIFS(RAB!$F$14:$F$102,RAB!$C$14:$C$102,C848)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SUMIFS(RAB!$F$14:$F$102,RAB!$C$14:$C$102,C849)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SUMIFS(RAB!$F$14:$F$102,RAB!$C$14:$C$102,C850)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SUMIFS(RAB!$F$14:$F$102,RAB!$C$14:$C$102,C851)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SUMIFS(RAB!$F$14:$F$102,RAB!$C$14:$C$102,C852)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SUMIFS(RAB!$F$14:$F$102,RAB!$C$14:$C$102,C853)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SUMIFS(RAB!$F$14:$F$102,RAB!$C$14:$C$102,C854)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SUMIFS(RAB!$F$14:$F$102,RAB!$C$14:$C$102,C855)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SUMIFS(RAB!$F$14:$F$102,RAB!$C$14:$C$102,C856)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SUMIFS(RAB!$F$14:$F$102,RAB!$C$14:$C$102,C857)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SUMIFS(RAB!$F$14:$F$102,RAB!$C$14:$C$102,C858)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SUMIFS(RAB!$F$14:$F$102,RAB!$C$14:$C$102,C859)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SUMIFS(RAB!$F$14:$F$102,RAB!$C$14:$C$102,C860)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SUMIFS(RAB!$F$14:$F$102,RAB!$C$14:$C$102,C861)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SUMIFS(RAB!$F$14:$F$102,RAB!$C$14:$C$102,C862)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SUMIFS(RAB!$F$14:$F$102,RAB!$C$14:$C$102,C863)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SUMIFS(RAB!$F$14:$F$102,RAB!$C$14:$C$102,C864)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SUMIFS(RAB!$F$14:$F$102,RAB!$C$14:$C$102,C865)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SUMIFS(RAB!$F$14:$F$102,RAB!$C$14:$C$102,C866)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SUMIFS(RAB!$F$14:$F$102,RAB!$C$14:$C$102,C867)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SUMIFS(RAB!$F$14:$F$102,RAB!$C$14:$C$102,C868)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SUMIFS(RAB!$F$14:$F$102,RAB!$C$14:$C$102,C869)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SUMIFS(RAB!$F$14:$F$102,RAB!$C$14:$C$102,C870)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SUMIFS(RAB!$F$14:$F$102,RAB!$C$14:$C$102,C871)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SUMIFS(RAB!$F$14:$F$102,RAB!$C$14:$C$102,C872)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SUMIFS(RAB!$F$14:$F$102,RAB!$C$14:$C$102,C873)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SUMIFS(RAB!$F$14:$F$102,RAB!$C$14:$C$102,C874)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SUMIFS(RAB!$F$14:$F$102,RAB!$C$14:$C$102,C875)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SUMIFS(RAB!$F$14:$F$102,RAB!$C$14:$C$102,C876)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SUMIFS(RAB!$F$14:$F$102,RAB!$C$14:$C$102,C877)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SUMIFS(RAB!$F$14:$F$102,RAB!$C$14:$C$102,C878)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SUMIFS(RAB!$F$14:$F$102,RAB!$C$14:$C$102,C879)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SUMIFS(RAB!$F$14:$F$102,RAB!$C$14:$C$102,C880)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SUMIFS(RAB!$F$14:$F$102,RAB!$C$14:$C$102,C881)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SUMIFS(RAB!$F$14:$F$102,RAB!$C$14:$C$102,C882)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SUMIFS(RAB!$F$14:$F$102,RAB!$C$14:$C$102,C883)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SUMIFS(RAB!$F$14:$F$102,RAB!$C$14:$C$102,C884)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SUMIFS(RAB!$F$14:$F$102,RAB!$C$14:$C$102,C885)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SUMIFS(RAB!$F$14:$F$102,RAB!$C$14:$C$102,C886)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SUMIFS(RAB!$F$14:$F$102,RAB!$C$14:$C$102,C887)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SUMIFS(RAB!$F$14:$F$102,RAB!$C$14:$C$102,C888)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SUMIFS(RAB!$F$14:$F$102,RAB!$C$14:$C$102,C889)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SUMIFS(RAB!$F$14:$F$102,RAB!$C$14:$C$102,C890)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SUMIFS(RAB!$F$14:$F$102,RAB!$C$14:$C$102,C891)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SUMIFS(RAB!$F$14:$F$102,RAB!$C$14:$C$102,C892)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SUMIFS(RAB!$F$14:$F$102,RAB!$C$14:$C$102,C893)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SUMIFS(RAB!$F$14:$F$102,RAB!$C$14:$C$102,C894)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SUMIFS(RAB!$F$14:$F$102,RAB!$C$14:$C$102,C895)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SUMIFS(RAB!$F$14:$F$102,RAB!$C$14:$C$102,C896)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SUMIFS(RAB!$F$14:$F$102,RAB!$C$14:$C$102,C897)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SUMIFS(RAB!$F$14:$F$102,RAB!$C$14:$C$102,C898)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SUMIFS(RAB!$F$14:$F$102,RAB!$C$14:$C$102,C899)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SUMIFS(RAB!$F$14:$F$102,RAB!$C$14:$C$102,C900)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SUMIFS(RAB!$F$14:$F$102,RAB!$C$14:$C$102,C901)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SUMIFS(RAB!$F$14:$F$102,RAB!$C$14:$C$102,C902)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SUMIFS(RAB!$F$14:$F$102,RAB!$C$14:$C$102,C903)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SUMIFS(RAB!$F$14:$F$102,RAB!$C$14:$C$102,C904)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SUMIFS(RAB!$F$14:$F$102,RAB!$C$14:$C$102,C905)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SUMIFS(RAB!$F$14:$F$102,RAB!$C$14:$C$102,C906)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SUMIFS(RAB!$F$14:$F$102,RAB!$C$14:$C$102,C907)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SUMIFS(RAB!$F$14:$F$102,RAB!$C$14:$C$102,C908)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SUMIFS(RAB!$F$14:$F$102,RAB!$C$14:$C$102,C909)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SUMIFS(RAB!$F$14:$F$102,RAB!$C$14:$C$102,C910)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SUMIFS(RAB!$F$14:$F$102,RAB!$C$14:$C$102,C911)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SUMIFS(RAB!$F$14:$F$102,RAB!$C$14:$C$102,C912)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SUMIFS(RAB!$F$14:$F$102,RAB!$C$14:$C$102,C913)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SUMIFS(RAB!$F$14:$F$102,RAB!$C$14:$C$102,C914)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SUMIFS(RAB!$F$14:$F$102,RAB!$C$14:$C$102,C915)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SUMIFS(RAB!$F$14:$F$102,RAB!$C$14:$C$102,C916)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SUMIFS(RAB!$F$14:$F$102,RAB!$C$14:$C$102,C917)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SUMIFS(RAB!$F$14:$F$102,RAB!$C$14:$C$102,C918)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SUMIFS(RAB!$F$14:$F$102,RAB!$C$14:$C$102,C919)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SUMIFS(RAB!$F$14:$F$102,RAB!$C$14:$C$102,C920)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SUMIFS(RAB!$F$14:$F$102,RAB!$C$14:$C$102,C921)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SUMIFS(RAB!$F$14:$F$102,RAB!$C$14:$C$102,C922)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SUMIFS(RAB!$F$14:$F$102,RAB!$C$14:$C$102,C923)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SUMIFS(RAB!$F$14:$F$102,RAB!$C$14:$C$102,C924)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SUMIFS(RAB!$F$14:$F$102,RAB!$C$14:$C$102,C925)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SUMIFS(RAB!$F$14:$F$102,RAB!$C$14:$C$102,C926)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SUMIFS(RAB!$F$14:$F$102,RAB!$C$14:$C$102,C927)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SUMIFS(RAB!$F$14:$F$102,RAB!$C$14:$C$102,C928)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SUMIFS(RAB!$F$14:$F$102,RAB!$C$14:$C$102,C929)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SUMIFS(RAB!$F$14:$F$102,RAB!$C$14:$C$102,C930)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SUMIFS(RAB!$F$14:$F$102,RAB!$C$14:$C$102,C931)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SUMIFS(RAB!$F$14:$F$102,RAB!$C$14:$C$102,C932)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SUMIFS(RAB!$F$14:$F$102,RAB!$C$14:$C$102,C933)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SUMIFS(RAB!$F$14:$F$102,RAB!$C$14:$C$102,C934)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SUMIFS(RAB!$F$14:$F$102,RAB!$C$14:$C$102,C935)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SUMIFS(RAB!$F$14:$F$102,RAB!$C$14:$C$102,C936)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SUMIFS(RAB!$F$14:$F$102,RAB!$C$14:$C$102,C937)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SUMIFS(RAB!$F$14:$F$102,RAB!$C$14:$C$102,C938)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SUMIFS(RAB!$F$14:$F$102,RAB!$C$14:$C$102,C939)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SUMIFS(RAB!$F$14:$F$102,RAB!$C$14:$C$102,C940)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SUMIFS(RAB!$F$14:$F$102,RAB!$C$14:$C$102,C941)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SUMIFS(RAB!$F$14:$F$102,RAB!$C$14:$C$102,C942)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SUMIFS(RAB!$F$14:$F$102,RAB!$C$14:$C$102,C943)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SUMIFS(RAB!$F$14:$F$102,RAB!$C$14:$C$102,C944)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SUMIFS(RAB!$F$14:$F$102,RAB!$C$14:$C$102,C945)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SUMIFS(RAB!$F$14:$F$102,RAB!$C$14:$C$102,C946)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SUMIFS(RAB!$F$14:$F$102,RAB!$C$14:$C$102,C947)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SUMIFS(RAB!$F$14:$F$102,RAB!$C$14:$C$102,C948)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SUMIFS(RAB!$F$14:$F$102,RAB!$C$14:$C$102,C949)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SUMIFS(RAB!$F$14:$F$102,RAB!$C$14:$C$102,C950)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SUMIFS(RAB!$F$14:$F$102,RAB!$C$14:$C$102,C951)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SUMIFS(RAB!$F$14:$F$102,RAB!$C$14:$C$102,C952)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SUMIFS(RAB!$F$14:$F$102,RAB!$C$14:$C$102,C953)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SUMIFS(RAB!$F$14:$F$102,RAB!$C$14:$C$102,C954)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SUMIFS(RAB!$F$14:$F$102,RAB!$C$14:$C$102,C955)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SUMIFS(RAB!$F$14:$F$102,RAB!$C$14:$C$102,C956)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SUMIFS(RAB!$F$14:$F$102,RAB!$C$14:$C$102,C957)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SUMIFS(RAB!$F$14:$F$102,RAB!$C$14:$C$102,C958)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SUMIFS(RAB!$F$14:$F$102,RAB!$C$14:$C$102,C959)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SUMIFS(RAB!$F$14:$F$102,RAB!$C$14:$C$102,C960)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SUMIFS(RAB!$F$14:$F$102,RAB!$C$14:$C$102,C961)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SUMIFS(RAB!$F$14:$F$102,RAB!$C$14:$C$102,C962)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SUMIFS(RAB!$F$14:$F$102,RAB!$C$14:$C$102,C963)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SUMIFS(RAB!$F$14:$F$102,RAB!$C$14:$C$102,C964)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SUMIFS(RAB!$F$14:$F$102,RAB!$C$14:$C$102,C965)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SUMIFS(RAB!$F$14:$F$102,RAB!$C$14:$C$102,C966)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SUMIFS(RAB!$F$14:$F$102,RAB!$C$14:$C$102,C967)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SUMIFS(RAB!$F$14:$F$102,RAB!$C$14:$C$102,C968)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SUMIFS(RAB!$F$14:$F$102,RAB!$C$14:$C$102,C969)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SUMIFS(RAB!$F$14:$F$102,RAB!$C$14:$C$102,C970)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SUMIFS(RAB!$F$14:$F$102,RAB!$C$14:$C$102,C971)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SUMIFS(RAB!$F$14:$F$102,RAB!$C$14:$C$102,C972)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SUMIFS(RAB!$F$14:$F$102,RAB!$C$14:$C$102,C973)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SUMIFS(RAB!$F$14:$F$102,RAB!$C$14:$C$102,C974)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SUMIFS(RAB!$F$14:$F$102,RAB!$C$14:$C$102,C975)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SUMIFS(RAB!$F$14:$F$102,RAB!$C$14:$C$102,C976)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SUMIFS(RAB!$F$14:$F$102,RAB!$C$14:$C$102,C977)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SUMIFS(RAB!$F$14:$F$102,RAB!$C$14:$C$102,C978)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SUMIFS(RAB!$F$14:$F$102,RAB!$C$14:$C$102,C979)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SUMIFS(RAB!$F$14:$F$102,RAB!$C$14:$C$102,C980)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SUMIFS(RAB!$F$14:$F$102,RAB!$C$14:$C$102,C981)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SUMIFS(RAB!$F$14:$F$102,RAB!$C$14:$C$102,C982)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SUMIFS(RAB!$F$14:$F$102,RAB!$C$14:$C$102,C983)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SUMIFS(RAB!$F$14:$F$102,RAB!$C$14:$C$102,C984)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SUMIFS(RAB!$F$14:$F$102,RAB!$C$14:$C$102,C985)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SUMIFS(RAB!$F$14:$F$102,RAB!$C$14:$C$102,C986)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SUMIFS(RAB!$F$14:$F$102,RAB!$C$14:$C$102,C987)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SUMIFS(RAB!$F$14:$F$102,RAB!$C$14:$C$102,C988)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SUMIFS(RAB!$F$14:$F$102,RAB!$C$14:$C$102,C989)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SUMIFS(RAB!$F$14:$F$102,RAB!$C$14:$C$102,C990)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SUMIFS(RAB!$F$14:$F$102,RAB!$C$14:$C$102,C991)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SUMIFS(RAB!$F$14:$F$102,RAB!$C$14:$C$102,C992)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SUMIFS(RAB!$F$14:$F$102,RAB!$C$14:$C$102,C993)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SUMIFS(RAB!$F$14:$F$102,RAB!$C$14:$C$102,C994)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SUMIFS(RAB!$F$14:$F$102,RAB!$C$14:$C$102,C995)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SUMIFS(RAB!$F$14:$F$102,RAB!$C$14:$C$102,C996)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SUMIFS(RAB!$F$14:$F$102,RAB!$C$14:$C$102,C997)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SUMIFS(RAB!$F$14:$F$102,RAB!$C$14:$C$102,C998)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SUMIFS(RAB!$F$14:$F$102,RAB!$C$14:$C$102,C999)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SUMIFS(RAB!$F$14:$F$102,RAB!$C$14:$C$102,C1000)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SUMIFS(RAB!$F$14:$F$102,RAB!$C$14:$C$102,C1001)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SUMIFS(RAB!$F$14:$F$102,RAB!$C$14:$C$102,C1002)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SUMIFS(RAB!$F$14:$F$102,RAB!$C$14:$C$102,C1003)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SUMIFS(RAB!$F$14:$F$102,RAB!$C$14:$C$102,C1004)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SUMIFS(RAB!$F$14:$F$102,RAB!$C$14:$C$102,C1005)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SUMIFS(RAB!$F$14:$F$102,RAB!$C$14:$C$102,C1006)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SUMIFS(RAB!$F$14:$F$102,RAB!$C$14:$C$102,C1007)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SUMIFS(RAB!$F$14:$F$102,RAB!$C$14:$C$102,C1008)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SUMIFS(RAB!$F$14:$F$102,RAB!$C$14:$C$102,C1009)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SUMIFS(RAB!$F$14:$F$102,RAB!$C$14:$C$102,C1010)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SUMIFS(RAB!$F$14:$F$102,RAB!$C$14:$C$102,C1011)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SUMIFS(RAB!$F$14:$F$102,RAB!$C$14:$C$102,C1012)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SUMIFS(RAB!$F$14:$F$102,RAB!$C$14:$C$102,C1013)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SUMIFS(RAB!$F$14:$F$102,RAB!$C$14:$C$102,C1014)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SUMIFS(RAB!$F$14:$F$102,RAB!$C$14:$C$102,C1015)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SUMIFS(RAB!$F$14:$F$102,RAB!$C$14:$C$102,C1016)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SUMIFS(RAB!$F$14:$F$102,RAB!$C$14:$C$102,C1017)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SUMIFS(RAB!$F$14:$F$102,RAB!$C$14:$C$102,C1018)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SUMIFS(RAB!$F$14:$F$102,RAB!$C$14:$C$102,C1019)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SUMIFS(RAB!$F$14:$F$102,RAB!$C$14:$C$102,C1020)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SUMIFS(RAB!$F$14:$F$102,RAB!$C$14:$C$102,C1021)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SUMIFS(RAB!$F$14:$F$102,RAB!$C$14:$C$102,C1022)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SUMIFS(RAB!$F$14:$F$102,RAB!$C$14:$C$102,C1023)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SUMIFS(RAB!$F$14:$F$102,RAB!$C$14:$C$102,C1024)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SUMIFS(RAB!$F$14:$F$102,RAB!$C$14:$C$102,C1025)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SUMIFS(RAB!$F$14:$F$102,RAB!$C$14:$C$102,C1026)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SUMIFS(RAB!$F$14:$F$102,RAB!$C$14:$C$102,C1027)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SUMIFS(RAB!$F$14:$F$102,RAB!$C$14:$C$102,C1028)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SUMIFS(RAB!$F$14:$F$102,RAB!$C$14:$C$102,C1029)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SUMIFS(RAB!$F$14:$F$102,RAB!$C$14:$C$102,C1030)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SUMIFS(RAB!$F$14:$F$102,RAB!$C$14:$C$102,C1031)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SUMIFS(RAB!$F$14:$F$102,RAB!$C$14:$C$102,C1032)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SUMIFS(RAB!$F$14:$F$102,RAB!$C$14:$C$102,C1033)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SUMIFS(RAB!$F$14:$F$102,RAB!$C$14:$C$102,C1034)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SUMIFS(RAB!$F$14:$F$102,RAB!$C$14:$C$102,C1035)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SUMIFS(RAB!$F$14:$F$102,RAB!$C$14:$C$102,C1036)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SUMIFS(RAB!$F$14:$F$102,RAB!$C$14:$C$102,C1037)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SUMIFS(RAB!$F$14:$F$102,RAB!$C$14:$C$102,C1038)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SUMIFS(RAB!$F$14:$F$102,RAB!$C$14:$C$102,C1039)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SUMIFS(RAB!$F$14:$F$102,RAB!$C$14:$C$102,C1040)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SUMIFS(RAB!$F$14:$F$102,RAB!$C$14:$C$102,C1041)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SUMIFS(RAB!$F$14:$F$102,RAB!$C$14:$C$102,C1042)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SUMIFS(RAB!$F$14:$F$102,RAB!$C$14:$C$102,C1043)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SUMIFS(RAB!$F$14:$F$102,RAB!$C$14:$C$102,C1044)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SUMIFS(RAB!$F$14:$F$102,RAB!$C$14:$C$102,C1045)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SUMIFS(RAB!$F$14:$F$102,RAB!$C$14:$C$102,C1046)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SUMIFS(RAB!$F$14:$F$102,RAB!$C$14:$C$102,C1047)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SUMIFS(RAB!$F$14:$F$102,RAB!$C$14:$C$102,C1048)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SUMIFS(RAB!$F$14:$F$102,RAB!$C$14:$C$102,C1049)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SUMIFS(RAB!$F$14:$F$102,RAB!$C$14:$C$102,C1050)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SUMIFS(RAB!$F$14:$F$102,RAB!$C$14:$C$102,C1051)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SUMIFS(RAB!$F$14:$F$102,RAB!$C$14:$C$102,C1052)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SUMIFS(RAB!$F$14:$F$102,RAB!$C$14:$C$102,C1053)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SUMIFS(RAB!$F$14:$F$102,RAB!$C$14:$C$102,C1054)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SUMIFS(RAB!$F$14:$F$102,RAB!$C$14:$C$102,C1055)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SUMIFS(RAB!$F$14:$F$102,RAB!$C$14:$C$102,C1056)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SUMIFS(RAB!$F$14:$F$102,RAB!$C$14:$C$102,C1057)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SUMIFS(RAB!$F$14:$F$102,RAB!$C$14:$C$102,C1058)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SUMIFS(RAB!$F$14:$F$102,RAB!$C$14:$C$102,C1059)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SUMIFS(RAB!$F$14:$F$102,RAB!$C$14:$C$102,C1060)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SUMIFS(RAB!$F$14:$F$102,RAB!$C$14:$C$102,C1061)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SUMIFS(RAB!$F$14:$F$102,RAB!$C$14:$C$102,C1062)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SUMIFS(RAB!$F$14:$F$102,RAB!$C$14:$C$102,C1063)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SUMIFS(RAB!$F$14:$F$102,RAB!$C$14:$C$102,C1064)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SUMIFS(RAB!$F$14:$F$102,RAB!$C$14:$C$102,C1065)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SUMIFS(RAB!$F$14:$F$102,RAB!$C$14:$C$102,C1066)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SUMIFS(RAB!$F$14:$F$102,RAB!$C$14:$C$102,C1067)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SUMIFS(RAB!$F$14:$F$102,RAB!$C$14:$C$102,C1068)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SUMIFS(RAB!$F$14:$F$102,RAB!$C$14:$C$102,C1069)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SUMIFS(RAB!$F$14:$F$102,RAB!$C$14:$C$102,C1070)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SUMIFS(RAB!$F$14:$F$102,RAB!$C$14:$C$102,C1071)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SUMIFS(RAB!$F$14:$F$102,RAB!$C$14:$C$102,C1072)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SUMIFS(RAB!$F$14:$F$102,RAB!$C$14:$C$102,C1073)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SUMIFS(RAB!$F$14:$F$102,RAB!$C$14:$C$102,C1074)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SUMIFS(RAB!$F$14:$F$102,RAB!$C$14:$C$102,C1075)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SUMIFS(RAB!$F$14:$F$102,RAB!$C$14:$C$102,C1076)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SUMIFS(RAB!$F$14:$F$102,RAB!$C$14:$C$102,C1077)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SUMIFS(RAB!$F$14:$F$102,RAB!$C$14:$C$102,C1078)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SUMIFS(RAB!$F$14:$F$102,RAB!$C$14:$C$102,C1079)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SUMIFS(RAB!$F$14:$F$102,RAB!$C$14:$C$102,C1080)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SUMIFS(RAB!$F$14:$F$102,RAB!$C$14:$C$102,C1081)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SUMIFS(RAB!$F$14:$F$102,RAB!$C$14:$C$102,C1082)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SUMIFS(RAB!$F$14:$F$102,RAB!$C$14:$C$102,C1083)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SUMIFS(RAB!$F$14:$F$102,RAB!$C$14:$C$102,C1084)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SUMIFS(RAB!$F$14:$F$102,RAB!$C$14:$C$102,C1085)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SUMIFS(RAB!$F$14:$F$102,RAB!$C$14:$C$102,C1086)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SUMIFS(RAB!$F$14:$F$102,RAB!$C$14:$C$102,C1087)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SUMIFS(RAB!$F$14:$F$102,RAB!$C$14:$C$102,C1088)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SUMIFS(RAB!$F$14:$F$102,RAB!$C$14:$C$102,C1089)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SUMIFS(RAB!$F$14:$F$102,RAB!$C$14:$C$102,C1090)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SUMIFS(RAB!$F$14:$F$102,RAB!$C$14:$C$102,C1091)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SUMIFS(RAB!$F$14:$F$102,RAB!$C$14:$C$102,C1092)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SUMIFS(RAB!$F$14:$F$102,RAB!$C$14:$C$102,C1093)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SUMIFS(RAB!$F$14:$F$102,RAB!$C$14:$C$102,C1094)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SUMIFS(RAB!$F$14:$F$102,RAB!$C$14:$C$102,C1095)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SUMIFS(RAB!$F$14:$F$102,RAB!$C$14:$C$102,C1096)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SUMIFS(RAB!$F$14:$F$102,RAB!$C$14:$C$102,C1097)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SUMIFS(RAB!$F$14:$F$102,RAB!$C$14:$C$102,C1098)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SUMIFS(RAB!$F$14:$F$102,RAB!$C$14:$C$102,C1099)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SUMIFS(RAB!$F$14:$F$102,RAB!$C$14:$C$102,C1100)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SUMIFS(RAB!$F$14:$F$102,RAB!$C$14:$C$102,C1101)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SUMIFS(RAB!$F$14:$F$102,RAB!$C$14:$C$102,C1102)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SUMIFS(RAB!$F$14:$F$102,RAB!$C$14:$C$102,C1103)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SUMIFS(RAB!$F$14:$F$102,RAB!$C$14:$C$102,C1104)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SUMIFS(RAB!$F$14:$F$102,RAB!$C$14:$C$102,C1105)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SUMIFS(RAB!$F$14:$F$102,RAB!$C$14:$C$102,C1106)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SUMIFS(RAB!$F$14:$F$102,RAB!$C$14:$C$102,C1107)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SUMIFS(RAB!$F$14:$F$102,RAB!$C$14:$C$102,C1108)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SUMIFS(RAB!$F$14:$F$102,RAB!$C$14:$C$102,C1109)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SUMIFS(RAB!$F$14:$F$102,RAB!$C$14:$C$102,C1110)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SUMIFS(RAB!$F$14:$F$102,RAB!$C$14:$C$102,C1111)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SUMIFS(RAB!$F$14:$F$102,RAB!$C$14:$C$102,C1112)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SUMIFS(RAB!$F$14:$F$102,RAB!$C$14:$C$102,C1113)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SUMIFS(RAB!$F$14:$F$102,RAB!$C$14:$C$102,C1114)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SUMIFS(RAB!$F$14:$F$102,RAB!$C$14:$C$102,C1115)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SUMIFS(RAB!$F$14:$F$102,RAB!$C$14:$C$102,C1116)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SUMIFS(RAB!$F$14:$F$102,RAB!$C$14:$C$102,C1117)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SUMIFS(RAB!$F$14:$F$102,RAB!$C$14:$C$102,C1118)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SUMIFS(RAB!$F$14:$F$102,RAB!$C$14:$C$102,C1119)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SUMIFS(RAB!$F$14:$F$102,RAB!$C$14:$C$102,C1120)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SUMIFS(RAB!$F$14:$F$102,RAB!$C$14:$C$102,C1121)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SUMIFS(RAB!$F$14:$F$102,RAB!$C$14:$C$102,C1122)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SUMIFS(RAB!$F$14:$F$102,RAB!$C$14:$C$102,C1123)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SUMIFS(RAB!$F$14:$F$102,RAB!$C$14:$C$102,C1124)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SUMIFS(RAB!$F$14:$F$102,RAB!$C$14:$C$102,C1125)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SUMIFS(RAB!$F$14:$F$102,RAB!$C$14:$C$102,C1126)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SUMIFS(RAB!$F$14:$F$102,RAB!$C$14:$C$102,C1127)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SUMIFS(RAB!$F$14:$F$102,RAB!$C$14:$C$102,C1128)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SUMIFS(RAB!$F$14:$F$102,RAB!$C$14:$C$102,C1129)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SUMIFS(RAB!$F$14:$F$102,RAB!$C$14:$C$102,C1130)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SUMIFS(RAB!$F$14:$F$102,RAB!$C$14:$C$102,C1131)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SUMIFS(RAB!$F$14:$F$102,RAB!$C$14:$C$102,C1132)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SUMIFS(RAB!$F$14:$F$102,RAB!$C$14:$C$102,C1133)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SUMIFS(RAB!$F$14:$F$102,RAB!$C$14:$C$102,C1134)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SUMIFS(RAB!$F$14:$F$102,RAB!$C$14:$C$102,C1135)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SUMIFS(RAB!$F$14:$F$102,RAB!$C$14:$C$102,C1136)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SUMIFS(RAB!$F$14:$F$102,RAB!$C$14:$C$102,C1137)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SUMIFS(RAB!$F$14:$F$102,RAB!$C$14:$C$102,C1138)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SUMIFS(RAB!$F$14:$F$102,RAB!$C$14:$C$102,C1139)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SUMIFS(RAB!$F$14:$F$102,RAB!$C$14:$C$102,C1140)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SUMIFS(RAB!$F$14:$F$102,RAB!$C$14:$C$102,C1141)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SUMIFS(RAB!$F$14:$F$102,RAB!$C$14:$C$102,C1142)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SUMIFS(RAB!$F$14:$F$102,RAB!$C$14:$C$102,C1143)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SUMIFS(RAB!$F$14:$F$102,RAB!$C$14:$C$102,C1144)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SUMIFS(RAB!$F$14:$F$102,RAB!$C$14:$C$102,C1145)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SUMIFS(RAB!$F$14:$F$102,RAB!$C$14:$C$102,C1146)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SUMIFS(RAB!$F$14:$F$102,RAB!$C$14:$C$102,C1147)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SUMIFS(RAB!$F$14:$F$102,RAB!$C$14:$C$102,C1148)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SUMIFS(RAB!$F$14:$F$102,RAB!$C$14:$C$102,C1149)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SUMIFS(RAB!$F$14:$F$102,RAB!$C$14:$C$102,C1150)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SUMIFS(RAB!$F$14:$F$102,RAB!$C$14:$C$102,C1151)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SUMIFS(RAB!$F$14:$F$102,RAB!$C$14:$C$102,C1152)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SUMIFS(RAB!$F$14:$F$102,RAB!$C$14:$C$102,C1153)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SUMIFS(RAB!$F$14:$F$102,RAB!$C$14:$C$102,C1154)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SUMIFS(RAB!$F$14:$F$102,RAB!$C$14:$C$102,C1155)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SUMIFS(RAB!$F$14:$F$102,RAB!$C$14:$C$102,C1156)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SUMIFS(RAB!$F$14:$F$102,RAB!$C$14:$C$102,C1157)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SUMIFS(RAB!$F$14:$F$102,RAB!$C$14:$C$102,C1158)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SUMIFS(RAB!$F$14:$F$102,RAB!$C$14:$C$102,C1159)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SUMIFS(RAB!$F$14:$F$102,RAB!$C$14:$C$102,C1160)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SUMIFS(RAB!$F$14:$F$102,RAB!$C$14:$C$102,C1161)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SUMIFS(RAB!$F$14:$F$102,RAB!$C$14:$C$102,C1162)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SUMIFS(RAB!$F$14:$F$102,RAB!$C$14:$C$102,C1163)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SUMIFS(RAB!$F$14:$F$102,RAB!$C$14:$C$102,C1164)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SUMIFS(RAB!$F$14:$F$102,RAB!$C$14:$C$102,C1165)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SUMIFS(RAB!$F$14:$F$102,RAB!$C$14:$C$102,C1166)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SUMIFS(RAB!$F$14:$F$102,RAB!$C$14:$C$102,C1167)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SUMIFS(RAB!$F$14:$F$102,RAB!$C$14:$C$102,C1168)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SUMIFS(RAB!$F$14:$F$102,RAB!$C$14:$C$102,C1169)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SUMIFS(RAB!$F$14:$F$102,RAB!$C$14:$C$102,C1170)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SUMIFS(RAB!$F$14:$F$102,RAB!$C$14:$C$102,C1171)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SUMIFS(RAB!$F$14:$F$102,RAB!$C$14:$C$102,C1172)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SUMIFS(RAB!$F$14:$F$102,RAB!$C$14:$C$102,C1173)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SUMIFS(RAB!$F$14:$F$102,RAB!$C$14:$C$102,C1174)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SUMIFS(RAB!$F$14:$F$102,RAB!$C$14:$C$102,C1175)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SUMIFS(RAB!$F$14:$F$102,RAB!$C$14:$C$102,C1176)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SUMIFS(RAB!$F$14:$F$102,RAB!$C$14:$C$102,C1177)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SUMIFS(RAB!$F$14:$F$102,RAB!$C$14:$C$102,C1178)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SUMIFS(RAB!$F$14:$F$102,RAB!$C$14:$C$102,C1179)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SUMIFS(RAB!$F$14:$F$102,RAB!$C$14:$C$102,C1180)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SUMIFS(RAB!$F$14:$F$102,RAB!$C$14:$C$102,C1181)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SUMIFS(RAB!$F$14:$F$102,RAB!$C$14:$C$102,C1182)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SUMIFS(RAB!$F$14:$F$102,RAB!$C$14:$C$102,C1183)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SUMIFS(RAB!$F$14:$F$102,RAB!$C$14:$C$102,C1184)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SUMIFS(RAB!$F$14:$F$102,RAB!$C$14:$C$102,C1185)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SUMIFS(RAB!$F$14:$F$102,RAB!$C$14:$C$102,C1186)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SUMIFS(RAB!$F$14:$F$102,RAB!$C$14:$C$102,C1187)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SUMIFS(RAB!$F$14:$F$102,RAB!$C$14:$C$102,C1188)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SUMIFS(RAB!$F$14:$F$102,RAB!$C$14:$C$102,C1189)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SUMIFS(RAB!$F$14:$F$102,RAB!$C$14:$C$102,C1190)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SUMIFS(RAB!$F$14:$F$102,RAB!$C$14:$C$102,C1191)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SUMIFS(RAB!$F$14:$F$102,RAB!$C$14:$C$102,C1192)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SUMIFS(RAB!$F$14:$F$102,RAB!$C$14:$C$102,C1193)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SUMIFS(RAB!$F$14:$F$102,RAB!$C$14:$C$102,C1194)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SUMIFS(RAB!$F$14:$F$102,RAB!$C$14:$C$102,C1195)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SUMIFS(RAB!$F$14:$F$102,RAB!$C$14:$C$102,C1196)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SUMIFS(RAB!$F$14:$F$102,RAB!$C$14:$C$102,C1197)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SUMIFS(RAB!$F$14:$F$102,RAB!$C$14:$C$102,C1198)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SUMIFS(RAB!$F$14:$F$102,RAB!$C$14:$C$102,C1199)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SUMIFS(RAB!$F$14:$F$102,RAB!$C$14:$C$102,C1200)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SUMIFS(RAB!$F$14:$F$102,RAB!$C$14:$C$102,C1201)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SUMIFS(RAB!$F$14:$F$102,RAB!$C$14:$C$102,C1202)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SUMIFS(RAB!$F$14:$F$102,RAB!$C$14:$C$102,C1203)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SUMIFS(RAB!$F$14:$F$102,RAB!$C$14:$C$102,C1204)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SUMIFS(RAB!$F$14:$F$102,RAB!$C$14:$C$102,C1205)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SUMIFS(RAB!$F$14:$F$102,RAB!$C$14:$C$102,C1206)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SUMIFS(RAB!$F$14:$F$102,RAB!$C$14:$C$102,C1207)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SUMIFS(RAB!$F$14:$F$102,RAB!$C$14:$C$102,C1208)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SUMIFS(RAB!$F$14:$F$102,RAB!$C$14:$C$102,C1209)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SUMIFS(RAB!$F$14:$F$102,RAB!$C$14:$C$102,C1210)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SUMIFS(RAB!$F$14:$F$102,RAB!$C$14:$C$102,C1211)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SUMIFS(RAB!$F$14:$F$102,RAB!$C$14:$C$102,C1212)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SUMIFS(RAB!$F$14:$F$102,RAB!$C$14:$C$102,C1213)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SUMIFS(RAB!$F$14:$F$102,RAB!$C$14:$C$102,C1214)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SUMIFS(RAB!$F$14:$F$102,RAB!$C$14:$C$102,C1215)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SUMIFS(RAB!$F$14:$F$102,RAB!$C$14:$C$102,C1216)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SUMIFS(RAB!$F$14:$F$102,RAB!$C$14:$C$102,C1217)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SUMIFS(RAB!$F$14:$F$102,RAB!$C$14:$C$102,C1218)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SUMIFS(RAB!$F$14:$F$102,RAB!$C$14:$C$102,C1219)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SUMIFS(RAB!$F$14:$F$102,RAB!$C$14:$C$102,C1220)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SUMIFS(RAB!$F$14:$F$102,RAB!$C$14:$C$102,C1221)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SUMIFS(RAB!$F$14:$F$102,RAB!$C$14:$C$102,C1222)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SUMIFS(RAB!$F$14:$F$102,RAB!$C$14:$C$102,C1223)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SUMIFS(RAB!$F$14:$F$102,RAB!$C$14:$C$102,C1224)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SUMIFS(RAB!$F$14:$F$102,RAB!$C$14:$C$102,C1225)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SUMIFS(RAB!$F$14:$F$102,RAB!$C$14:$C$102,C1226)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SUMIFS(RAB!$F$14:$F$102,RAB!$C$14:$C$102,C1227)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SUMIFS(RAB!$F$14:$F$102,RAB!$C$14:$C$102,C1228)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SUMIFS(RAB!$F$14:$F$102,RAB!$C$14:$C$102,C1229)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SUMIFS(RAB!$F$14:$F$102,RAB!$C$14:$C$102,C1230)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SUMIFS(RAB!$F$14:$F$102,RAB!$C$14:$C$102,C1231)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SUMIFS(RAB!$F$14:$F$102,RAB!$C$14:$C$102,C1232)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SUMIFS(RAB!$F$14:$F$102,RAB!$C$14:$C$102,C1233)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SUMIFS(RAB!$F$14:$F$102,RAB!$C$14:$C$102,C1234)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SUMIFS(RAB!$F$14:$F$102,RAB!$C$14:$C$102,C1235)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SUMIFS(RAB!$F$14:$F$102,RAB!$C$14:$C$102,C1236)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SUMIFS(RAB!$F$14:$F$102,RAB!$C$14:$C$102,C1237)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SUMIFS(RAB!$F$14:$F$102,RAB!$C$14:$C$102,C1238)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SUMIFS(RAB!$F$14:$F$102,RAB!$C$14:$C$102,C1239)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SUMIFS(RAB!$F$14:$F$102,RAB!$C$14:$C$102,C1240)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SUMIFS(RAB!$F$14:$F$102,RAB!$C$14:$C$102,C1241)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SUMIFS(RAB!$F$14:$F$102,RAB!$C$14:$C$102,C1242)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SUMIFS(RAB!$F$14:$F$102,RAB!$C$14:$C$102,C1243)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SUMIFS(RAB!$F$14:$F$102,RAB!$C$14:$C$102,C1244)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SUMIFS(RAB!$F$14:$F$102,RAB!$C$14:$C$102,C1245)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SUMIFS(RAB!$F$14:$F$102,RAB!$C$14:$C$102,C1246)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SUMIFS(RAB!$F$14:$F$102,RAB!$C$14:$C$102,C1247)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SUMIFS(RAB!$F$14:$F$102,RAB!$C$14:$C$102,C1248)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SUMIFS(RAB!$F$14:$F$102,RAB!$C$14:$C$102,C1249)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SUMIFS(RAB!$F$14:$F$102,RAB!$C$14:$C$102,C1250)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SUMIFS(RAB!$F$14:$F$102,RAB!$C$14:$C$102,C1251)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SUMIFS(RAB!$F$14:$F$102,RAB!$C$14:$C$102,C1252)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SUMIFS(RAB!$F$14:$F$102,RAB!$C$14:$C$102,C1253)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SUMIFS(RAB!$F$14:$F$102,RAB!$C$14:$C$102,C1254)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SUMIFS(RAB!$F$14:$F$102,RAB!$C$14:$C$102,C1255)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SUMIFS(RAB!$F$14:$F$102,RAB!$C$14:$C$102,C1256)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SUMIFS(RAB!$F$14:$F$102,RAB!$C$14:$C$102,C1257)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SUMIFS(RAB!$F$14:$F$102,RAB!$C$14:$C$102,C1258)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SUMIFS(RAB!$F$14:$F$102,RAB!$C$14:$C$102,C1259)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SUMIFS(RAB!$F$14:$F$102,RAB!$C$14:$C$102,C1260)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SUMIFS(RAB!$F$14:$F$102,RAB!$C$14:$C$102,C1261)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SUMIFS(RAB!$F$14:$F$102,RAB!$C$14:$C$102,C1262)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SUMIFS(RAB!$F$14:$F$102,RAB!$C$14:$C$102,C1263)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SUMIFS(RAB!$F$14:$F$102,RAB!$C$14:$C$102,C1264)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SUMIFS(RAB!$F$14:$F$102,RAB!$C$14:$C$102,C1265)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SUMIFS(RAB!$F$14:$F$102,RAB!$C$14:$C$102,C1266)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SUMIFS(RAB!$F$14:$F$102,RAB!$C$14:$C$102,C1267)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SUMIFS(RAB!$F$14:$F$102,RAB!$C$14:$C$102,C1268)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SUMIFS(RAB!$F$14:$F$102,RAB!$C$14:$C$102,C1269)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SUMIFS(RAB!$F$14:$F$102,RAB!$C$14:$C$102,C1270)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SUMIFS(RAB!$F$14:$F$102,RAB!$C$14:$C$102,C1271)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SUMIFS(RAB!$F$14:$F$102,RAB!$C$14:$C$102,C1272)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SUMIFS(RAB!$F$14:$F$102,RAB!$C$14:$C$102,C1273)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SUMIFS(RAB!$F$14:$F$102,RAB!$C$14:$C$102,C1274)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SUMIFS(RAB!$F$14:$F$102,RAB!$C$14:$C$102,C1275)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SUMIFS(RAB!$F$14:$F$102,RAB!$C$14:$C$102,C1276)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SUMIFS(RAB!$F$14:$F$102,RAB!$C$14:$C$102,C1277)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SUMIFS(RAB!$F$14:$F$102,RAB!$C$14:$C$102,C1278)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SUMIFS(RAB!$F$14:$F$102,RAB!$C$14:$C$102,C1279)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SUMIFS(RAB!$F$14:$F$102,RAB!$C$14:$C$102,C1280)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SUMIFS(RAB!$F$14:$F$102,RAB!$C$14:$C$102,C1281)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SUMIFS(RAB!$F$14:$F$102,RAB!$C$14:$C$102,C1282)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SUMIFS(RAB!$F$14:$F$102,RAB!$C$14:$C$102,C1283)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SUMIFS(RAB!$F$14:$F$102,RAB!$C$14:$C$102,C1284)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SUMIFS(RAB!$F$14:$F$102,RAB!$C$14:$C$102,C1285)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SUMIFS(RAB!$F$14:$F$102,RAB!$C$14:$C$102,C1286)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SUMIFS(RAB!$F$14:$F$102,RAB!$C$14:$C$102,C1287)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SUMIFS(RAB!$F$14:$F$102,RAB!$C$14:$C$102,C1288)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SUMIFS(RAB!$F$14:$F$102,RAB!$C$14:$C$102,C1289)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SUMIFS(RAB!$F$14:$F$102,RAB!$C$14:$C$102,C1290)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SUMIFS(RAB!$F$14:$F$102,RAB!$C$14:$C$102,C1291)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SUMIFS(RAB!$F$14:$F$102,RAB!$C$14:$C$102,C1292)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SUMIFS(RAB!$F$14:$F$102,RAB!$C$14:$C$102,C1293)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SUMIFS(RAB!$F$14:$F$102,RAB!$C$14:$C$102,C1294)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SUMIFS(RAB!$F$14:$F$102,RAB!$C$14:$C$102,C1295)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SUMIFS(RAB!$F$14:$F$102,RAB!$C$14:$C$102,C1296)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SUMIFS(RAB!$F$14:$F$102,RAB!$C$14:$C$102,C1297)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SUMIFS(RAB!$F$14:$F$102,RAB!$C$14:$C$102,C1298)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SUMIFS(RAB!$F$14:$F$102,RAB!$C$14:$C$102,C1299)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SUMIFS(RAB!$F$14:$F$102,RAB!$C$14:$C$102,C1300)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SUMIFS(RAB!$F$14:$F$102,RAB!$C$14:$C$102,C1301)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SUMIFS(RAB!$F$14:$F$102,RAB!$C$14:$C$102,C1302)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SUMIFS(RAB!$F$14:$F$102,RAB!$C$14:$C$102,C1303)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SUMIFS(RAB!$F$14:$F$102,RAB!$C$14:$C$102,C1304)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SUMIFS(RAB!$F$14:$F$102,RAB!$C$14:$C$102,C1305)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SUMIFS(RAB!$F$14:$F$102,RAB!$C$14:$C$102,C1306)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SUMIFS(RAB!$F$14:$F$102,RAB!$C$14:$C$102,C1307)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SUMIFS(RAB!$F$14:$F$102,RAB!$C$14:$C$102,C1308)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SUMIFS(RAB!$F$14:$F$102,RAB!$C$14:$C$102,C1309)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SUMIFS(RAB!$F$14:$F$102,RAB!$C$14:$C$102,C1310)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SUMIFS(RAB!$F$14:$F$102,RAB!$C$14:$C$102,C1311)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SUMIFS(RAB!$F$14:$F$102,RAB!$C$14:$C$102,C1312)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SUMIFS(RAB!$F$14:$F$102,RAB!$C$14:$C$102,C1313)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SUMIFS(RAB!$F$14:$F$102,RAB!$C$14:$C$102,C1314)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SUMIFS(RAB!$F$14:$F$102,RAB!$C$14:$C$102,C1315)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SUMIFS(RAB!$F$14:$F$102,RAB!$C$14:$C$102,C1316)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SUMIFS(RAB!$F$14:$F$102,RAB!$C$14:$C$102,C1317)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SUMIFS(RAB!$F$14:$F$102,RAB!$C$14:$C$102,C1318)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SUMIFS(RAB!$F$14:$F$102,RAB!$C$14:$C$102,C1319)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SUMIFS(RAB!$F$14:$F$102,RAB!$C$14:$C$102,C1320)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TSEL_TBG_DMK718 BETOKAN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KRAPYAK BARAT, BETOKAN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17674400</v>
      </c>
      <c r="J38" s="55">
        <f ca="1">SUM(J14:J37)</f>
        <v>0</v>
      </c>
      <c r="K38" s="55">
        <f ca="1">SUM(K14:K37)</f>
        <v>17674400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1767440</v>
      </c>
      <c r="J39" s="60">
        <f ca="1">J38*0.1</f>
        <v>0</v>
      </c>
      <c r="K39" s="60">
        <f ca="1">K38*0.1</f>
        <v>1767440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19441840</v>
      </c>
      <c r="J40" s="61">
        <f ca="1">SUM(J38:J39)</f>
        <v>0</v>
      </c>
      <c r="K40" s="61">
        <f ca="1">SUM(K38:K39)</f>
        <v>19441840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SUMIFS(RAB!$F$14:$F$102,RAB!$C$14:$C$102,'REKAP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SUMIFS(RAB!$F$14:$F$102,RAB!$C$14:$C$102,'REKAP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SUMIFS(RAB!$F$14:$F$102,RAB!$C$14:$C$102,'REKAP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SUMIFS(RAB!$F$14:$F$102,RAB!$C$14:$C$102,'REKAP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SUMIFS(RAB!$F$14:$F$102,RAB!$C$14:$C$102,'REKAP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SUMIFS(RAB!$F$14:$F$102,RAB!$C$14:$C$102,'REKAP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SUMIFS(RAB!$F$14:$F$102,RAB!$C$14:$C$102,'REKAP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SUMIFS(RAB!$F$14:$F$102,RAB!$C$14:$C$102,'REKAP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SUMIFS(RAB!$F$14:$F$102,RAB!$C$14:$C$102,'REKAP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SUMIFS(RAB!$F$14:$F$102,RAB!$C$14:$C$102,'REKAP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SUMIFS(RAB!$F$14:$F$102,RAB!$C$14:$C$102,'REKAP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SUMIFS(RAB!$F$14:$F$102,RAB!$C$14:$C$102,'REKAP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SUMIFS(RAB!$F$14:$F$102,RAB!$C$14:$C$102,'REKAP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SUMIFS(RAB!$F$14:$F$102,RAB!$C$14:$C$102,'REKAP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SUMIFS(RAB!$F$14:$F$102,RAB!$C$14:$C$102,'REKAP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SUMIFS(RAB!$F$14:$F$102,RAB!$C$14:$C$102,'REKAP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SUMIFS(RAB!$F$14:$F$102,RAB!$C$14:$C$102,'REKAP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SUMIFS(RAB!$F$14:$F$102,RAB!$C$14:$C$102,'REKAP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SUMIFS(RAB!$F$14:$F$102,RAB!$C$14:$C$102,'REKAP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SUMIFS(RAB!$F$14:$F$102,RAB!$C$14:$C$102,'REKAP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TSEL_TBG_DMK718 BETOKAN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KRAPYAK BARAT, BETOKAN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175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9327500</v>
      </c>
      <c r="I21" s="42">
        <f t="shared" ca="1" si="2"/>
        <v>0</v>
      </c>
      <c r="J21" s="42">
        <f t="shared" ca="1" si="3"/>
        <v>0</v>
      </c>
      <c r="K21" s="43">
        <f t="shared" ca="1" si="0"/>
        <v>9327500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40060300</v>
      </c>
      <c r="I168" s="55">
        <f ca="1">SUM(I14:I167)</f>
        <v>0</v>
      </c>
      <c r="J168" s="55">
        <f ca="1">SUM(J14:J167)</f>
        <v>0</v>
      </c>
      <c r="K168" s="55">
        <f ca="1">SUM(K14:K167)</f>
        <v>40060300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4006030</v>
      </c>
      <c r="I169" s="60">
        <f ca="1">I168*0.1</f>
        <v>0</v>
      </c>
      <c r="J169" s="60">
        <f ca="1">J168*0.1</f>
        <v>0</v>
      </c>
      <c r="K169" s="60">
        <f ca="1">K168*0.1</f>
        <v>4006030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44066330</v>
      </c>
      <c r="I170" s="78">
        <f ca="1">SUM(I168:I169)</f>
        <v>0</v>
      </c>
      <c r="J170" s="61">
        <f ca="1">SUM(J168:J169)</f>
        <v>0</v>
      </c>
      <c r="K170" s="61">
        <f ca="1">SUM(K168:K169)</f>
        <v>44066330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SUMIFS(RAB!$F$14:$F$102,RAB!$C$14:$C$102,C224)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SUMIFS(RAB!$F$14:$F$102,RAB!$C$14:$C$102,C225)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SUMIFS(RAB!$F$14:$F$102,RAB!$C$14:$C$102,C226)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SUMIFS(RAB!$F$14:$F$102,RAB!$C$14:$C$102,C227)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SUMIFS(RAB!$F$14:$F$102,RAB!$C$14:$C$102,C228)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SUMIFS(RAB!$F$14:$F$102,RAB!$C$14:$C$102,C229)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SUMIFS(RAB!$F$14:$F$102,RAB!$C$14:$C$102,C230)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SUMIFS(RAB!$F$14:$F$102,RAB!$C$14:$C$102,C231)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SUMIFS(RAB!$F$14:$F$102,RAB!$C$14:$C$102,C232)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SUMIFS(RAB!$F$14:$F$102,RAB!$C$14:$C$102,C233)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SUMIFS(RAB!$F$14:$F$102,RAB!$C$14:$C$102,C234)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SUMIFS(RAB!$F$14:$F$102,RAB!$C$14:$C$102,C235)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SUMIFS(RAB!$F$14:$F$102,RAB!$C$14:$C$102,C236)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SUMIFS(RAB!$F$14:$F$102,RAB!$C$14:$C$102,C237)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SUMIFS(RAB!$F$14:$F$102,RAB!$C$14:$C$102,C238)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SUMIFS(RAB!$F$14:$F$102,RAB!$C$14:$C$102,C239)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SUMIFS(RAB!$F$14:$F$102,RAB!$C$14:$C$102,C240)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SUMIFS(RAB!$F$14:$F$102,RAB!$C$14:$C$102,C241)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SUMIFS(RAB!$F$14:$F$102,RAB!$C$14:$C$102,C242)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SUMIFS(RAB!$F$14:$F$102,RAB!$C$14:$C$102,C243)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SUMIFS(RAB!$F$14:$F$102,RAB!$C$14:$C$102,C244)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SUMIFS(RAB!$F$14:$F$102,RAB!$C$14:$C$102,C245)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SUMIFS(RAB!$F$14:$F$102,RAB!$C$14:$C$102,C246)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SUMIFS(RAB!$F$14:$F$102,RAB!$C$14:$C$102,C247)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SUMIFS(RAB!$F$14:$F$102,RAB!$C$14:$C$102,C248)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SUMIFS(RAB!$F$14:$F$102,RAB!$C$14:$C$102,C249)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SUMIFS(RAB!$F$14:$F$102,RAB!$C$14:$C$102,C250)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SUMIFS(RAB!$F$14:$F$102,RAB!$C$14:$C$102,C251)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SUMIFS(RAB!$F$14:$F$102,RAB!$C$14:$C$102,C252)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SUMIFS(RAB!$F$14:$F$102,RAB!$C$14:$C$102,C253)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SUMIFS(RAB!$F$14:$F$102,RAB!$C$14:$C$102,C254)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SUMIFS(RAB!$F$14:$F$102,RAB!$C$14:$C$102,C255)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SUMIFS(RAB!$F$14:$F$102,RAB!$C$14:$C$102,C256)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SUMIFS(RAB!$F$14:$F$102,RAB!$C$14:$C$102,C257)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SUMIFS(RAB!$F$14:$F$102,RAB!$C$14:$C$102,C258)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SUMIFS(RAB!$F$14:$F$102,RAB!$C$14:$C$102,C259)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SUMIFS(RAB!$F$14:$F$102,RAB!$C$14:$C$102,C260)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SUMIFS(RAB!$F$14:$F$102,RAB!$C$14:$C$102,C261)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SUMIFS(RAB!$F$14:$F$102,RAB!$C$14:$C$102,C262)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SUMIFS(RAB!$F$14:$F$102,RAB!$C$14:$C$102,C263)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SUMIFS(RAB!$F$14:$F$102,RAB!$C$14:$C$102,C264)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SUMIFS(RAB!$F$14:$F$102,RAB!$C$14:$C$102,C265)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SUMIFS(RAB!$F$14:$F$102,RAB!$C$14:$C$102,C266)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SUMIFS(RAB!$F$14:$F$102,RAB!$C$14:$C$102,C267)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SUMIFS(RAB!$F$14:$F$102,RAB!$C$14:$C$102,C268)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SUMIFS(RAB!$F$14:$F$102,RAB!$C$14:$C$102,C269)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SUMIFS(RAB!$F$14:$F$102,RAB!$C$14:$C$102,C270)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SUMIFS(RAB!$F$14:$F$102,RAB!$C$14:$C$102,C271)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SUMIFS(RAB!$F$14:$F$102,RAB!$C$14:$C$102,C272)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SUMIFS(RAB!$F$14:$F$102,RAB!$C$14:$C$102,C273)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SUMIFS(RAB!$F$14:$F$102,RAB!$C$14:$C$102,C274)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SUMIFS(RAB!$F$14:$F$102,RAB!$C$14:$C$102,C275)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SUMIFS(RAB!$F$14:$F$102,RAB!$C$14:$C$102,C276)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SUMIFS(RAB!$F$14:$F$102,RAB!$C$14:$C$102,C277)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SUMIFS(RAB!$F$14:$F$102,RAB!$C$14:$C$102,C278)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SUMIFS(RAB!$F$14:$F$102,RAB!$C$14:$C$102,C279)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SUMIFS(RAB!$F$14:$F$102,RAB!$C$14:$C$102,C280)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SUMIFS(RAB!$F$14:$F$102,RAB!$C$14:$C$102,C281)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SUMIFS(RAB!$F$14:$F$102,RAB!$C$14:$C$102,C282)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SUMIFS(RAB!$F$14:$F$102,RAB!$C$14:$C$102,C283)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SUMIFS(RAB!$F$14:$F$102,RAB!$C$14:$C$102,C284)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SUMIFS(RAB!$F$14:$F$102,RAB!$C$14:$C$102,C285)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SUMIFS(RAB!$F$14:$F$102,RAB!$C$14:$C$102,C286)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SUMIFS(RAB!$F$14:$F$102,RAB!$C$14:$C$102,C287)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SUMIFS(RAB!$F$14:$F$102,RAB!$C$14:$C$102,C288)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SUMIFS(RAB!$F$14:$F$102,RAB!$C$14:$C$102,C289)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SUMIFS(RAB!$F$14:$F$102,RAB!$C$14:$C$102,C290)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SUMIFS(RAB!$F$14:$F$102,RAB!$C$14:$C$102,C291)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SUMIFS(RAB!$F$14:$F$102,RAB!$C$14:$C$102,C292)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SUMIFS(RAB!$F$14:$F$102,RAB!$C$14:$C$102,C293)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SUMIFS(RAB!$F$14:$F$102,RAB!$C$14:$C$102,C294)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SUMIFS(RAB!$F$14:$F$102,RAB!$C$14:$C$102,C295)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SUMIFS(RAB!$F$14:$F$102,RAB!$C$14:$C$102,C296)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SUMIFS(RAB!$F$14:$F$102,RAB!$C$14:$C$102,C297)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SUMIFS(RAB!$F$14:$F$102,RAB!$C$14:$C$102,C298)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SUMIFS(RAB!$F$14:$F$102,RAB!$C$14:$C$102,C299)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SUMIFS(RAB!$F$14:$F$102,RAB!$C$14:$C$102,C300)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SUMIFS(RAB!$F$14:$F$102,RAB!$C$14:$C$102,C301)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SUMIFS(RAB!$F$14:$F$102,RAB!$C$14:$C$102,C302)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SUMIFS(RAB!$F$14:$F$102,RAB!$C$14:$C$102,C303)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SUMIFS(RAB!$F$14:$F$102,RAB!$C$14:$C$102,C304)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SUMIFS(RAB!$F$14:$F$102,RAB!$C$14:$C$102,C305)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SUMIFS(RAB!$F$14:$F$102,RAB!$C$14:$C$102,C306)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SUMIFS(RAB!$F$14:$F$102,RAB!$C$14:$C$102,C307)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SUMIFS(RAB!$F$14:$F$102,RAB!$C$14:$C$102,C308)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SUMIFS(RAB!$F$14:$F$102,RAB!$C$14:$C$102,C309)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SUMIFS(RAB!$F$14:$F$102,RAB!$C$14:$C$102,C310)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SUMIFS(RAB!$F$14:$F$102,RAB!$C$14:$C$102,C311)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SUMIFS(RAB!$F$14:$F$102,RAB!$C$14:$C$102,C312)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SUMIFS(RAB!$F$14:$F$102,RAB!$C$14:$C$102,C313)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SUMIFS(RAB!$F$14:$F$102,RAB!$C$14:$C$102,C314)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SUMIFS(RAB!$F$14:$F$102,RAB!$C$14:$C$102,C315)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SUMIFS(RAB!$F$14:$F$102,RAB!$C$14:$C$102,C316)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SUMIFS(RAB!$F$14:$F$102,RAB!$C$14:$C$102,C317)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SUMIFS(RAB!$F$14:$F$102,RAB!$C$14:$C$102,C318)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SUMIFS(RAB!$F$14:$F$102,RAB!$C$14:$C$102,C319)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SUMIFS(RAB!$F$14:$F$102,RAB!$C$14:$C$102,C320)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SUMIFS(RAB!$F$14:$F$102,RAB!$C$14:$C$102,C321)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SUMIFS(RAB!$F$14:$F$102,RAB!$C$14:$C$102,C322)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SUMIFS(RAB!$F$14:$F$102,RAB!$C$14:$C$102,C323)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SUMIFS(RAB!$F$14:$F$102,RAB!$C$14:$C$102,C324)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SUMIFS(RAB!$F$14:$F$102,RAB!$C$14:$C$102,C325)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SUMIFS(RAB!$F$14:$F$102,RAB!$C$14:$C$102,C326)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SUMIFS(RAB!$F$14:$F$102,RAB!$C$14:$C$102,C327)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SUMIFS(RAB!$F$14:$F$102,RAB!$C$14:$C$102,C328)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SUMIFS(RAB!$F$14:$F$102,RAB!$C$14:$C$102,C329)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SUMIFS(RAB!$F$14:$F$102,RAB!$C$14:$C$102,C330)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SUMIFS(RAB!$F$14:$F$102,RAB!$C$14:$C$102,C331)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SUMIFS(RAB!$F$14:$F$102,RAB!$C$14:$C$102,C332)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SUMIFS(RAB!$F$14:$F$102,RAB!$C$14:$C$102,C333)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SUMIFS(RAB!$F$14:$F$102,RAB!$C$14:$C$102,C334)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SUMIFS(RAB!$F$14:$F$102,RAB!$C$14:$C$102,C335)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SUMIFS(RAB!$F$14:$F$102,RAB!$C$14:$C$102,C336)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SUMIFS(RAB!$F$14:$F$102,RAB!$C$14:$C$102,C337)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SUMIFS(RAB!$F$14:$F$102,RAB!$C$14:$C$102,C338)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SUMIFS(RAB!$F$14:$F$102,RAB!$C$14:$C$102,C339)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SUMIFS(RAB!$F$14:$F$102,RAB!$C$14:$C$102,C340)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SUMIFS(RAB!$F$14:$F$102,RAB!$C$14:$C$102,C341)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SUMIFS(RAB!$F$14:$F$102,RAB!$C$14:$C$102,C342)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SUMIFS(RAB!$F$14:$F$102,RAB!$C$14:$C$102,C343)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SUMIFS(RAB!$F$14:$F$102,RAB!$C$14:$C$102,C344)</f>
        <v>175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SUMIFS(RAB!$F$14:$F$102,RAB!$C$14:$C$102,C345)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SUMIFS(RAB!$F$14:$F$102,RAB!$C$14:$C$102,C346)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SUMIFS(RAB!$F$14:$F$102,RAB!$C$14:$C$102,C347)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SUMIFS(RAB!$F$14:$F$102,RAB!$C$14:$C$102,C348)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SUMIFS(RAB!$F$14:$F$102,RAB!$C$14:$C$102,C349)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SUMIFS(RAB!$F$14:$F$102,RAB!$C$14:$C$102,C350)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SUMIFS(RAB!$F$14:$F$102,RAB!$C$14:$C$102,C351)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SUMIFS(RAB!$F$14:$F$102,RAB!$C$14:$C$102,C352)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SUMIFS(RAB!$F$14:$F$102,RAB!$C$14:$C$102,C353)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SUMIFS(RAB!$F$14:$F$102,RAB!$C$14:$C$102,C354)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SUMIFS(RAB!$F$14:$F$102,RAB!$C$14:$C$102,C355)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SUMIFS(RAB!$F$14:$F$102,RAB!$C$14:$C$102,C356)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SUMIFS(RAB!$F$14:$F$102,RAB!$C$14:$C$102,C357)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SUMIFS(RAB!$F$14:$F$102,RAB!$C$14:$C$102,C358)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SUMIFS(RAB!$F$14:$F$102,RAB!$C$14:$C$102,C359)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SUMIFS(RAB!$F$14:$F$102,RAB!$C$14:$C$102,C360)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SUMIFS(RAB!$F$14:$F$102,RAB!$C$14:$C$102,C361)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SUMIFS(RAB!$F$14:$F$102,RAB!$C$14:$C$102,C362)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SUMIFS(RAB!$F$14:$F$102,RAB!$C$14:$C$102,C363)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SUMIFS(RAB!$F$14:$F$102,RAB!$C$14:$C$102,C364)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SUMIFS(RAB!$F$14:$F$102,RAB!$C$14:$C$102,C365)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SUMIFS(RAB!$F$14:$F$102,RAB!$C$14:$C$102,C366)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SUMIFS(RAB!$F$14:$F$102,RAB!$C$14:$C$102,C367)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SUMIFS(RAB!$F$14:$F$102,RAB!$C$14:$C$102,C368)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SUMIFS(RAB!$F$14:$F$102,RAB!$C$14:$C$102,C369)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SUMIFS(RAB!$F$14:$F$102,RAB!$C$14:$C$102,C370)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SUMIFS(RAB!$F$14:$F$102,RAB!$C$14:$C$102,C371)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SUMIFS(RAB!$F$14:$F$102,RAB!$C$14:$C$102,C372)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SUMIFS(RAB!$F$14:$F$102,RAB!$C$14:$C$102,C373)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O20" sqref="O2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1609</v>
      </c>
      <c r="G4" s="108" t="s">
        <v>1608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4" t="s">
        <v>1454</v>
      </c>
      <c r="C2" s="594"/>
      <c r="D2" s="594"/>
      <c r="E2" s="59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9" t="s">
        <v>1532</v>
      </c>
      <c r="C4" s="600"/>
      <c r="D4" s="600"/>
      <c r="E4" s="601"/>
      <c r="F4" s="442"/>
      <c r="G4" s="442"/>
      <c r="H4" s="443"/>
      <c r="I4" s="563" t="s">
        <v>1533</v>
      </c>
      <c r="J4" s="564"/>
      <c r="K4" s="564"/>
      <c r="L4" s="565"/>
    </row>
    <row r="5" spans="1:12" ht="34.5" customHeight="1">
      <c r="A5" s="204"/>
      <c r="B5" s="445" t="s">
        <v>1379</v>
      </c>
      <c r="C5" s="277" t="s">
        <v>9</v>
      </c>
      <c r="D5" s="595" t="str">
        <f>DATA!D14</f>
        <v>TSEL_TBG_DMK718 BETOKAN</v>
      </c>
      <c r="E5" s="596"/>
      <c r="F5" s="208"/>
      <c r="G5" s="208"/>
      <c r="I5" s="446" t="s">
        <v>1379</v>
      </c>
      <c r="J5" s="277" t="s">
        <v>9</v>
      </c>
      <c r="K5" s="566" t="str">
        <f>D5</f>
        <v>TSEL_TBG_DMK718 BETOKAN</v>
      </c>
      <c r="L5" s="567"/>
    </row>
    <row r="6" spans="1:12" ht="31.5" customHeight="1">
      <c r="A6" s="204"/>
      <c r="B6" s="445" t="s">
        <v>1529</v>
      </c>
      <c r="C6" s="277" t="s">
        <v>9</v>
      </c>
      <c r="D6" s="604">
        <f>DATA!D17*1000</f>
        <v>0</v>
      </c>
      <c r="E6" s="605"/>
      <c r="F6" s="208"/>
      <c r="G6" s="208"/>
      <c r="I6" s="446" t="s">
        <v>1530</v>
      </c>
      <c r="J6" s="277" t="s">
        <v>9</v>
      </c>
      <c r="K6" s="568">
        <f>DATA!D20*1000</f>
        <v>11000</v>
      </c>
      <c r="L6" s="569"/>
    </row>
    <row r="7" spans="1:12" ht="30.75" customHeight="1">
      <c r="A7" s="204"/>
      <c r="B7" s="445" t="s">
        <v>1441</v>
      </c>
      <c r="C7" s="277" t="s">
        <v>9</v>
      </c>
      <c r="D7" s="602">
        <f>DATA!D18</f>
        <v>1</v>
      </c>
      <c r="E7" s="603"/>
      <c r="F7" s="444" t="s">
        <v>1453</v>
      </c>
      <c r="I7" s="446" t="s">
        <v>1441</v>
      </c>
      <c r="J7" s="277" t="s">
        <v>9</v>
      </c>
      <c r="K7" s="570">
        <f>DATA!D21</f>
        <v>1</v>
      </c>
      <c r="L7" s="571"/>
    </row>
    <row r="8" spans="1:12" ht="51" customHeight="1">
      <c r="A8" s="204"/>
      <c r="B8" s="445" t="s">
        <v>1442</v>
      </c>
      <c r="C8" s="277" t="s">
        <v>9</v>
      </c>
      <c r="D8" s="602">
        <f>DATA!D19</f>
        <v>220</v>
      </c>
      <c r="E8" s="603"/>
      <c r="F8" s="444" t="s">
        <v>1453</v>
      </c>
      <c r="G8" s="439">
        <v>220</v>
      </c>
      <c r="I8" s="446" t="s">
        <v>1442</v>
      </c>
      <c r="J8" s="277" t="s">
        <v>9</v>
      </c>
      <c r="K8" s="570">
        <f>DATA!D22</f>
        <v>220</v>
      </c>
      <c r="L8" s="571"/>
    </row>
    <row r="9" spans="1:12" ht="30" customHeight="1" thickBot="1">
      <c r="A9" s="204"/>
      <c r="B9" s="451" t="s">
        <v>1541</v>
      </c>
      <c r="C9" s="441" t="s">
        <v>9</v>
      </c>
      <c r="D9" s="597">
        <f>IF(D7=1,D6/(380/3^0.5),(D6/(380*3^0.5)))</f>
        <v>0</v>
      </c>
      <c r="E9" s="598"/>
      <c r="F9" s="207"/>
      <c r="G9" s="440">
        <v>380</v>
      </c>
      <c r="I9" s="452" t="s">
        <v>1541</v>
      </c>
      <c r="J9" s="441" t="s">
        <v>9</v>
      </c>
      <c r="K9" s="574">
        <f>IF(K7=1,K6/(380/3^0.5),(K6/(380*3^0.5)))</f>
        <v>50.138312850678027</v>
      </c>
      <c r="L9" s="575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6"/>
      <c r="E12" s="607"/>
      <c r="F12" s="208"/>
      <c r="G12" s="208"/>
      <c r="I12" s="468" t="s">
        <v>1534</v>
      </c>
      <c r="J12" s="469" t="s">
        <v>9</v>
      </c>
      <c r="K12" s="606"/>
      <c r="L12" s="607"/>
    </row>
    <row r="13" spans="1:12" ht="31.5" customHeight="1">
      <c r="A13" s="204"/>
      <c r="B13" s="476" t="s">
        <v>1380</v>
      </c>
      <c r="C13" s="456" t="s">
        <v>9</v>
      </c>
      <c r="D13" s="572"/>
      <c r="E13" s="573"/>
      <c r="F13" s="208"/>
      <c r="G13" s="208"/>
      <c r="I13" s="470" t="s">
        <v>1380</v>
      </c>
      <c r="J13" s="456" t="s">
        <v>9</v>
      </c>
      <c r="K13" s="572"/>
      <c r="L13" s="573"/>
    </row>
    <row r="14" spans="1:12" ht="30.75" customHeight="1">
      <c r="A14" s="204"/>
      <c r="B14" s="476" t="s">
        <v>1535</v>
      </c>
      <c r="C14" s="456" t="s">
        <v>9</v>
      </c>
      <c r="D14" s="576"/>
      <c r="E14" s="577"/>
      <c r="F14" s="444" t="s">
        <v>1453</v>
      </c>
      <c r="G14" s="448">
        <v>50</v>
      </c>
      <c r="I14" s="470" t="s">
        <v>1535</v>
      </c>
      <c r="J14" s="456" t="s">
        <v>9</v>
      </c>
      <c r="K14" s="578"/>
      <c r="L14" s="579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0">
        <v>0</v>
      </c>
      <c r="E16" s="581"/>
      <c r="F16" s="444"/>
      <c r="G16" s="448">
        <v>160</v>
      </c>
      <c r="I16" s="470" t="s">
        <v>1537</v>
      </c>
      <c r="J16" s="456" t="s">
        <v>9</v>
      </c>
      <c r="K16" s="584">
        <f>K9</f>
        <v>50.138312850678027</v>
      </c>
      <c r="L16" s="585"/>
    </row>
    <row r="17" spans="1:12" ht="34.5" customHeight="1">
      <c r="A17" s="204"/>
      <c r="B17" s="476" t="s">
        <v>1538</v>
      </c>
      <c r="C17" s="456" t="s">
        <v>9</v>
      </c>
      <c r="D17" s="582">
        <f>IF(D15=1,D14/(20/3^0.5),(D14/(20*3^0.5)))</f>
        <v>0</v>
      </c>
      <c r="E17" s="583"/>
      <c r="F17" s="444" t="s">
        <v>1453</v>
      </c>
      <c r="G17" s="449">
        <v>200</v>
      </c>
      <c r="I17" s="470" t="s">
        <v>1538</v>
      </c>
      <c r="J17" s="456" t="s">
        <v>9</v>
      </c>
      <c r="K17" s="588">
        <f>IF(K15=1,K14/(20/3^0.5),(K14/(20*3^0.5)))</f>
        <v>0</v>
      </c>
      <c r="L17" s="589"/>
    </row>
    <row r="18" spans="1:12" ht="34.5" customHeight="1">
      <c r="A18" s="204"/>
      <c r="B18" s="476" t="s">
        <v>1539</v>
      </c>
      <c r="C18" s="456" t="s">
        <v>9</v>
      </c>
      <c r="D18" s="582">
        <f>IF(D15=1,D14/(380/3^0.5),(D14/(380*3^0.5)))*1000</f>
        <v>0</v>
      </c>
      <c r="E18" s="583"/>
      <c r="F18" s="444" t="s">
        <v>1453</v>
      </c>
      <c r="G18" s="449">
        <v>250</v>
      </c>
      <c r="I18" s="470" t="s">
        <v>1539</v>
      </c>
      <c r="J18" s="456" t="s">
        <v>9</v>
      </c>
      <c r="K18" s="588">
        <f>IF(K15=1,K14/(380/3^0.5),(K14/(380*3^0.5)))*1000</f>
        <v>0</v>
      </c>
      <c r="L18" s="589"/>
    </row>
    <row r="19" spans="1:12" ht="30" customHeight="1">
      <c r="A19" s="204"/>
      <c r="B19" s="477" t="s">
        <v>1531</v>
      </c>
      <c r="C19" s="455" t="s">
        <v>9</v>
      </c>
      <c r="D19" s="582">
        <f>IF(D15=1,D14/(380/3^0.5),(D14/(380*3^0.5)))</f>
        <v>0</v>
      </c>
      <c r="E19" s="583"/>
      <c r="F19" s="207"/>
      <c r="G19" s="440"/>
      <c r="I19" s="472" t="s">
        <v>1531</v>
      </c>
      <c r="J19" s="455" t="s">
        <v>9</v>
      </c>
      <c r="K19" s="588">
        <f>IF(K15=1,K14/(380/3^0.5),(K14/(380*3^0.5)))</f>
        <v>0</v>
      </c>
      <c r="L19" s="589"/>
    </row>
    <row r="20" spans="1:12" ht="30" customHeight="1" thickBot="1">
      <c r="A20" s="204"/>
      <c r="B20" s="478" t="s">
        <v>1540</v>
      </c>
      <c r="C20" s="474" t="s">
        <v>9</v>
      </c>
      <c r="D20" s="608" t="e">
        <f>D16/D18</f>
        <v>#DIV/0!</v>
      </c>
      <c r="E20" s="609"/>
      <c r="F20" s="207"/>
      <c r="G20" s="440"/>
      <c r="I20" s="473" t="s">
        <v>1531</v>
      </c>
      <c r="J20" s="474" t="s">
        <v>9</v>
      </c>
      <c r="K20" s="586" t="e">
        <f>K16/K18</f>
        <v>#DIV/0!</v>
      </c>
      <c r="L20" s="587"/>
    </row>
    <row r="21" spans="1:12" ht="9.75" customHeight="1">
      <c r="A21" s="204"/>
      <c r="B21" s="463" t="s">
        <v>1540</v>
      </c>
      <c r="C21" s="464" t="s">
        <v>9</v>
      </c>
      <c r="D21" s="593">
        <v>1</v>
      </c>
      <c r="E21" s="593"/>
      <c r="F21" s="465"/>
      <c r="G21" s="466"/>
      <c r="H21" s="467"/>
      <c r="I21" s="463" t="s">
        <v>1531</v>
      </c>
      <c r="J21" s="464" t="s">
        <v>9</v>
      </c>
      <c r="K21" s="593">
        <v>1</v>
      </c>
      <c r="L21" s="59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RAB!K108</f>
        <v>71063285.020559996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1421265.7004112001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1637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1634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8" t="s">
        <v>1357</v>
      </c>
      <c r="C3" s="618"/>
      <c r="D3" s="618"/>
      <c r="E3" s="618"/>
      <c r="F3" s="305" t="str">
        <f>DATA!D14</f>
        <v>TSEL_TBG_DMK718 BETOKAN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2" t="s">
        <v>1349</v>
      </c>
      <c r="C5" s="612" t="s">
        <v>1358</v>
      </c>
      <c r="D5" s="617" t="s">
        <v>1359</v>
      </c>
      <c r="E5" s="617" t="s">
        <v>1360</v>
      </c>
      <c r="F5" s="612" t="s">
        <v>1361</v>
      </c>
      <c r="G5" s="612"/>
      <c r="H5" s="612"/>
      <c r="I5" s="612"/>
      <c r="J5" s="612"/>
      <c r="K5" s="612" t="s">
        <v>1362</v>
      </c>
      <c r="L5" s="612"/>
      <c r="M5" s="307"/>
      <c r="N5" s="615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3" t="s">
        <v>1367</v>
      </c>
      <c r="U5" s="310"/>
    </row>
    <row r="6" spans="1:21" ht="20.100000000000001" customHeight="1">
      <c r="B6" s="612"/>
      <c r="C6" s="612"/>
      <c r="D6" s="612"/>
      <c r="E6" s="61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6"/>
      <c r="O6" s="612"/>
      <c r="P6" s="612"/>
      <c r="Q6" s="612"/>
      <c r="R6" s="308"/>
      <c r="S6" s="309"/>
      <c r="T6" s="612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71.063285020560002</v>
      </c>
      <c r="G7" s="318">
        <f ca="1">DATA!$D$11/1000000</f>
        <v>1.4212657004112002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76.386533586126191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-60.642189586126193</v>
      </c>
      <c r="O7" s="314">
        <v>1</v>
      </c>
      <c r="P7" s="316">
        <f ca="1">O7*N7</f>
        <v>-60.642189586126193</v>
      </c>
      <c r="Q7" s="316">
        <f ca="1">P7</f>
        <v>-60.642189586126193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1.4212657004112002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7.27423999814369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0.35377600185630964</v>
      </c>
      <c r="O8" s="315">
        <f>1/(1+'[93]Asumsi I'!$C$3)^(KKF!A8)</f>
        <v>0.89285714285714279</v>
      </c>
      <c r="P8" s="316">
        <f ca="1">O8*N8</f>
        <v>0.31587143022884789</v>
      </c>
      <c r="Q8" s="316">
        <f ca="1">Q7+P8</f>
        <v>-60.326318155897347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1.4212657004112002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7.27423999814369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0.35377600185630964</v>
      </c>
      <c r="O9" s="322">
        <f>1/(1+'[93]Asumsi I'!$C$3)^(KKF!A9)</f>
        <v>0.79719387755102034</v>
      </c>
      <c r="P9" s="316">
        <f t="shared" ref="P9:P32" ca="1" si="7">O9*N9</f>
        <v>0.28202806270432845</v>
      </c>
      <c r="Q9" s="316">
        <f ca="1">Q8+P9</f>
        <v>-60.04429009319302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1.4212657004112002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7.27423999814369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0.35377600185630964</v>
      </c>
      <c r="O10" s="315">
        <f>1/(1+'[93]Asumsi I'!$C$3)^(KKF!A10)</f>
        <v>0.71178024781341087</v>
      </c>
      <c r="P10" s="316">
        <f t="shared" ca="1" si="7"/>
        <v>0.25181077027172177</v>
      </c>
      <c r="Q10" s="316">
        <f t="shared" ref="Q10:Q30" ca="1" si="9">Q9+P10</f>
        <v>-59.792479322921295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1.4212657004112002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7.27423999814369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0.35377600185630964</v>
      </c>
      <c r="O11" s="315">
        <f>1/(1+'[93]Asumsi I'!$C$3)^(KKF!A11)</f>
        <v>0.63551807840483121</v>
      </c>
      <c r="P11" s="316">
        <f t="shared" ca="1" si="7"/>
        <v>0.2248310448854659</v>
      </c>
      <c r="Q11" s="316">
        <f t="shared" ca="1" si="9"/>
        <v>-59.567648278035833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1.4212657004112002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7.27423999814369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0.35377600185630964</v>
      </c>
      <c r="O12" s="315">
        <f>1/(1+'[93]Asumsi I'!$C$3)^(KKF!A12)</f>
        <v>0.56742685571859919</v>
      </c>
      <c r="P12" s="316">
        <f t="shared" ca="1" si="7"/>
        <v>0.20074200436202308</v>
      </c>
      <c r="Q12" s="316">
        <f t="shared" ca="1" si="9"/>
        <v>-59.366906273673813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1.4212657004112002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7.27423999814369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0.35377600185630964</v>
      </c>
      <c r="O13" s="315">
        <f>1/(1+'[93]Asumsi I'!$C$3)^(KKF!A13)</f>
        <v>0.50663112117732068</v>
      </c>
      <c r="P13" s="316">
        <f t="shared" ca="1" si="7"/>
        <v>0.17923393246609204</v>
      </c>
      <c r="Q13" s="316">
        <f t="shared" ca="1" si="9"/>
        <v>-59.187672341207723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1.4212657004112002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7.27423999814369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0.35377600185630964</v>
      </c>
      <c r="O14" s="315">
        <f>1/(1+'[93]Asumsi I'!$C$3)^(KKF!A14)</f>
        <v>0.45234921533689343</v>
      </c>
      <c r="P14" s="316">
        <f t="shared" ca="1" si="7"/>
        <v>0.16003029684472503</v>
      </c>
      <c r="Q14" s="316">
        <f t="shared" ca="1" si="9"/>
        <v>-59.027642044362999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1.4212657004112002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7.27423999814369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0.35377600185630964</v>
      </c>
      <c r="O15" s="315">
        <f>1/(1+'[93]Asumsi I'!$C$3)^(KKF!A15)</f>
        <v>0.4038832279793691</v>
      </c>
      <c r="P15" s="316">
        <f t="shared" ca="1" si="7"/>
        <v>0.14288419361136162</v>
      </c>
      <c r="Q15" s="316">
        <f t="shared" ca="1" si="9"/>
        <v>-58.88475785075164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1.4212657004112002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7.27423999814369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0.35377600185630964</v>
      </c>
      <c r="O16" s="315">
        <f>1/(1+'[93]Asumsi I'!$C$3)^(KKF!A16)</f>
        <v>0.36061002498157957</v>
      </c>
      <c r="P16" s="316">
        <f t="shared" ca="1" si="7"/>
        <v>0.12757517286728717</v>
      </c>
      <c r="Q16" s="316">
        <f t="shared" ca="1" si="9"/>
        <v>-58.757182677884352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1.4212657004112002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7.27423999814369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0.35377600185630964</v>
      </c>
      <c r="O17" s="315">
        <f>1/(1+'[93]Asumsi I'!$C$3)^(KKF!A17)</f>
        <v>0.32197323659069599</v>
      </c>
      <c r="P17" s="316">
        <f t="shared" ca="1" si="7"/>
        <v>0.11390640434579209</v>
      </c>
      <c r="Q17" s="316">
        <f t="shared" ca="1" si="9"/>
        <v>-58.643276273538561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1.4212657004112002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7.27423999814369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0.35377600185630964</v>
      </c>
      <c r="O18" s="315">
        <f>1/(1+'[93]Asumsi I'!$C$3)^(KKF!A18)</f>
        <v>0.28747610409883567</v>
      </c>
      <c r="P18" s="316">
        <f t="shared" ca="1" si="7"/>
        <v>0.10170214673731436</v>
      </c>
      <c r="Q18" s="316">
        <f t="shared" ca="1" si="9"/>
        <v>-58.541574126801244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1.4212657004112002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7.27423999814369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0.35377600185630964</v>
      </c>
      <c r="O19" s="315">
        <f>1/(1+'[93]Asumsi I'!$C$3)^(KKF!A19)</f>
        <v>0.25667509294538904</v>
      </c>
      <c r="P19" s="316">
        <f t="shared" ca="1" si="7"/>
        <v>9.0805488158316405E-2</v>
      </c>
      <c r="Q19" s="316">
        <f t="shared" ca="1" si="9"/>
        <v>-58.450768638642927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1.4212657004112002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7.27423999814369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0.35377600185630964</v>
      </c>
      <c r="O20" s="315">
        <f>1/(1+'[93]Asumsi I'!$C$3)^(KKF!A20)</f>
        <v>0.22917419012981158</v>
      </c>
      <c r="P20" s="316">
        <f t="shared" ca="1" si="7"/>
        <v>8.1076328712782475E-2</v>
      </c>
      <c r="Q20" s="316">
        <f t="shared" ca="1" si="9"/>
        <v>-58.369692309930144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1.4212657004112002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7.27423999814369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0.35377600185630964</v>
      </c>
      <c r="O21" s="315">
        <f>1/(1+'[93]Asumsi I'!$C$3)^(KKF!A21)</f>
        <v>0.20461981261590317</v>
      </c>
      <c r="P21" s="316">
        <f t="shared" ca="1" si="7"/>
        <v>7.238957920784149E-2</v>
      </c>
      <c r="Q21" s="316">
        <f t="shared" ca="1" si="9"/>
        <v>-58.297302730722301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1.4212657004112002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7.27423999814369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0.35377600185630964</v>
      </c>
      <c r="O22" s="315">
        <f>1/(1+'[93]Asumsi I'!$C$3)^(KKF!A22)</f>
        <v>0.18269626126419927</v>
      </c>
      <c r="P22" s="316">
        <f t="shared" ca="1" si="7"/>
        <v>6.4633552864144198E-2</v>
      </c>
      <c r="Q22" s="316">
        <f t="shared" ca="1" si="9"/>
        <v>-58.232669177858156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1.4212657004112002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7.27423999814369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0.35377600185630964</v>
      </c>
      <c r="O23" s="315">
        <f>1/(1+'[93]Asumsi I'!$C$3)^(KKF!A23)</f>
        <v>0.16312166184303503</v>
      </c>
      <c r="P23" s="316">
        <f t="shared" ca="1" si="7"/>
        <v>5.7708529342985877E-2</v>
      </c>
      <c r="Q23" s="316">
        <f t="shared" ca="1" si="9"/>
        <v>-58.174960648515167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1.4212657004112002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7.27423999814369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0.35377600185630964</v>
      </c>
      <c r="O24" s="315">
        <f>1/(1+'[93]Asumsi I'!$C$3)^(KKF!A24)</f>
        <v>0.14564434093128129</v>
      </c>
      <c r="P24" s="316">
        <f t="shared" ca="1" si="7"/>
        <v>5.1525472627665964E-2</v>
      </c>
      <c r="Q24" s="316">
        <f t="shared" ca="1" si="9"/>
        <v>-58.123435175887501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1.4212657004112002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7.27423999814369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0.35377600185630964</v>
      </c>
      <c r="O25" s="315">
        <f>1/(1+'[93]Asumsi I'!$C$3)^(KKF!A25)</f>
        <v>0.13003959011721541</v>
      </c>
      <c r="P25" s="316">
        <f t="shared" ca="1" si="7"/>
        <v>4.6004886274701742E-2</v>
      </c>
      <c r="Q25" s="316">
        <f t="shared" ca="1" si="9"/>
        <v>-58.077430289612799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1.4212657004112002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7.27423999814369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0.35377600185630964</v>
      </c>
      <c r="O26" s="315">
        <f>1/(1+'[93]Asumsi I'!$C$3)^(KKF!A26)</f>
        <v>0.1161067768903709</v>
      </c>
      <c r="P26" s="316">
        <f t="shared" ca="1" si="7"/>
        <v>4.1075791316697981E-2</v>
      </c>
      <c r="Q26" s="316">
        <f t="shared" ca="1" si="9"/>
        <v>-58.036354498296099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1.4212657004112002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7.27423999814369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0.35377600185630964</v>
      </c>
      <c r="O27" s="315">
        <f>1/(1+'[93]Asumsi I'!$C$3)^(KKF!A27)</f>
        <v>0.1036667650806883</v>
      </c>
      <c r="P27" s="316">
        <f t="shared" ca="1" si="7"/>
        <v>3.6674813675623197E-2</v>
      </c>
      <c r="Q27" s="316">
        <f t="shared" ca="1" si="9"/>
        <v>-57.999679684620475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1.4212657004112002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7.27423999814369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0.35377600185630964</v>
      </c>
      <c r="O28" s="315">
        <f>1/(1+'[93]Asumsi I'!$C$3)^(KKF!A28)</f>
        <v>9.2559611679185971E-2</v>
      </c>
      <c r="P28" s="316">
        <f t="shared" ca="1" si="7"/>
        <v>3.2745369353234993E-2</v>
      </c>
      <c r="Q28" s="316">
        <f t="shared" ca="1" si="9"/>
        <v>-57.966934315267238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1.4212657004112002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7.27423999814369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0.35377600185630964</v>
      </c>
      <c r="O29" s="315">
        <f>1/(1+'[93]Asumsi I'!$C$3)^(KKF!A29)</f>
        <v>8.2642510427844609E-2</v>
      </c>
      <c r="P29" s="316">
        <f t="shared" ca="1" si="7"/>
        <v>2.9236936922531244E-2</v>
      </c>
      <c r="Q29" s="316">
        <f t="shared" ca="1" si="9"/>
        <v>-57.937697378344708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1.4212657004112002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7.27423999814369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0.35377600185630964</v>
      </c>
      <c r="O30" s="315">
        <f>1/(1+'[93]Asumsi I'!$C$3)^(KKF!A30)</f>
        <v>7.3787955739146982E-2</v>
      </c>
      <c r="P30" s="316">
        <f t="shared" ca="1" si="7"/>
        <v>2.6104407966545756E-2</v>
      </c>
      <c r="Q30" s="316">
        <f t="shared" ca="1" si="9"/>
        <v>-57.911592970378166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1.4212657004112002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7.27423999814369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0.35377600185630964</v>
      </c>
      <c r="O31" s="315">
        <f>1/(1+'[93]Asumsi I'!$C$3)^(KKF!A31)</f>
        <v>6.5882103338524081E-2</v>
      </c>
      <c r="P31" s="316">
        <f t="shared" ca="1" si="7"/>
        <v>2.3307507112987277E-2</v>
      </c>
      <c r="Q31" s="316">
        <f ca="1">Q30+P31</f>
        <v>-57.888285463265177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1.4212657004112002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7.27423999814369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0.35377600185630964</v>
      </c>
      <c r="O32" s="315">
        <f>1/(1+'[93]Asumsi I'!$C$3)^(KKF!A32)</f>
        <v>5.8823306552253637E-2</v>
      </c>
      <c r="P32" s="316">
        <f t="shared" ca="1" si="7"/>
        <v>2.0810274208024355E-2</v>
      </c>
      <c r="Q32" s="316">
        <f ca="1">Q31+P32</f>
        <v>-57.867475189057153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4" t="s">
        <v>1374</v>
      </c>
      <c r="G33" s="614"/>
      <c r="H33" s="614"/>
      <c r="I33" s="324"/>
      <c r="J33" s="325">
        <f ca="1">SUM(J7:J32)</f>
        <v>258.24253353971835</v>
      </c>
      <c r="K33" s="614" t="s">
        <v>1375</v>
      </c>
      <c r="L33" s="614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215.91779313835849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0.79942192779117971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-51.667388561658164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-0.11382251709377389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3"/>
  <sheetViews>
    <sheetView showGridLines="0" zoomScale="70" zoomScaleNormal="70" zoomScaleSheetLayoutView="70" workbookViewId="0">
      <pane ySplit="13" topLeftCell="A87" activePane="bottomLeft" state="frozen"/>
      <selection activeCell="H1093" sqref="H1093"/>
      <selection pane="bottomLeft" activeCell="H97" sqref="H9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7" t="s">
        <v>1036</v>
      </c>
      <c r="P3" s="637"/>
      <c r="Q3" s="346"/>
      <c r="T3" s="344"/>
      <c r="U3" s="345" t="s">
        <v>1041</v>
      </c>
      <c r="V3" s="344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1" t="str">
        <f>DATA!D14</f>
        <v>TSEL_TBG_DMK718 BETOKAN</v>
      </c>
      <c r="H6" s="621"/>
      <c r="I6" s="621"/>
      <c r="J6" s="621"/>
      <c r="K6" s="62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11600000</v>
      </c>
      <c r="J17" s="361">
        <f t="shared" ref="J17" ca="1" si="10">IF(D17="JASA",G17*F17,0)</f>
        <v>0</v>
      </c>
      <c r="K17" s="362">
        <f t="shared" ref="K17" ca="1" si="11">SUM(H17:J17)</f>
        <v>11600000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6074400</v>
      </c>
      <c r="J18" s="361">
        <f t="shared" ref="J18:J19" ca="1" si="14">IF(D18="JASA",G18*F18,0)</f>
        <v>0</v>
      </c>
      <c r="K18" s="362">
        <f t="shared" ref="K18:K19" ca="1" si="15">SUM(H18:J18)</f>
        <v>6074400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3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12"/>
        <v>0</v>
      </c>
      <c r="I19" s="361">
        <f t="shared" ca="1" si="13"/>
        <v>0</v>
      </c>
      <c r="J19" s="361">
        <f t="shared" ca="1" si="14"/>
        <v>30200.000000000004</v>
      </c>
      <c r="K19" s="362">
        <f t="shared" ca="1" si="15"/>
        <v>30200.000000000004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ref="H20:H22" ca="1" si="16">IF(OR(D20="MDU",D20="MDU-KD"),(IF($O$3="RAB NON MDU","PLN KD",G20*F20)),0)</f>
        <v>0</v>
      </c>
      <c r="I20" s="361">
        <f t="shared" ref="I20:I22" ca="1" si="17">IF(D20="HDW",G20*F20,0)</f>
        <v>200000</v>
      </c>
      <c r="J20" s="361">
        <f t="shared" ref="J20:J22" ca="1" si="18">IF(D20="JASA",G20*F20,0)</f>
        <v>0</v>
      </c>
      <c r="K20" s="362">
        <f t="shared" ref="K20:K22" ca="1" si="19">SUM(H20:J20)</f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109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1613</v>
      </c>
      <c r="C22" s="367" t="s">
        <v>1622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65" customFormat="1">
      <c r="A23" s="336"/>
      <c r="B23" s="498"/>
      <c r="C23" s="499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6" ca="1" si="20">IF(OR(D23="MDU",D23="MDU-KD"),(IF($O$3="RAB NON MDU","PLN KD",G23*F23)),0)</f>
        <v>0</v>
      </c>
      <c r="I23" s="361">
        <f t="shared" ref="I23:I36" ca="1" si="21">IF(D23="HDW",G23*F23,0)</f>
        <v>0</v>
      </c>
      <c r="J23" s="361">
        <f t="shared" ref="J23:J36" ca="1" si="22">IF(D23="JASA",G23*F23,0)</f>
        <v>0</v>
      </c>
      <c r="K23" s="362">
        <f t="shared" ref="K23:K36" ca="1" si="23">SUM(H23:J23)</f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8" t="s">
        <v>1035</v>
      </c>
      <c r="C24" s="519" t="s">
        <v>1631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20"/>
        <v>0</v>
      </c>
      <c r="I24" s="361">
        <f t="shared" ca="1" si="21"/>
        <v>0</v>
      </c>
      <c r="J24" s="361">
        <f t="shared" ca="1" si="22"/>
        <v>0</v>
      </c>
      <c r="K24" s="362">
        <f t="shared" ca="1" si="23"/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8">
        <v>1</v>
      </c>
      <c r="C25" s="519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F24*1</f>
        <v>1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4212</v>
      </c>
      <c r="J25" s="361">
        <f t="shared" ca="1" si="22"/>
        <v>0</v>
      </c>
      <c r="K25" s="362">
        <f t="shared" ca="1" si="23"/>
        <v>4212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8">
        <v>2</v>
      </c>
      <c r="C26" s="519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1">
        <f>F24*1</f>
        <v>1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23310</v>
      </c>
      <c r="J26" s="361">
        <f t="shared" ca="1" si="22"/>
        <v>0</v>
      </c>
      <c r="K26" s="362">
        <f t="shared" ca="1" si="23"/>
        <v>23310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8">
        <v>3</v>
      </c>
      <c r="C27" s="519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F24*1</f>
        <v>1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2300</v>
      </c>
      <c r="J27" s="361">
        <f t="shared" ca="1" si="22"/>
        <v>0</v>
      </c>
      <c r="K27" s="362">
        <f t="shared" ca="1" si="23"/>
        <v>2300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8">
        <v>4</v>
      </c>
      <c r="C28" s="519" t="s">
        <v>609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F24*1</f>
        <v>1</v>
      </c>
      <c r="G28" s="360">
        <f ca="1">IF(ISERROR(OFFSET('HARGA SATUAN'!$I$6,MATCH(RAB!C28,'HARGA SATUAN'!$C$7:$C$1492,0),0)),0,OFFSET('HARGA SATUAN'!$I$6,MATCH(RAB!C28,'HARGA SATUAN'!$C$7:$C$1492,0),0))</f>
        <v>71000</v>
      </c>
      <c r="H28" s="361">
        <f t="shared" ca="1" si="20"/>
        <v>0</v>
      </c>
      <c r="I28" s="361">
        <f t="shared" ca="1" si="21"/>
        <v>71000</v>
      </c>
      <c r="J28" s="361">
        <f t="shared" ca="1" si="22"/>
        <v>0</v>
      </c>
      <c r="K28" s="362">
        <f t="shared" ca="1" si="23"/>
        <v>71000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8">
        <v>5</v>
      </c>
      <c r="C29" s="519" t="s">
        <v>629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f>F24*1</f>
        <v>1</v>
      </c>
      <c r="G29" s="360">
        <f ca="1">IF(ISERROR(OFFSET('HARGA SATUAN'!$I$6,MATCH(RAB!C29,'HARGA SATUAN'!$C$7:$C$1492,0),0)),0,OFFSET('HARGA SATUAN'!$I$6,MATCH(RAB!C29,'HARGA SATUAN'!$C$7:$C$1492,0),0))</f>
        <v>29400</v>
      </c>
      <c r="H29" s="361">
        <f t="shared" ca="1" si="20"/>
        <v>0</v>
      </c>
      <c r="I29" s="361">
        <f t="shared" ca="1" si="21"/>
        <v>0</v>
      </c>
      <c r="J29" s="361">
        <f t="shared" ca="1" si="22"/>
        <v>29400</v>
      </c>
      <c r="K29" s="362">
        <f t="shared" ca="1" si="23"/>
        <v>29400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8"/>
      <c r="C30" s="519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1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8" t="s">
        <v>1035</v>
      </c>
      <c r="C31" s="519" t="s">
        <v>1623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1">
        <v>2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0"/>
        <v>0</v>
      </c>
      <c r="I31" s="361">
        <f t="shared" ca="1" si="21"/>
        <v>0</v>
      </c>
      <c r="J31" s="361">
        <f t="shared" ca="1" si="22"/>
        <v>0</v>
      </c>
      <c r="K31" s="362">
        <f t="shared" ca="1" si="23"/>
        <v>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8">
        <v>1</v>
      </c>
      <c r="C32" s="519" t="s">
        <v>595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F31*1</f>
        <v>2</v>
      </c>
      <c r="G32" s="360">
        <f ca="1">IF(ISERROR(OFFSET('HARGA SATUAN'!$I$6,MATCH(RAB!C32,'HARGA SATUAN'!$C$7:$C$1492,0),0)),0,OFFSET('HARGA SATUAN'!$I$6,MATCH(RAB!C32,'HARGA SATUAN'!$C$7:$C$1492,0),0))</f>
        <v>78500</v>
      </c>
      <c r="H32" s="361">
        <f t="shared" ca="1" si="20"/>
        <v>0</v>
      </c>
      <c r="I32" s="361">
        <f t="shared" ca="1" si="21"/>
        <v>157000</v>
      </c>
      <c r="J32" s="361">
        <f t="shared" ca="1" si="22"/>
        <v>0</v>
      </c>
      <c r="K32" s="362">
        <f t="shared" ca="1" si="23"/>
        <v>157000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8">
        <v>2</v>
      </c>
      <c r="C33" s="519" t="s">
        <v>229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F31*1</f>
        <v>2</v>
      </c>
      <c r="G33" s="360">
        <f ca="1">IF(ISERROR(OFFSET('HARGA SATUAN'!$I$6,MATCH(RAB!C33,'HARGA SATUAN'!$C$7:$C$1492,0),0)),0,OFFSET('HARGA SATUAN'!$I$6,MATCH(RAB!C33,'HARGA SATUAN'!$C$7:$C$1492,0),0))</f>
        <v>4212</v>
      </c>
      <c r="H33" s="361">
        <f t="shared" ca="1" si="20"/>
        <v>0</v>
      </c>
      <c r="I33" s="361">
        <f t="shared" ca="1" si="21"/>
        <v>8424</v>
      </c>
      <c r="J33" s="361">
        <f t="shared" ca="1" si="22"/>
        <v>0</v>
      </c>
      <c r="K33" s="362">
        <f t="shared" ca="1" si="23"/>
        <v>8424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8">
        <v>3</v>
      </c>
      <c r="C34" s="519" t="s">
        <v>266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501">
        <f>F31*1</f>
        <v>2</v>
      </c>
      <c r="G34" s="360">
        <f ca="1">IF(ISERROR(OFFSET('HARGA SATUAN'!$I$6,MATCH(RAB!C34,'HARGA SATUAN'!$C$7:$C$1492,0),0)),0,OFFSET('HARGA SATUAN'!$I$6,MATCH(RAB!C34,'HARGA SATUAN'!$C$7:$C$1492,0),0))</f>
        <v>23310</v>
      </c>
      <c r="H34" s="361">
        <f t="shared" ca="1" si="20"/>
        <v>0</v>
      </c>
      <c r="I34" s="361">
        <f t="shared" ca="1" si="21"/>
        <v>46620</v>
      </c>
      <c r="J34" s="361">
        <f t="shared" ca="1" si="22"/>
        <v>0</v>
      </c>
      <c r="K34" s="362">
        <f t="shared" ca="1" si="23"/>
        <v>46620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8">
        <v>4</v>
      </c>
      <c r="C35" s="519" t="s">
        <v>35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F31*1</f>
        <v>2</v>
      </c>
      <c r="G35" s="360">
        <f ca="1">IF(ISERROR(OFFSET('HARGA SATUAN'!$I$6,MATCH(RAB!C35,'HARGA SATUAN'!$C$7:$C$1492,0),0)),0,OFFSET('HARGA SATUAN'!$I$6,MATCH(RAB!C35,'HARGA SATUAN'!$C$7:$C$1492,0),0))</f>
        <v>2300</v>
      </c>
      <c r="H35" s="361">
        <f t="shared" ca="1" si="20"/>
        <v>0</v>
      </c>
      <c r="I35" s="361">
        <f t="shared" ca="1" si="21"/>
        <v>4600</v>
      </c>
      <c r="J35" s="361">
        <f t="shared" ca="1" si="22"/>
        <v>0</v>
      </c>
      <c r="K35" s="362">
        <f t="shared" ca="1" si="23"/>
        <v>4600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8">
        <v>5</v>
      </c>
      <c r="C36" s="519" t="s">
        <v>630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f>F31*1</f>
        <v>2</v>
      </c>
      <c r="G36" s="360">
        <f ca="1">IF(ISERROR(OFFSET('HARGA SATUAN'!$I$6,MATCH(RAB!C36,'HARGA SATUAN'!$C$7:$C$1492,0),0)),0,OFFSET('HARGA SATUAN'!$I$6,MATCH(RAB!C36,'HARGA SATUAN'!$C$7:$C$1492,0),0))</f>
        <v>35700</v>
      </c>
      <c r="H36" s="361">
        <f t="shared" ca="1" si="20"/>
        <v>0</v>
      </c>
      <c r="I36" s="361">
        <f t="shared" ca="1" si="21"/>
        <v>0</v>
      </c>
      <c r="J36" s="361">
        <f t="shared" ca="1" si="22"/>
        <v>71400</v>
      </c>
      <c r="K36" s="362">
        <f t="shared" ca="1" si="23"/>
        <v>71400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8"/>
      <c r="C37" s="519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49" ca="1" si="24">IF(OR(D37="MDU",D37="MDU-KD"),(IF($O$3="RAB NON MDU","PLN KD",G37*F37)),0)</f>
        <v>0</v>
      </c>
      <c r="I37" s="361">
        <f t="shared" ref="I37:I49" ca="1" si="25">IF(D37="HDW",G37*F37,0)</f>
        <v>0</v>
      </c>
      <c r="J37" s="361">
        <f t="shared" ref="J37:J49" ca="1" si="26">IF(D37="JASA",G37*F37,0)</f>
        <v>0</v>
      </c>
      <c r="K37" s="362">
        <f t="shared" ref="K37:K49" ca="1" si="27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18" t="s">
        <v>1035</v>
      </c>
      <c r="C38" s="719" t="s">
        <v>1636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1">
        <v>1</v>
      </c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18">
        <v>1</v>
      </c>
      <c r="C39" s="719" t="s">
        <v>598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F38*1</f>
        <v>1</v>
      </c>
      <c r="G39" s="360">
        <f ca="1">IF(ISERROR(OFFSET('HARGA SATUAN'!$I$6,MATCH(RAB!C39,'HARGA SATUAN'!$C$7:$C$1492,0),0)),0,OFFSET('HARGA SATUAN'!$I$6,MATCH(RAB!C39,'HARGA SATUAN'!$C$7:$C$1492,0),0))</f>
        <v>3965</v>
      </c>
      <c r="H39" s="361">
        <f t="shared" ca="1" si="24"/>
        <v>0</v>
      </c>
      <c r="I39" s="361">
        <f t="shared" ca="1" si="25"/>
        <v>3965</v>
      </c>
      <c r="J39" s="361">
        <f t="shared" ca="1" si="26"/>
        <v>0</v>
      </c>
      <c r="K39" s="362">
        <f t="shared" ca="1" si="27"/>
        <v>3965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18">
        <v>2</v>
      </c>
      <c r="C40" s="719" t="s">
        <v>474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F38*1</f>
        <v>1</v>
      </c>
      <c r="G40" s="360">
        <f ca="1">IF(ISERROR(OFFSET('HARGA SATUAN'!$I$6,MATCH(RAB!C40,'HARGA SATUAN'!$C$7:$C$1492,0),0)),0,OFFSET('HARGA SATUAN'!$I$6,MATCH(RAB!C40,'HARGA SATUAN'!$C$7:$C$1492,0),0))</f>
        <v>3711.24</v>
      </c>
      <c r="H40" s="361">
        <f t="shared" ca="1" si="24"/>
        <v>0</v>
      </c>
      <c r="I40" s="361">
        <f t="shared" ca="1" si="25"/>
        <v>3711.24</v>
      </c>
      <c r="J40" s="361">
        <f t="shared" ca="1" si="26"/>
        <v>0</v>
      </c>
      <c r="K40" s="362">
        <f t="shared" ca="1" si="27"/>
        <v>3711.24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18">
        <v>3</v>
      </c>
      <c r="C41" s="719" t="s">
        <v>266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01">
        <f>F38*1</f>
        <v>1</v>
      </c>
      <c r="G41" s="360">
        <f ca="1">IF(ISERROR(OFFSET('HARGA SATUAN'!$I$6,MATCH(RAB!C41,'HARGA SATUAN'!$C$7:$C$1492,0),0)),0,OFFSET('HARGA SATUAN'!$I$6,MATCH(RAB!C41,'HARGA SATUAN'!$C$7:$C$1492,0),0))</f>
        <v>23310</v>
      </c>
      <c r="H41" s="361">
        <f t="shared" ca="1" si="24"/>
        <v>0</v>
      </c>
      <c r="I41" s="361">
        <f t="shared" ca="1" si="25"/>
        <v>23310</v>
      </c>
      <c r="J41" s="361">
        <f t="shared" ca="1" si="26"/>
        <v>0</v>
      </c>
      <c r="K41" s="362">
        <f t="shared" ca="1" si="27"/>
        <v>23310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18">
        <v>4</v>
      </c>
      <c r="C42" s="719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F38*1</f>
        <v>1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24"/>
        <v>0</v>
      </c>
      <c r="I42" s="361">
        <f t="shared" ca="1" si="25"/>
        <v>2300</v>
      </c>
      <c r="J42" s="361">
        <f t="shared" ca="1" si="26"/>
        <v>0</v>
      </c>
      <c r="K42" s="362">
        <f t="shared" ca="1" si="27"/>
        <v>2300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18">
        <v>5</v>
      </c>
      <c r="C43" s="719" t="s">
        <v>632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f>F38*1</f>
        <v>1</v>
      </c>
      <c r="G43" s="360">
        <f ca="1">IF(ISERROR(OFFSET('HARGA SATUAN'!$I$6,MATCH(RAB!C43,'HARGA SATUAN'!$C$7:$C$1492,0),0)),0,OFFSET('HARGA SATUAN'!$I$6,MATCH(RAB!C43,'HARGA SATUAN'!$C$7:$C$1492,0),0))</f>
        <v>22700</v>
      </c>
      <c r="H43" s="361">
        <f t="shared" ca="1" si="24"/>
        <v>0</v>
      </c>
      <c r="I43" s="361">
        <f t="shared" ca="1" si="25"/>
        <v>0</v>
      </c>
      <c r="J43" s="361">
        <f t="shared" ca="1" si="26"/>
        <v>22700</v>
      </c>
      <c r="K43" s="362">
        <f t="shared" ca="1" si="27"/>
        <v>22700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8"/>
      <c r="C44" s="519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4"/>
        <v>0</v>
      </c>
      <c r="I44" s="361">
        <f t="shared" ca="1" si="25"/>
        <v>0</v>
      </c>
      <c r="J44" s="361">
        <f t="shared" ca="1" si="26"/>
        <v>0</v>
      </c>
      <c r="K44" s="362">
        <f t="shared" ca="1" si="27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/>
      <c r="C45" s="513" t="s">
        <v>1624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24"/>
        <v>0</v>
      </c>
      <c r="I45" s="361">
        <f t="shared" ca="1" si="25"/>
        <v>0</v>
      </c>
      <c r="J45" s="361">
        <f t="shared" ca="1" si="26"/>
        <v>0</v>
      </c>
      <c r="K45" s="362">
        <f t="shared" ca="1" si="27"/>
        <v>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>
        <v>1</v>
      </c>
      <c r="C46" s="109" t="s">
        <v>1402</v>
      </c>
      <c r="D46" s="358" t="str">
        <f ca="1">IF(ISERROR(OFFSET('HARGA SATUAN'!$D$6,MATCH(RAB!C46,'HARGA SATUAN'!$C$7:$C$1492,0),0)),"",OFFSET('HARGA SATUAN'!$D$6,MATCH(RAB!C46,'HARGA SATUAN'!$C$7:$C$1492,0),0))</f>
        <v>MDU-KD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501">
        <v>175</v>
      </c>
      <c r="G46" s="360">
        <f ca="1">IF(ISERROR(OFFSET('HARGA SATUAN'!$I$6,MATCH(RAB!C46,'HARGA SATUAN'!$C$7:$C$1492,0),0)),0,OFFSET('HARGA SATUAN'!$I$6,MATCH(RAB!C46,'HARGA SATUAN'!$C$7:$C$1492,0),0))</f>
        <v>53300</v>
      </c>
      <c r="H46" s="361">
        <f t="shared" ca="1" si="24"/>
        <v>9327500</v>
      </c>
      <c r="I46" s="361">
        <f t="shared" ca="1" si="25"/>
        <v>0</v>
      </c>
      <c r="J46" s="361">
        <f t="shared" ca="1" si="26"/>
        <v>0</v>
      </c>
      <c r="K46" s="362">
        <f t="shared" ca="1" si="27"/>
        <v>9327500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>
        <v>2</v>
      </c>
      <c r="C47" s="109" t="s">
        <v>347</v>
      </c>
      <c r="D47" s="511" t="s">
        <v>47</v>
      </c>
      <c r="E47" s="512" t="s">
        <v>297</v>
      </c>
      <c r="F47" s="512">
        <f>F46/50</f>
        <v>3.5</v>
      </c>
      <c r="G47" s="360">
        <f ca="1">IF(ISERROR(OFFSET('HARGA SATUAN'!$I$6,MATCH(RAB!C47,'HARGA SATUAN'!$C$7:$C$1492,0),0)),0,OFFSET('HARGA SATUAN'!$I$6,MATCH(RAB!C47,'HARGA SATUAN'!$C$7:$C$1492,0),0))</f>
        <v>179000</v>
      </c>
      <c r="H47" s="361">
        <f t="shared" si="24"/>
        <v>0</v>
      </c>
      <c r="I47" s="361">
        <f t="shared" si="25"/>
        <v>0</v>
      </c>
      <c r="J47" s="361">
        <f t="shared" ca="1" si="26"/>
        <v>626500</v>
      </c>
      <c r="K47" s="362">
        <f t="shared" ca="1" si="27"/>
        <v>626500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498"/>
      <c r="C48" s="499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4"/>
        <v>0</v>
      </c>
      <c r="I48" s="361">
        <f t="shared" ca="1" si="25"/>
        <v>0</v>
      </c>
      <c r="J48" s="361">
        <f t="shared" ca="1" si="26"/>
        <v>0</v>
      </c>
      <c r="K48" s="362">
        <f t="shared" ca="1" si="27"/>
        <v>0</v>
      </c>
      <c r="L48" s="342"/>
      <c r="M48" s="342"/>
      <c r="N48" s="369"/>
      <c r="O48" s="344"/>
      <c r="P48" s="397"/>
      <c r="Q48" s="344"/>
    </row>
    <row r="49" spans="2:11">
      <c r="B49" s="366" t="s">
        <v>1614</v>
      </c>
      <c r="C49" s="367" t="s">
        <v>1616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4"/>
        <v>0</v>
      </c>
      <c r="I49" s="361">
        <f t="shared" ca="1" si="25"/>
        <v>0</v>
      </c>
      <c r="J49" s="361">
        <f t="shared" ca="1" si="26"/>
        <v>0</v>
      </c>
      <c r="K49" s="362">
        <f t="shared" ca="1" si="27"/>
        <v>0</v>
      </c>
    </row>
    <row r="50" spans="2:11">
      <c r="B50" s="494"/>
      <c r="C50" s="497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01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" ca="1" si="28">IF(OR(D50="MDU",D50="MDU-KD"),(IF($O$3="RAB NON MDU","PLN KD",G50*F50)),0)</f>
        <v>0</v>
      </c>
      <c r="I50" s="361">
        <f t="shared" ref="I50" ca="1" si="29">IF(D50="HDW",G50*F50,0)</f>
        <v>0</v>
      </c>
      <c r="J50" s="361">
        <f t="shared" ref="J50" ca="1" si="30">IF(D50="JASA",G50*F50,0)</f>
        <v>0</v>
      </c>
      <c r="K50" s="362">
        <f t="shared" ref="K50" ca="1" si="31">SUM(H50:J50)</f>
        <v>0</v>
      </c>
    </row>
    <row r="51" spans="2:11">
      <c r="B51" s="514" t="s">
        <v>1035</v>
      </c>
      <c r="C51" s="515" t="s">
        <v>1630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2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:H57" ca="1" si="32">IF(OR(D51="MDU",D51="MDU-KD"),(IF($O$3="RAB NON MDU","PLN KD",G51*F51)),0)</f>
        <v>0</v>
      </c>
      <c r="I51" s="361">
        <f t="shared" ref="I51:I57" ca="1" si="33">IF(D51="HDW",G51*F51,0)</f>
        <v>0</v>
      </c>
      <c r="J51" s="361">
        <f t="shared" ref="J51:J57" ca="1" si="34">IF(D51="JASA",G51*F51,0)</f>
        <v>0</v>
      </c>
      <c r="K51" s="362">
        <f t="shared" ref="K51:K57" ca="1" si="35">SUM(H51:J51)</f>
        <v>0</v>
      </c>
    </row>
    <row r="52" spans="2:11">
      <c r="B52" s="514">
        <v>1</v>
      </c>
      <c r="C52" s="515" t="s">
        <v>535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2">
        <f>F51*1</f>
        <v>1</v>
      </c>
      <c r="G52" s="360">
        <f ca="1">IF(ISERROR(OFFSET('HARGA SATUAN'!$I$6,MATCH(RAB!C52,'HARGA SATUAN'!$C$7:$C$1492,0),0)),0,OFFSET('HARGA SATUAN'!$I$6,MATCH(RAB!C52,'HARGA SATUAN'!$C$7:$C$1492,0),0))</f>
        <v>848250</v>
      </c>
      <c r="H52" s="361">
        <f t="shared" ca="1" si="32"/>
        <v>848250</v>
      </c>
      <c r="I52" s="361">
        <f t="shared" ca="1" si="33"/>
        <v>0</v>
      </c>
      <c r="J52" s="361">
        <f t="shared" ca="1" si="34"/>
        <v>0</v>
      </c>
      <c r="K52" s="362">
        <f t="shared" ca="1" si="35"/>
        <v>848250</v>
      </c>
    </row>
    <row r="53" spans="2:11">
      <c r="B53" s="514">
        <v>2</v>
      </c>
      <c r="C53" s="109" t="s">
        <v>62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2">
        <f>F51*1</f>
        <v>1</v>
      </c>
      <c r="G53" s="360">
        <f ca="1">IF(ISERROR(OFFSET('HARGA SATUAN'!$I$6,MATCH(RAB!C53,'HARGA SATUAN'!$C$7:$C$1492,0),0)),0,OFFSET('HARGA SATUAN'!$I$6,MATCH(RAB!C53,'HARGA SATUAN'!$C$7:$C$1492,0),0))</f>
        <v>32500</v>
      </c>
      <c r="H53" s="361">
        <f t="shared" ca="1" si="32"/>
        <v>0</v>
      </c>
      <c r="I53" s="361">
        <f t="shared" ca="1" si="33"/>
        <v>32500</v>
      </c>
      <c r="J53" s="361">
        <f t="shared" ca="1" si="34"/>
        <v>0</v>
      </c>
      <c r="K53" s="362">
        <f t="shared" ca="1" si="35"/>
        <v>32500</v>
      </c>
    </row>
    <row r="54" spans="2:11">
      <c r="B54" s="514">
        <v>3</v>
      </c>
      <c r="C54" s="515" t="s">
        <v>187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2">
        <f>F51*1</f>
        <v>1</v>
      </c>
      <c r="G54" s="360">
        <f ca="1">IF(ISERROR(OFFSET('HARGA SATUAN'!$I$6,MATCH(RAB!C54,'HARGA SATUAN'!$C$7:$C$1492,0),0)),0,OFFSET('HARGA SATUAN'!$I$6,MATCH(RAB!C54,'HARGA SATUAN'!$C$7:$C$1492,0),0))</f>
        <v>17100</v>
      </c>
      <c r="H54" s="361">
        <f t="shared" ca="1" si="32"/>
        <v>0</v>
      </c>
      <c r="I54" s="361">
        <f t="shared" ca="1" si="33"/>
        <v>17100</v>
      </c>
      <c r="J54" s="361">
        <f t="shared" ca="1" si="34"/>
        <v>0</v>
      </c>
      <c r="K54" s="362">
        <f t="shared" ca="1" si="35"/>
        <v>17100</v>
      </c>
    </row>
    <row r="55" spans="2:11">
      <c r="B55" s="514">
        <v>4</v>
      </c>
      <c r="C55" s="109" t="s">
        <v>174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2">
        <f>F51*1</f>
        <v>1</v>
      </c>
      <c r="G55" s="360">
        <f ca="1">IF(ISERROR(OFFSET('HARGA SATUAN'!$I$6,MATCH(RAB!C55,'HARGA SATUAN'!$C$7:$C$1492,0),0)),0,OFFSET('HARGA SATUAN'!$I$6,MATCH(RAB!C55,'HARGA SATUAN'!$C$7:$C$1492,0),0))</f>
        <v>67700</v>
      </c>
      <c r="H55" s="361">
        <f t="shared" ca="1" si="32"/>
        <v>0</v>
      </c>
      <c r="I55" s="361">
        <f t="shared" ca="1" si="33"/>
        <v>67700</v>
      </c>
      <c r="J55" s="361">
        <f t="shared" ca="1" si="34"/>
        <v>0</v>
      </c>
      <c r="K55" s="362">
        <f t="shared" ca="1" si="35"/>
        <v>67700</v>
      </c>
    </row>
    <row r="56" spans="2:11">
      <c r="B56" s="514">
        <v>5</v>
      </c>
      <c r="C56" s="515" t="s">
        <v>747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2">
        <f>F51*1</f>
        <v>1</v>
      </c>
      <c r="G56" s="360">
        <f ca="1">IF(ISERROR(OFFSET('HARGA SATUAN'!$I$6,MATCH(RAB!C56,'HARGA SATUAN'!$C$7:$C$1492,0),0)),0,OFFSET('HARGA SATUAN'!$I$6,MATCH(RAB!C56,'HARGA SATUAN'!$C$7:$C$1492,0),0))</f>
        <v>58400</v>
      </c>
      <c r="H56" s="361">
        <f t="shared" ca="1" si="32"/>
        <v>0</v>
      </c>
      <c r="I56" s="361">
        <f t="shared" ca="1" si="33"/>
        <v>0</v>
      </c>
      <c r="J56" s="361">
        <f t="shared" ca="1" si="34"/>
        <v>58400</v>
      </c>
      <c r="K56" s="362">
        <f t="shared" ca="1" si="35"/>
        <v>58400</v>
      </c>
    </row>
    <row r="57" spans="2:11">
      <c r="B57" s="494"/>
      <c r="C57" s="497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2"/>
        <v>0</v>
      </c>
      <c r="I57" s="361">
        <f t="shared" ca="1" si="33"/>
        <v>0</v>
      </c>
      <c r="J57" s="361">
        <f t="shared" ca="1" si="34"/>
        <v>0</v>
      </c>
      <c r="K57" s="362">
        <f t="shared" ca="1" si="35"/>
        <v>0</v>
      </c>
    </row>
    <row r="58" spans="2:11">
      <c r="B58" s="514" t="s">
        <v>1035</v>
      </c>
      <c r="C58" s="515" t="s">
        <v>1625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23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ref="H58:H70" ca="1" si="36">IF(OR(D58="MDU",D58="MDU-KD"),(IF($O$3="RAB NON MDU","PLN KD",G58*F58)),0)</f>
        <v>0</v>
      </c>
      <c r="I58" s="361">
        <f t="shared" ref="I58:I70" ca="1" si="37">IF(D58="HDW",G58*F58,0)</f>
        <v>0</v>
      </c>
      <c r="J58" s="361">
        <f t="shared" ref="J58:J70" ca="1" si="38">IF(D58="JASA",G58*F58,0)</f>
        <v>0</v>
      </c>
      <c r="K58" s="362">
        <f t="shared" ref="K58:K70" ca="1" si="39">SUM(H58:J58)</f>
        <v>0</v>
      </c>
    </row>
    <row r="59" spans="2:11">
      <c r="B59" s="514">
        <v>1</v>
      </c>
      <c r="C59" s="506" t="s">
        <v>532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7">
        <f>F58*1</f>
        <v>1</v>
      </c>
      <c r="G59" s="360">
        <f ca="1">IF(ISERROR(OFFSET('HARGA SATUAN'!$I$6,MATCH(RAB!C59,'HARGA SATUAN'!$C$7:$C$1492,0),0)),0,OFFSET('HARGA SATUAN'!$I$6,MATCH(RAB!C59,'HARGA SATUAN'!$C$7:$C$1492,0),0))</f>
        <v>27845400</v>
      </c>
      <c r="H59" s="361">
        <f t="shared" ca="1" si="36"/>
        <v>27845400</v>
      </c>
      <c r="I59" s="361">
        <f t="shared" ca="1" si="37"/>
        <v>0</v>
      </c>
      <c r="J59" s="361">
        <f t="shared" ca="1" si="38"/>
        <v>0</v>
      </c>
      <c r="K59" s="362">
        <f t="shared" ca="1" si="39"/>
        <v>27845400</v>
      </c>
    </row>
    <row r="60" spans="2:11">
      <c r="B60" s="503">
        <v>2</v>
      </c>
      <c r="C60" s="506" t="s">
        <v>1618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7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36"/>
        <v>0</v>
      </c>
      <c r="I60" s="361">
        <f t="shared" ca="1" si="37"/>
        <v>0</v>
      </c>
      <c r="J60" s="361">
        <f t="shared" ca="1" si="38"/>
        <v>0</v>
      </c>
      <c r="K60" s="362">
        <f t="shared" ca="1" si="39"/>
        <v>0</v>
      </c>
    </row>
    <row r="61" spans="2:11">
      <c r="B61" s="503"/>
      <c r="C61" s="506" t="s">
        <v>65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507">
        <f>F58*2</f>
        <v>2</v>
      </c>
      <c r="G61" s="360">
        <f ca="1">IF(ISERROR(OFFSET('HARGA SATUAN'!$I$6,MATCH(RAB!C61,'HARGA SATUAN'!$C$7:$C$1492,0),0)),0,OFFSET('HARGA SATUAN'!$I$6,MATCH(RAB!C61,'HARGA SATUAN'!$C$7:$C$1492,0),0))</f>
        <v>14200</v>
      </c>
      <c r="H61" s="361">
        <f t="shared" ca="1" si="36"/>
        <v>28400</v>
      </c>
      <c r="I61" s="361">
        <f t="shared" ca="1" si="37"/>
        <v>0</v>
      </c>
      <c r="J61" s="361">
        <f t="shared" ca="1" si="38"/>
        <v>0</v>
      </c>
      <c r="K61" s="362">
        <f t="shared" ca="1" si="39"/>
        <v>28400</v>
      </c>
    </row>
    <row r="62" spans="2:11">
      <c r="B62" s="514"/>
      <c r="C62" s="506" t="s">
        <v>1626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7">
        <f>F58*2</f>
        <v>2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</row>
    <row r="63" spans="2:11">
      <c r="B63" s="514">
        <v>3</v>
      </c>
      <c r="C63" s="506" t="s">
        <v>207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7">
        <f>F58*1</f>
        <v>1</v>
      </c>
      <c r="G63" s="360">
        <f ca="1">IF(ISERROR(OFFSET('HARGA SATUAN'!$I$6,MATCH(RAB!C63,'HARGA SATUAN'!$C$7:$C$1492,0),0)),0,OFFSET('HARGA SATUAN'!$I$6,MATCH(RAB!C63,'HARGA SATUAN'!$C$7:$C$1492,0),0))</f>
        <v>87000</v>
      </c>
      <c r="H63" s="361">
        <f t="shared" ca="1" si="36"/>
        <v>0</v>
      </c>
      <c r="I63" s="361">
        <f t="shared" ca="1" si="37"/>
        <v>87000</v>
      </c>
      <c r="J63" s="361">
        <f t="shared" ca="1" si="38"/>
        <v>0</v>
      </c>
      <c r="K63" s="362">
        <f t="shared" ca="1" si="39"/>
        <v>87000</v>
      </c>
    </row>
    <row r="64" spans="2:11">
      <c r="B64" s="514">
        <v>4</v>
      </c>
      <c r="C64" s="506" t="s">
        <v>176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7">
        <f>F58*2</f>
        <v>2</v>
      </c>
      <c r="G64" s="360">
        <f ca="1">IF(ISERROR(OFFSET('HARGA SATUAN'!$I$6,MATCH(RAB!C64,'HARGA SATUAN'!$C$7:$C$1492,0),0)),0,OFFSET('HARGA SATUAN'!$I$6,MATCH(RAB!C64,'HARGA SATUAN'!$C$7:$C$1492,0),0))</f>
        <v>404600</v>
      </c>
      <c r="H64" s="361">
        <f t="shared" ca="1" si="36"/>
        <v>0</v>
      </c>
      <c r="I64" s="361">
        <f t="shared" ca="1" si="37"/>
        <v>809200</v>
      </c>
      <c r="J64" s="361">
        <f t="shared" ca="1" si="38"/>
        <v>0</v>
      </c>
      <c r="K64" s="362">
        <f t="shared" ca="1" si="39"/>
        <v>809200</v>
      </c>
    </row>
    <row r="65" spans="2:11">
      <c r="B65" s="514">
        <v>5</v>
      </c>
      <c r="C65" s="506" t="s">
        <v>184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7">
        <f>F58*3</f>
        <v>3</v>
      </c>
      <c r="G65" s="360">
        <f ca="1">IF(ISERROR(OFFSET('HARGA SATUAN'!$I$6,MATCH(RAB!C65,'HARGA SATUAN'!$C$7:$C$1492,0),0)),0,OFFSET('HARGA SATUAN'!$I$6,MATCH(RAB!C65,'HARGA SATUAN'!$C$7:$C$1492,0),0))</f>
        <v>15900</v>
      </c>
      <c r="H65" s="361">
        <f t="shared" ca="1" si="36"/>
        <v>0</v>
      </c>
      <c r="I65" s="361">
        <f t="shared" ca="1" si="37"/>
        <v>47700</v>
      </c>
      <c r="J65" s="361">
        <f t="shared" ca="1" si="38"/>
        <v>0</v>
      </c>
      <c r="K65" s="362">
        <f t="shared" ca="1" si="39"/>
        <v>47700</v>
      </c>
    </row>
    <row r="66" spans="2:11">
      <c r="B66" s="514">
        <v>6</v>
      </c>
      <c r="C66" s="506" t="s">
        <v>187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7">
        <f>F58*2</f>
        <v>2</v>
      </c>
      <c r="G66" s="360">
        <f ca="1">IF(ISERROR(OFFSET('HARGA SATUAN'!$I$6,MATCH(RAB!C66,'HARGA SATUAN'!$C$7:$C$1492,0),0)),0,OFFSET('HARGA SATUAN'!$I$6,MATCH(RAB!C66,'HARGA SATUAN'!$C$7:$C$1492,0),0))</f>
        <v>17100</v>
      </c>
      <c r="H66" s="361">
        <f t="shared" ca="1" si="36"/>
        <v>0</v>
      </c>
      <c r="I66" s="361">
        <f t="shared" ca="1" si="37"/>
        <v>34200</v>
      </c>
      <c r="J66" s="361">
        <f t="shared" ca="1" si="38"/>
        <v>0</v>
      </c>
      <c r="K66" s="362">
        <f t="shared" ca="1" si="39"/>
        <v>34200</v>
      </c>
    </row>
    <row r="67" spans="2:11">
      <c r="B67" s="514">
        <v>7</v>
      </c>
      <c r="C67" s="506" t="s">
        <v>1627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7">
        <f>F58*4</f>
        <v>4</v>
      </c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</row>
    <row r="68" spans="2:11">
      <c r="B68" s="514">
        <v>8</v>
      </c>
      <c r="C68" s="506" t="s">
        <v>149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Set</v>
      </c>
      <c r="F68" s="507">
        <f>F58*1</f>
        <v>1</v>
      </c>
      <c r="G68" s="360">
        <f ca="1">IF(ISERROR(OFFSET('HARGA SATUAN'!$I$6,MATCH(RAB!C68,'HARGA SATUAN'!$C$7:$C$1492,0),0)),0,OFFSET('HARGA SATUAN'!$I$6,MATCH(RAB!C68,'HARGA SATUAN'!$C$7:$C$1492,0),0))</f>
        <v>67800</v>
      </c>
      <c r="H68" s="361">
        <f t="shared" ca="1" si="36"/>
        <v>0</v>
      </c>
      <c r="I68" s="361">
        <f t="shared" ca="1" si="37"/>
        <v>67800</v>
      </c>
      <c r="J68" s="361">
        <f t="shared" ca="1" si="38"/>
        <v>0</v>
      </c>
      <c r="K68" s="362">
        <f t="shared" ca="1" si="39"/>
        <v>67800</v>
      </c>
    </row>
    <row r="69" spans="2:11">
      <c r="B69" s="514">
        <v>9</v>
      </c>
      <c r="C69" s="506" t="s">
        <v>32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Mtr</v>
      </c>
      <c r="F69" s="507">
        <f>F58*2</f>
        <v>2</v>
      </c>
      <c r="G69" s="360">
        <f ca="1">IF(ISERROR(OFFSET('HARGA SATUAN'!$I$6,MATCH(RAB!C69,'HARGA SATUAN'!$C$7:$C$1492,0),0)),0,OFFSET('HARGA SATUAN'!$I$6,MATCH(RAB!C69,'HARGA SATUAN'!$C$7:$C$1492,0),0))</f>
        <v>30000</v>
      </c>
      <c r="H69" s="361">
        <f t="shared" ca="1" si="36"/>
        <v>0</v>
      </c>
      <c r="I69" s="361">
        <f t="shared" ca="1" si="37"/>
        <v>60000</v>
      </c>
      <c r="J69" s="361">
        <f t="shared" ca="1" si="38"/>
        <v>0</v>
      </c>
      <c r="K69" s="362">
        <f t="shared" ca="1" si="39"/>
        <v>60000</v>
      </c>
    </row>
    <row r="70" spans="2:11">
      <c r="B70" s="514">
        <v>10</v>
      </c>
      <c r="C70" s="506" t="s">
        <v>781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07">
        <f>F58*1</f>
        <v>1</v>
      </c>
      <c r="G70" s="360">
        <f ca="1">IF(ISERROR(OFFSET('HARGA SATUAN'!$I$6,MATCH(RAB!C70,'HARGA SATUAN'!$C$7:$C$1492,0),0)),0,OFFSET('HARGA SATUAN'!$I$6,MATCH(RAB!C70,'HARGA SATUAN'!$C$7:$C$1492,0),0))</f>
        <v>346400</v>
      </c>
      <c r="H70" s="361">
        <f t="shared" ca="1" si="36"/>
        <v>0</v>
      </c>
      <c r="I70" s="361">
        <f t="shared" ca="1" si="37"/>
        <v>0</v>
      </c>
      <c r="J70" s="361">
        <f t="shared" ca="1" si="38"/>
        <v>346400</v>
      </c>
      <c r="K70" s="362">
        <f t="shared" ca="1" si="39"/>
        <v>346400</v>
      </c>
    </row>
    <row r="71" spans="2:11">
      <c r="B71" s="508"/>
      <c r="C71" s="109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" ca="1" si="40">IF(OR(D71="MDU",D71="MDU-KD"),(IF($O$3="RAB NON MDU","PLN KD",G71*F71)),0)</f>
        <v>0</v>
      </c>
      <c r="I71" s="361">
        <f t="shared" ref="I71" ca="1" si="41">IF(D71="HDW",G71*F71,0)</f>
        <v>0</v>
      </c>
      <c r="J71" s="361">
        <f t="shared" ref="J71" ca="1" si="42">IF(D71="JASA",G71*F71,0)</f>
        <v>0</v>
      </c>
      <c r="K71" s="362">
        <f t="shared" ref="K71" ca="1" si="43">SUM(H71:J71)</f>
        <v>0</v>
      </c>
    </row>
    <row r="72" spans="2:11">
      <c r="B72" s="503" t="s">
        <v>1035</v>
      </c>
      <c r="C72" s="504" t="s">
        <v>1619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01">
        <v>2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:H82" ca="1" si="44">IF(OR(D72="MDU",D72="MDU-KD"),(IF($O$3="RAB NON MDU","PLN KD",G72*F72)),0)</f>
        <v>0</v>
      </c>
      <c r="I72" s="361">
        <f t="shared" ref="I72:I82" ca="1" si="45">IF(D72="HDW",G72*F72,0)</f>
        <v>0</v>
      </c>
      <c r="J72" s="361">
        <f t="shared" ref="J72:J82" ca="1" si="46">IF(D72="JASA",G72*F72,0)</f>
        <v>0</v>
      </c>
      <c r="K72" s="362">
        <f t="shared" ref="K72:K82" ca="1" si="47">SUM(H72:J72)</f>
        <v>0</v>
      </c>
    </row>
    <row r="73" spans="2:11">
      <c r="B73" s="503">
        <v>1</v>
      </c>
      <c r="C73" s="505" t="s">
        <v>29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F72*1</f>
        <v>2</v>
      </c>
      <c r="G73" s="360">
        <f ca="1">IF(ISERROR(OFFSET('HARGA SATUAN'!$I$6,MATCH(RAB!C73,'HARGA SATUAN'!$C$7:$C$1492,0),0)),0,OFFSET('HARGA SATUAN'!$I$6,MATCH(RAB!C73,'HARGA SATUAN'!$C$7:$C$1492,0),0))</f>
        <v>185200</v>
      </c>
      <c r="H73" s="361">
        <f t="shared" ca="1" si="44"/>
        <v>0</v>
      </c>
      <c r="I73" s="361">
        <f t="shared" ca="1" si="45"/>
        <v>370400</v>
      </c>
      <c r="J73" s="361">
        <f t="shared" ca="1" si="46"/>
        <v>0</v>
      </c>
      <c r="K73" s="362">
        <f t="shared" ca="1" si="47"/>
        <v>370400</v>
      </c>
    </row>
    <row r="74" spans="2:11">
      <c r="B74" s="498">
        <v>2</v>
      </c>
      <c r="C74" s="499" t="s">
        <v>30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1">
        <f>F72*1</f>
        <v>2</v>
      </c>
      <c r="G74" s="360">
        <f ca="1">IF(ISERROR(OFFSET('HARGA SATUAN'!$I$6,MATCH(RAB!C74,'HARGA SATUAN'!$C$7:$C$1492,0),0)),0,OFFSET('HARGA SATUAN'!$I$6,MATCH(RAB!C74,'HARGA SATUAN'!$C$7:$C$1492,0),0))</f>
        <v>47459</v>
      </c>
      <c r="H74" s="361">
        <f t="shared" ca="1" si="44"/>
        <v>0</v>
      </c>
      <c r="I74" s="361">
        <f t="shared" ca="1" si="45"/>
        <v>94918</v>
      </c>
      <c r="J74" s="361">
        <f t="shared" ca="1" si="46"/>
        <v>0</v>
      </c>
      <c r="K74" s="362">
        <f t="shared" ca="1" si="47"/>
        <v>94918</v>
      </c>
    </row>
    <row r="75" spans="2:11">
      <c r="B75" s="498">
        <v>3</v>
      </c>
      <c r="C75" s="499" t="s">
        <v>31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F72*1</f>
        <v>2</v>
      </c>
      <c r="G75" s="360">
        <f ca="1">IF(ISERROR(OFFSET('HARGA SATUAN'!$I$6,MATCH(RAB!C75,'HARGA SATUAN'!$C$7:$C$1492,0),0)),0,OFFSET('HARGA SATUAN'!$I$6,MATCH(RAB!C75,'HARGA SATUAN'!$C$7:$C$1492,0),0))</f>
        <v>4880</v>
      </c>
      <c r="H75" s="361">
        <f t="shared" ca="1" si="44"/>
        <v>0</v>
      </c>
      <c r="I75" s="361">
        <f t="shared" ca="1" si="45"/>
        <v>9760</v>
      </c>
      <c r="J75" s="361">
        <f t="shared" ca="1" si="46"/>
        <v>0</v>
      </c>
      <c r="K75" s="362">
        <f t="shared" ca="1" si="47"/>
        <v>9760</v>
      </c>
    </row>
    <row r="76" spans="2:11">
      <c r="B76" s="498">
        <v>4</v>
      </c>
      <c r="C76" s="499" t="s">
        <v>32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501">
        <f>F72*10</f>
        <v>20</v>
      </c>
      <c r="G76" s="360">
        <f ca="1">IF(ISERROR(OFFSET('HARGA SATUAN'!$I$6,MATCH(RAB!C76,'HARGA SATUAN'!$C$7:$C$1492,0),0)),0,OFFSET('HARGA SATUAN'!$I$6,MATCH(RAB!C76,'HARGA SATUAN'!$C$7:$C$1492,0),0))</f>
        <v>30000</v>
      </c>
      <c r="H76" s="361">
        <f t="shared" ca="1" si="44"/>
        <v>0</v>
      </c>
      <c r="I76" s="361">
        <f t="shared" ca="1" si="45"/>
        <v>600000</v>
      </c>
      <c r="J76" s="361">
        <f t="shared" ca="1" si="46"/>
        <v>0</v>
      </c>
      <c r="K76" s="362">
        <f t="shared" ca="1" si="47"/>
        <v>600000</v>
      </c>
    </row>
    <row r="77" spans="2:11">
      <c r="B77" s="498">
        <v>5</v>
      </c>
      <c r="C77" s="499" t="s">
        <v>33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1">
        <f>F72*2</f>
        <v>4</v>
      </c>
      <c r="G77" s="360">
        <f ca="1">IF(ISERROR(OFFSET('HARGA SATUAN'!$I$6,MATCH(RAB!C77,'HARGA SATUAN'!$C$7:$C$1492,0),0)),0,OFFSET('HARGA SATUAN'!$I$6,MATCH(RAB!C77,'HARGA SATUAN'!$C$7:$C$1492,0),0))</f>
        <v>9500</v>
      </c>
      <c r="H77" s="361">
        <f t="shared" ca="1" si="44"/>
        <v>0</v>
      </c>
      <c r="I77" s="361">
        <f t="shared" ca="1" si="45"/>
        <v>38000</v>
      </c>
      <c r="J77" s="361">
        <f t="shared" ca="1" si="46"/>
        <v>0</v>
      </c>
      <c r="K77" s="362">
        <f t="shared" ca="1" si="47"/>
        <v>38000</v>
      </c>
    </row>
    <row r="78" spans="2:11">
      <c r="B78" s="498">
        <v>6</v>
      </c>
      <c r="C78" s="499" t="s">
        <v>34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F72*5.5</f>
        <v>11</v>
      </c>
      <c r="G78" s="360">
        <f ca="1">IF(ISERROR(OFFSET('HARGA SATUAN'!$I$6,MATCH(RAB!C78,'HARGA SATUAN'!$C$7:$C$1492,0),0)),0,OFFSET('HARGA SATUAN'!$I$6,MATCH(RAB!C78,'HARGA SATUAN'!$C$7:$C$1492,0),0))</f>
        <v>6100</v>
      </c>
      <c r="H78" s="361">
        <f t="shared" ca="1" si="44"/>
        <v>0</v>
      </c>
      <c r="I78" s="361">
        <f t="shared" ca="1" si="45"/>
        <v>67100</v>
      </c>
      <c r="J78" s="361">
        <f t="shared" ca="1" si="46"/>
        <v>0</v>
      </c>
      <c r="K78" s="362">
        <f t="shared" ca="1" si="47"/>
        <v>67100</v>
      </c>
    </row>
    <row r="79" spans="2:11">
      <c r="B79" s="498">
        <v>7</v>
      </c>
      <c r="C79" s="499" t="s">
        <v>35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1">
        <f>F72*6</f>
        <v>12</v>
      </c>
      <c r="G79" s="360">
        <f ca="1">IF(ISERROR(OFFSET('HARGA SATUAN'!$I$6,MATCH(RAB!C79,'HARGA SATUAN'!$C$7:$C$1492,0),0)),0,OFFSET('HARGA SATUAN'!$I$6,MATCH(RAB!C79,'HARGA SATUAN'!$C$7:$C$1492,0),0))</f>
        <v>2300</v>
      </c>
      <c r="H79" s="361">
        <f t="shared" ca="1" si="44"/>
        <v>0</v>
      </c>
      <c r="I79" s="361">
        <f t="shared" ca="1" si="45"/>
        <v>27600</v>
      </c>
      <c r="J79" s="361">
        <f t="shared" ca="1" si="46"/>
        <v>0</v>
      </c>
      <c r="K79" s="362">
        <f t="shared" ca="1" si="47"/>
        <v>27600</v>
      </c>
    </row>
    <row r="80" spans="2:11">
      <c r="B80" s="498">
        <v>8</v>
      </c>
      <c r="C80" s="499" t="s">
        <v>1620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01">
        <f>F72*4.8</f>
        <v>9.6</v>
      </c>
      <c r="G80" s="360">
        <f ca="1">IF(ISERROR(OFFSET('HARGA SATUAN'!$I$6,MATCH(RAB!C80,'HARGA SATUAN'!$C$7:$C$1492,0),0)),0,OFFSET('HARGA SATUAN'!$I$6,MATCH(RAB!C80,'HARGA SATUAN'!$C$7:$C$1492,0),0))</f>
        <v>23310</v>
      </c>
      <c r="H80" s="361">
        <f t="shared" ca="1" si="44"/>
        <v>0</v>
      </c>
      <c r="I80" s="361">
        <f t="shared" ca="1" si="45"/>
        <v>223776</v>
      </c>
      <c r="J80" s="361">
        <f t="shared" ca="1" si="46"/>
        <v>0</v>
      </c>
      <c r="K80" s="362">
        <f t="shared" ca="1" si="47"/>
        <v>223776</v>
      </c>
    </row>
    <row r="81" spans="2:11">
      <c r="B81" s="498">
        <v>9</v>
      </c>
      <c r="C81" s="499" t="s">
        <v>736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01">
        <f>F72*1</f>
        <v>2</v>
      </c>
      <c r="G81" s="360">
        <f ca="1">IF(ISERROR(OFFSET('HARGA SATUAN'!$I$6,MATCH(RAB!C81,'HARGA SATUAN'!$C$7:$C$1492,0),0)),0,OFFSET('HARGA SATUAN'!$I$6,MATCH(RAB!C81,'HARGA SATUAN'!$C$7:$C$1492,0),0))</f>
        <v>65400</v>
      </c>
      <c r="H81" s="361">
        <f t="shared" ca="1" si="44"/>
        <v>0</v>
      </c>
      <c r="I81" s="361">
        <f t="shared" ca="1" si="45"/>
        <v>0</v>
      </c>
      <c r="J81" s="361">
        <f t="shared" ca="1" si="46"/>
        <v>130800</v>
      </c>
      <c r="K81" s="362">
        <f t="shared" ca="1" si="47"/>
        <v>130800</v>
      </c>
    </row>
    <row r="82" spans="2:11">
      <c r="B82" s="494"/>
      <c r="C82" s="497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502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4"/>
        <v>0</v>
      </c>
      <c r="I82" s="361">
        <f t="shared" ca="1" si="45"/>
        <v>0</v>
      </c>
      <c r="J82" s="361">
        <f t="shared" ca="1" si="46"/>
        <v>0</v>
      </c>
      <c r="K82" s="362">
        <f t="shared" ca="1" si="47"/>
        <v>0</v>
      </c>
    </row>
    <row r="83" spans="2:11">
      <c r="B83" s="495" t="s">
        <v>1615</v>
      </c>
      <c r="C83" s="500" t="s">
        <v>1621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368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ref="H83:H89" ca="1" si="48">IF(OR(D83="MDU",D83="MDU-KD"),(IF($O$3="RAB NON MDU","PLN KD",G83*F83)),0)</f>
        <v>0</v>
      </c>
      <c r="I83" s="361">
        <f t="shared" ref="I83:I89" ca="1" si="49">IF(D83="HDW",G83*F83,0)</f>
        <v>0</v>
      </c>
      <c r="J83" s="361">
        <f t="shared" ref="J83:J89" ca="1" si="50">IF(D83="JASA",G83*F83,0)</f>
        <v>0</v>
      </c>
      <c r="K83" s="362">
        <f t="shared" ref="K83:K89" ca="1" si="51">SUM(H83:J83)</f>
        <v>0</v>
      </c>
    </row>
    <row r="84" spans="2:11">
      <c r="B84" s="495"/>
      <c r="C84" s="496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10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8"/>
        <v>0</v>
      </c>
      <c r="I84" s="361">
        <f t="shared" ca="1" si="49"/>
        <v>0</v>
      </c>
      <c r="J84" s="361">
        <f t="shared" ca="1" si="50"/>
        <v>0</v>
      </c>
      <c r="K84" s="362">
        <f t="shared" ca="1" si="51"/>
        <v>0</v>
      </c>
    </row>
    <row r="85" spans="2:11">
      <c r="B85" s="495" t="s">
        <v>1035</v>
      </c>
      <c r="C85" s="496" t="s">
        <v>1629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17">
        <v>1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48"/>
        <v>0</v>
      </c>
      <c r="I85" s="361">
        <f t="shared" ca="1" si="49"/>
        <v>0</v>
      </c>
      <c r="J85" s="361">
        <f t="shared" ca="1" si="50"/>
        <v>0</v>
      </c>
      <c r="K85" s="362">
        <f t="shared" ca="1" si="51"/>
        <v>0</v>
      </c>
    </row>
    <row r="86" spans="2:11" ht="30">
      <c r="B86" s="514">
        <v>1</v>
      </c>
      <c r="C86" s="109" t="s">
        <v>1141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17">
        <f>F85*1</f>
        <v>1</v>
      </c>
      <c r="G86" s="360">
        <f ca="1">IF(ISERROR(OFFSET('HARGA SATUAN'!$I$6,MATCH(RAB!C86,'HARGA SATUAN'!$C$7:$C$1492,0),0)),0,OFFSET('HARGA SATUAN'!$I$6,MATCH(RAB!C86,'HARGA SATUAN'!$C$7:$C$1492,0),0))</f>
        <v>1740750</v>
      </c>
      <c r="H86" s="361">
        <f t="shared" ca="1" si="48"/>
        <v>1740750</v>
      </c>
      <c r="I86" s="361">
        <f t="shared" ca="1" si="49"/>
        <v>0</v>
      </c>
      <c r="J86" s="361">
        <f t="shared" ca="1" si="50"/>
        <v>0</v>
      </c>
      <c r="K86" s="362">
        <f t="shared" ca="1" si="51"/>
        <v>1740750</v>
      </c>
    </row>
    <row r="87" spans="2:11">
      <c r="B87" s="514">
        <v>2</v>
      </c>
      <c r="C87" s="516" t="s">
        <v>493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17">
        <f>F85*1</f>
        <v>1</v>
      </c>
      <c r="G87" s="360">
        <f ca="1">IF(ISERROR(OFFSET('HARGA SATUAN'!$I$6,MATCH(RAB!C87,'HARGA SATUAN'!$C$7:$C$1492,0),0)),0,OFFSET('HARGA SATUAN'!$I$6,MATCH(RAB!C87,'HARGA SATUAN'!$C$7:$C$1492,0),0))</f>
        <v>39000</v>
      </c>
      <c r="H87" s="361">
        <f t="shared" ca="1" si="48"/>
        <v>39000</v>
      </c>
      <c r="I87" s="361">
        <f t="shared" ca="1" si="49"/>
        <v>0</v>
      </c>
      <c r="J87" s="361">
        <f t="shared" ca="1" si="50"/>
        <v>0</v>
      </c>
      <c r="K87" s="362">
        <f t="shared" ca="1" si="51"/>
        <v>39000</v>
      </c>
    </row>
    <row r="88" spans="2:11">
      <c r="B88" s="514">
        <v>3</v>
      </c>
      <c r="C88" s="516" t="s">
        <v>74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Mtr</v>
      </c>
      <c r="F88" s="517">
        <f>F85*35</f>
        <v>35</v>
      </c>
      <c r="G88" s="360">
        <f ca="1">IF(ISERROR(OFFSET('HARGA SATUAN'!$I$6,MATCH(RAB!C88,'HARGA SATUAN'!$C$7:$C$1492,0),0)),0,OFFSET('HARGA SATUAN'!$I$6,MATCH(RAB!C88,'HARGA SATUAN'!$C$7:$C$1492,0),0))</f>
        <v>6600</v>
      </c>
      <c r="H88" s="361">
        <f t="shared" ca="1" si="48"/>
        <v>231000</v>
      </c>
      <c r="I88" s="361">
        <f t="shared" ca="1" si="49"/>
        <v>0</v>
      </c>
      <c r="J88" s="361">
        <f t="shared" ca="1" si="50"/>
        <v>0</v>
      </c>
      <c r="K88" s="362">
        <f t="shared" ca="1" si="51"/>
        <v>231000</v>
      </c>
    </row>
    <row r="89" spans="2:11">
      <c r="B89" s="514">
        <v>4</v>
      </c>
      <c r="C89" s="516" t="s">
        <v>798</v>
      </c>
      <c r="D89" s="358" t="str">
        <f ca="1">IF(ISERROR(OFFSET('HARGA SATUAN'!$D$6,MATCH(RAB!C89,'HARGA SATUAN'!$C$7:$C$1492,0),0)),"",OFFSET('HARGA SATUAN'!$D$6,MATCH(RAB!C89,'HARGA SATUAN'!$C$7:$C$1492,0),0))</f>
        <v>JASA</v>
      </c>
      <c r="E89" s="359" t="str">
        <f ca="1">IF(B89="+","Unit",IF(ISERROR(OFFSET('HARGA SATUAN'!$E$6,MATCH(RAB!C89,'HARGA SATUAN'!$C$7:$C$1492,0),0)),"",OFFSET('HARGA SATUAN'!$E$6,MATCH(RAB!C89,'HARGA SATUAN'!$C$7:$C$1492,0),0)))</f>
        <v>Unit</v>
      </c>
      <c r="F89" s="517">
        <f>F85*1</f>
        <v>1</v>
      </c>
      <c r="G89" s="360">
        <f ca="1">IF(ISERROR(OFFSET('HARGA SATUAN'!$I$6,MATCH(RAB!C89,'HARGA SATUAN'!$C$7:$C$1492,0),0)),0,OFFSET('HARGA SATUAN'!$I$6,MATCH(RAB!C89,'HARGA SATUAN'!$C$7:$C$1492,0),0))</f>
        <v>54400</v>
      </c>
      <c r="H89" s="361">
        <f t="shared" ca="1" si="48"/>
        <v>0</v>
      </c>
      <c r="I89" s="361">
        <f t="shared" ca="1" si="49"/>
        <v>0</v>
      </c>
      <c r="J89" s="361">
        <f t="shared" ca="1" si="50"/>
        <v>54400</v>
      </c>
      <c r="K89" s="362">
        <f t="shared" ca="1" si="51"/>
        <v>54400</v>
      </c>
    </row>
    <row r="90" spans="2:11">
      <c r="B90" s="374"/>
      <c r="C90" s="509"/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8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102" ca="1" si="52">IF(OR(D90="MDU",D90="MDU-KD"),(IF($O$3="RAB NON MDU","PLN KD",G90*F90)),0)</f>
        <v>0</v>
      </c>
      <c r="I90" s="361">
        <f t="shared" ref="I90:I102" ca="1" si="53">IF(D90="HDW",G90*F90,0)</f>
        <v>0</v>
      </c>
      <c r="J90" s="361">
        <f t="shared" ref="J90:J102" ca="1" si="54">IF(D90="JASA",G90*F90,0)</f>
        <v>0</v>
      </c>
      <c r="K90" s="362">
        <f t="shared" ref="K90:K102" ca="1" si="55">SUM(H90:J90)</f>
        <v>0</v>
      </c>
    </row>
    <row r="91" spans="2:11">
      <c r="B91" s="514" t="s">
        <v>1035</v>
      </c>
      <c r="C91" s="516" t="s">
        <v>1628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517">
        <v>1</v>
      </c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52"/>
        <v>0</v>
      </c>
      <c r="I91" s="361">
        <f t="shared" ca="1" si="53"/>
        <v>0</v>
      </c>
      <c r="J91" s="361">
        <f t="shared" ca="1" si="54"/>
        <v>0</v>
      </c>
      <c r="K91" s="362">
        <f t="shared" ca="1" si="55"/>
        <v>0</v>
      </c>
    </row>
    <row r="92" spans="2:11">
      <c r="B92" s="514">
        <v>1</v>
      </c>
      <c r="C92" s="516" t="s">
        <v>115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Set</v>
      </c>
      <c r="F92" s="517">
        <f>F91*1</f>
        <v>1</v>
      </c>
      <c r="G92" s="360">
        <f ca="1">IF(ISERROR(OFFSET('HARGA SATUAN'!$I$6,MATCH(RAB!C92,'HARGA SATUAN'!$C$7:$C$1492,0),0)),0,OFFSET('HARGA SATUAN'!$I$6,MATCH(RAB!C92,'HARGA SATUAN'!$C$7:$C$1492,0),0))</f>
        <v>11500</v>
      </c>
      <c r="H92" s="361">
        <f t="shared" ca="1" si="52"/>
        <v>0</v>
      </c>
      <c r="I92" s="361">
        <f t="shared" ca="1" si="53"/>
        <v>11500</v>
      </c>
      <c r="J92" s="361">
        <f t="shared" ca="1" si="54"/>
        <v>0</v>
      </c>
      <c r="K92" s="362">
        <f t="shared" ca="1" si="55"/>
        <v>11500</v>
      </c>
    </row>
    <row r="93" spans="2:11">
      <c r="B93" s="514">
        <v>2</v>
      </c>
      <c r="C93" s="516" t="s">
        <v>145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Set</v>
      </c>
      <c r="F93" s="517">
        <f>F91*1</f>
        <v>1</v>
      </c>
      <c r="G93" s="360">
        <f ca="1">IF(ISERROR(OFFSET('HARGA SATUAN'!$I$6,MATCH(RAB!C93,'HARGA SATUAN'!$C$7:$C$1492,0),0)),0,OFFSET('HARGA SATUAN'!$I$6,MATCH(RAB!C93,'HARGA SATUAN'!$C$7:$C$1492,0),0))</f>
        <v>6200</v>
      </c>
      <c r="H93" s="361">
        <f t="shared" ca="1" si="52"/>
        <v>0</v>
      </c>
      <c r="I93" s="361">
        <f t="shared" ca="1" si="53"/>
        <v>6200</v>
      </c>
      <c r="J93" s="361">
        <f t="shared" ca="1" si="54"/>
        <v>0</v>
      </c>
      <c r="K93" s="362">
        <f t="shared" ca="1" si="55"/>
        <v>6200</v>
      </c>
    </row>
    <row r="94" spans="2:11">
      <c r="B94" s="514">
        <v>3</v>
      </c>
      <c r="C94" s="516" t="s">
        <v>587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Btg</v>
      </c>
      <c r="F94" s="517">
        <f>F91*1</f>
        <v>1</v>
      </c>
      <c r="G94" s="360">
        <f ca="1">IF(ISERROR(OFFSET('HARGA SATUAN'!$I$6,MATCH(RAB!C94,'HARGA SATUAN'!$C$7:$C$1492,0),0)),0,OFFSET('HARGA SATUAN'!$I$6,MATCH(RAB!C94,'HARGA SATUAN'!$C$7:$C$1492,0),0))</f>
        <v>45796</v>
      </c>
      <c r="H94" s="361">
        <f t="shared" ca="1" si="52"/>
        <v>0</v>
      </c>
      <c r="I94" s="361">
        <f t="shared" ca="1" si="53"/>
        <v>45796</v>
      </c>
      <c r="J94" s="361">
        <f t="shared" ca="1" si="54"/>
        <v>0</v>
      </c>
      <c r="K94" s="362">
        <f t="shared" ca="1" si="55"/>
        <v>45796</v>
      </c>
    </row>
    <row r="95" spans="2:11">
      <c r="B95" s="514">
        <v>4</v>
      </c>
      <c r="C95" s="516" t="s">
        <v>118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Set</v>
      </c>
      <c r="F95" s="517">
        <f>F91*1</f>
        <v>1</v>
      </c>
      <c r="G95" s="360">
        <f ca="1">IF(ISERROR(OFFSET('HARGA SATUAN'!$I$6,MATCH(RAB!C95,'HARGA SATUAN'!$C$7:$C$1492,0),0)),0,OFFSET('HARGA SATUAN'!$I$6,MATCH(RAB!C95,'HARGA SATUAN'!$C$7:$C$1492,0),0))</f>
        <v>5300</v>
      </c>
      <c r="H95" s="361">
        <f t="shared" ca="1" si="52"/>
        <v>0</v>
      </c>
      <c r="I95" s="361">
        <f t="shared" ca="1" si="53"/>
        <v>5300</v>
      </c>
      <c r="J95" s="361">
        <f t="shared" ca="1" si="54"/>
        <v>0</v>
      </c>
      <c r="K95" s="362">
        <f t="shared" ca="1" si="55"/>
        <v>5300</v>
      </c>
    </row>
    <row r="96" spans="2:11">
      <c r="B96" s="514">
        <v>5</v>
      </c>
      <c r="C96" s="516" t="s">
        <v>117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17">
        <f>F91*1</f>
        <v>1</v>
      </c>
      <c r="G96" s="360">
        <f ca="1">IF(ISERROR(OFFSET('HARGA SATUAN'!$I$6,MATCH(RAB!C96,'HARGA SATUAN'!$C$7:$C$1492,0),0)),0,OFFSET('HARGA SATUAN'!$I$6,MATCH(RAB!C96,'HARGA SATUAN'!$C$7:$C$1492,0),0))</f>
        <v>58600</v>
      </c>
      <c r="H96" s="361">
        <f t="shared" ca="1" si="52"/>
        <v>0</v>
      </c>
      <c r="I96" s="361">
        <f t="shared" ca="1" si="53"/>
        <v>58600</v>
      </c>
      <c r="J96" s="361">
        <f t="shared" ca="1" si="54"/>
        <v>0</v>
      </c>
      <c r="K96" s="362">
        <f t="shared" ca="1" si="55"/>
        <v>58600</v>
      </c>
    </row>
    <row r="97" spans="2:13">
      <c r="B97" s="514">
        <v>6</v>
      </c>
      <c r="C97" s="109" t="s">
        <v>1154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Set</v>
      </c>
      <c r="F97" s="517">
        <f>F91*1</f>
        <v>1</v>
      </c>
      <c r="G97" s="360">
        <f ca="1">IF(ISERROR(OFFSET('HARGA SATUAN'!$I$6,MATCH(RAB!C97,'HARGA SATUAN'!$C$7:$C$1492,0),0)),0,OFFSET('HARGA SATUAN'!$I$6,MATCH(RAB!C97,'HARGA SATUAN'!$C$7:$C$1492,0),0))</f>
        <v>3888</v>
      </c>
      <c r="H97" s="361">
        <f t="shared" ca="1" si="52"/>
        <v>0</v>
      </c>
      <c r="I97" s="361">
        <f t="shared" ca="1" si="53"/>
        <v>3888</v>
      </c>
      <c r="J97" s="361">
        <f t="shared" ca="1" si="54"/>
        <v>0</v>
      </c>
      <c r="K97" s="362">
        <f t="shared" ca="1" si="55"/>
        <v>3888</v>
      </c>
    </row>
    <row r="98" spans="2:13">
      <c r="B98" s="514">
        <v>7</v>
      </c>
      <c r="C98" s="516" t="s">
        <v>119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Set</v>
      </c>
      <c r="F98" s="517">
        <f>F91*2</f>
        <v>2</v>
      </c>
      <c r="G98" s="360">
        <f ca="1">IF(ISERROR(OFFSET('HARGA SATUAN'!$I$6,MATCH(RAB!C98,'HARGA SATUAN'!$C$7:$C$1492,0),0)),0,OFFSET('HARGA SATUAN'!$I$6,MATCH(RAB!C98,'HARGA SATUAN'!$C$7:$C$1492,0),0))</f>
        <v>8900</v>
      </c>
      <c r="H98" s="361">
        <f t="shared" ca="1" si="52"/>
        <v>0</v>
      </c>
      <c r="I98" s="361">
        <f t="shared" ca="1" si="53"/>
        <v>17800</v>
      </c>
      <c r="J98" s="361">
        <f t="shared" ca="1" si="54"/>
        <v>0</v>
      </c>
      <c r="K98" s="362">
        <f t="shared" ca="1" si="55"/>
        <v>17800</v>
      </c>
    </row>
    <row r="99" spans="2:13">
      <c r="B99" s="374"/>
      <c r="C99" s="509"/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368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52"/>
        <v>0</v>
      </c>
      <c r="I99" s="361">
        <f t="shared" ca="1" si="53"/>
        <v>0</v>
      </c>
      <c r="J99" s="361">
        <f t="shared" ca="1" si="54"/>
        <v>0</v>
      </c>
      <c r="K99" s="362">
        <f t="shared" ca="1" si="55"/>
        <v>0</v>
      </c>
    </row>
    <row r="100" spans="2:13">
      <c r="B100" s="366" t="s">
        <v>22</v>
      </c>
      <c r="C100" s="367" t="s">
        <v>1617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368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52"/>
        <v>0</v>
      </c>
      <c r="I100" s="361">
        <f t="shared" ca="1" si="53"/>
        <v>0</v>
      </c>
      <c r="J100" s="361">
        <f t="shared" ca="1" si="54"/>
        <v>0</v>
      </c>
      <c r="K100" s="362">
        <f t="shared" ca="1" si="55"/>
        <v>0</v>
      </c>
    </row>
    <row r="101" spans="2:13">
      <c r="B101" s="374"/>
      <c r="C101" s="373"/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368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52"/>
        <v>0</v>
      </c>
      <c r="I101" s="361">
        <f t="shared" ca="1" si="53"/>
        <v>0</v>
      </c>
      <c r="J101" s="361">
        <f t="shared" ca="1" si="54"/>
        <v>0</v>
      </c>
      <c r="K101" s="362">
        <f t="shared" ca="1" si="55"/>
        <v>0</v>
      </c>
    </row>
    <row r="102" spans="2:13">
      <c r="B102" s="375"/>
      <c r="C102" s="376" t="s">
        <v>475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368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52"/>
        <v>0</v>
      </c>
      <c r="I102" s="361">
        <f t="shared" ca="1" si="53"/>
        <v>0</v>
      </c>
      <c r="J102" s="361">
        <f t="shared" ca="1" si="54"/>
        <v>0</v>
      </c>
      <c r="K102" s="362">
        <f t="shared" ca="1" si="55"/>
        <v>0</v>
      </c>
    </row>
    <row r="103" spans="2:13">
      <c r="B103" s="378">
        <v>1</v>
      </c>
      <c r="C103" s="379" t="s">
        <v>1091</v>
      </c>
      <c r="D103" s="380" t="str">
        <f ca="1">IF(ISERROR(OFFSET('HARGA SATUAN'!$D$6,MATCH(RAB!C103,'HARGA SATUAN'!$C$7:$C$1492,0),0)),"",OFFSET('HARGA SATUAN'!$D$6,MATCH(RAB!C103,'HARGA SATUAN'!$C$7:$C$1492,0),0))</f>
        <v>JASA</v>
      </c>
      <c r="E103" s="381" t="str">
        <f ca="1">IF(ISERROR(OFFSET('HARGA SATUAN'!$E$6,MATCH(RAB!C103,'HARGA SATUAN'!$C$7:$C$1492,0),0)),"",OFFSET('HARGA SATUAN'!$E$6,MATCH(RAB!C103,'HARGA SATUAN'!$C$7:$C$1492,0),0))</f>
        <v>Lot</v>
      </c>
      <c r="F103" s="382">
        <v>1</v>
      </c>
      <c r="G103" s="383">
        <f ca="1">IF(ISERROR(OFFSET('HARGA SATUAN'!$I$6,MATCH(RAB!C103,'HARGA SATUAN'!$C$7:$C$1492,0),0)),0,OFFSET('HARGA SATUAN'!$I$6,MATCH(RAB!C103,'HARGA SATUAN'!$C$7:$C$1492,0),0))</f>
        <v>2.5000000000000001E-2</v>
      </c>
      <c r="H103" s="384">
        <f ca="1">SUM(H14:H102)*G103</f>
        <v>1001507.5</v>
      </c>
      <c r="I103" s="384">
        <f ca="1">SUM(I14:I102)*G103</f>
        <v>525724.75599999994</v>
      </c>
      <c r="J103" s="384">
        <f ca="1">SUM(J14:J102)*G103</f>
        <v>34255</v>
      </c>
      <c r="K103" s="385">
        <f ca="1">SUM(H103:J103)</f>
        <v>1561487.2560000001</v>
      </c>
    </row>
    <row r="104" spans="2:13">
      <c r="B104" s="386"/>
      <c r="C104" s="387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IF(ISERROR(OFFSET('HARGA SATUAN'!$E$6,MATCH(RAB!C104,'HARGA SATUAN'!$C$7:$C$1492,0),0)),"",OFFSET('HARGA SATUAN'!$E$6,MATCH(RAB!C104,'HARGA SATUAN'!$C$7:$C$1492,0),0))</f>
        <v/>
      </c>
      <c r="F104" s="377"/>
      <c r="G104" s="360" t="str">
        <f ca="1">IF(ISERROR(OFFSET('HARGA SATUAN'!$I$6,MATCH(RAB!C104,'HARGA SATUAN'!$C$7:$C$1492,0),0)),"",OFFSET('HARGA SATUAN'!$I$6,MATCH(RAB!C104,'HARGA SATUAN'!$C$7:$C$1492,0),0))</f>
        <v/>
      </c>
      <c r="H104" s="361">
        <f ca="1">IF(OR(D104="MDU",D104="MDU-KD"),IF(G104="PLN",0,G104*F104),0)</f>
        <v>0</v>
      </c>
      <c r="I104" s="361">
        <f ca="1">IF(D104="HDW",IF(G104="PLN",0,G104*F104),0)</f>
        <v>0</v>
      </c>
      <c r="J104" s="361">
        <f ca="1">IF(D104="JASA",IF(G104="PLN",0,G104*F104),0)</f>
        <v>0</v>
      </c>
      <c r="K104" s="362">
        <f ca="1">SUM(H104:J104)</f>
        <v>0</v>
      </c>
    </row>
    <row r="105" spans="2:13" ht="15.75" thickBot="1">
      <c r="B105" s="388"/>
      <c r="C105" s="389"/>
      <c r="D105" s="390"/>
      <c r="E105" s="391"/>
      <c r="F105" s="391"/>
      <c r="G105" s="391"/>
      <c r="H105" s="392"/>
      <c r="I105" s="392"/>
      <c r="J105" s="392"/>
      <c r="K105" s="393"/>
    </row>
    <row r="106" spans="2:13">
      <c r="B106" s="394"/>
      <c r="C106" s="639" t="s">
        <v>1008</v>
      </c>
      <c r="D106" s="639"/>
      <c r="E106" s="639"/>
      <c r="F106" s="639"/>
      <c r="G106" s="395" t="s">
        <v>9</v>
      </c>
      <c r="H106" s="396">
        <f ca="1">SUM(H14:H104)</f>
        <v>41061807.5</v>
      </c>
      <c r="I106" s="396">
        <f ca="1">SUM(I14:I104)</f>
        <v>21554714.995999999</v>
      </c>
      <c r="J106" s="396">
        <f ca="1">SUM(J14:J104)</f>
        <v>1404455</v>
      </c>
      <c r="K106" s="396">
        <f ca="1">SUM(K14:K104)</f>
        <v>64020977.495999992</v>
      </c>
    </row>
    <row r="107" spans="2:13">
      <c r="B107" s="398"/>
      <c r="C107" s="622" t="s">
        <v>1457</v>
      </c>
      <c r="D107" s="622"/>
      <c r="E107" s="622"/>
      <c r="F107" s="622"/>
      <c r="G107" s="399" t="s">
        <v>9</v>
      </c>
      <c r="H107" s="400">
        <f ca="1">H106*0.11</f>
        <v>4516798.8250000002</v>
      </c>
      <c r="I107" s="400">
        <f ca="1">I106*0.11</f>
        <v>2371018.6495599998</v>
      </c>
      <c r="J107" s="400">
        <f ca="1">J106*0.11</f>
        <v>154490.04999999999</v>
      </c>
      <c r="K107" s="400">
        <f ca="1">K106*0.11</f>
        <v>7042307.5245599989</v>
      </c>
    </row>
    <row r="108" spans="2:13" ht="15.75" thickBot="1">
      <c r="B108" s="398"/>
      <c r="C108" s="620" t="s">
        <v>463</v>
      </c>
      <c r="D108" s="620"/>
      <c r="E108" s="620"/>
      <c r="F108" s="620"/>
      <c r="G108" s="401" t="s">
        <v>9</v>
      </c>
      <c r="H108" s="402">
        <f ca="1">SUM(H106:H107)</f>
        <v>45578606.325000003</v>
      </c>
      <c r="I108" s="402">
        <f ca="1">SUM(I106:I107)</f>
        <v>23925733.64556</v>
      </c>
      <c r="J108" s="401">
        <f ca="1">SUM(J106:J107)</f>
        <v>1558945.05</v>
      </c>
      <c r="K108" s="401">
        <f ca="1">SUM(K106:K107)</f>
        <v>71063285.020559996</v>
      </c>
      <c r="M108" s="484"/>
    </row>
    <row r="109" spans="2:13">
      <c r="B109" s="623" t="str">
        <f ca="1">"Terbilang : "&amp;PROPER(IF(K108=0,"nol",IF(K108&lt;0,"minus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IF(--MID(TEXT(ABS(K108),"000000000000000"),1,3)=0,"",MID(TEXT(ABS(K108),"000000000000000"),1,1)&amp;" ratus "&amp;MID(TEXT(ABS(K108),"000000000000000"),2,1)&amp;" puluh "&amp;MID(TEXT(ABS(K108),"000000000000000"),3,1)&amp;" trilyun ")&amp; IF(--MID(TEXT(ABS(K108),"000000000000000"),4,3)=0,"",MID(TEXT(ABS(K108),"000000000000000"),4,1)&amp;" ratus "&amp;MID(TEXT(ABS(K108),"000000000000000"),5,1)&amp;" puluh "&amp;MID(TEXT(ABS(K108),"000000000000000"),6,1)&amp;" milyar ")&amp; IF(--MID(TEXT(ABS(K108),"000000000000000"),7,3)=0,"",MID(TEXT(ABS(K108),"000000000000000"),7,1)&amp;" ratus "&amp;MID(TEXT(ABS(K108),"000000000000000"),8,1)&amp;" puluh "&amp;MID(TEXT(ABS(K108),"000000000000000"),9,1)&amp;" juta ")&amp; IF(--MID(TEXT(ABS(K108),"000000000000000"),10,3)=0,"",IF(--MID(TEXT(ABS(K108),"000000000000000"),10,3)=1,"*",MID(TEXT(ABS(K108),"000000000000000"),10,1)&amp;" ratus "&amp;MID(TEXT(ABS(K108),"000000000000000"),11,1)&amp;" puluh ")&amp;MID(TEXT(ABS(K108),"000000000000000"),12,1)&amp;" ribu ")&amp; IF(--MID(TEXT(ABS(K108),"000000000000000"),13,3)=0,"",MID(TEXT(ABS(K108),"000000000000000"),13,1)&amp;" ratus "&amp;MID(TEXT(ABS(K108),"000000000000000"),14,1)&amp;" puluh "&amp;MID(TEXT(ABS(K108),"000000000000000"),15,1)),1,"satu"),2,"dua"),3,"tiga"),4,"empat"),5,"lima"),6,"enam"),7,"tujuh"),8,"delapan"),9,"sembilan"),"0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Enam Puluh Tiga Ribu Dua Ratus Delapan Puluh Lima Rupiah</v>
      </c>
      <c r="C109" s="624"/>
      <c r="D109" s="624"/>
      <c r="E109" s="624"/>
      <c r="F109" s="624"/>
      <c r="G109" s="624"/>
      <c r="H109" s="624"/>
      <c r="I109" s="624"/>
      <c r="J109" s="624"/>
      <c r="K109" s="625"/>
    </row>
    <row r="110" spans="2:13">
      <c r="B110" s="626"/>
      <c r="C110" s="627"/>
      <c r="D110" s="627"/>
      <c r="E110" s="627"/>
      <c r="F110" s="627"/>
      <c r="G110" s="627"/>
      <c r="H110" s="627"/>
      <c r="I110" s="627"/>
      <c r="J110" s="627"/>
      <c r="K110" s="628"/>
    </row>
    <row r="111" spans="2:13" ht="15.75" thickBot="1">
      <c r="B111" s="403" t="str">
        <f>"Harga yang dipakai adalah "&amp;'HARGA SATUAN'!I5&amp;""</f>
        <v>Harga yang dipakai adalah RAB HSS 2023</v>
      </c>
      <c r="C111" s="404"/>
      <c r="D111" s="405"/>
      <c r="E111" s="405"/>
      <c r="F111" s="405"/>
      <c r="G111" s="406"/>
      <c r="H111" s="406"/>
      <c r="I111" s="406"/>
      <c r="J111" s="406"/>
      <c r="K111" s="407"/>
    </row>
    <row r="112" spans="2:13">
      <c r="C112" s="408"/>
      <c r="E112" s="410"/>
      <c r="F112" s="410"/>
      <c r="G112" s="410"/>
    </row>
    <row r="113" spans="3:11">
      <c r="C113" s="337"/>
      <c r="E113" s="410"/>
      <c r="F113" s="410"/>
      <c r="G113" s="410"/>
      <c r="H113" s="629"/>
      <c r="I113" s="629"/>
      <c r="J113" s="630"/>
      <c r="K113" s="630"/>
    </row>
    <row r="114" spans="3:11">
      <c r="C114" s="337"/>
      <c r="E114" s="410"/>
      <c r="F114" s="410"/>
      <c r="G114" s="410"/>
      <c r="H114" s="411"/>
      <c r="I114" s="619" t="s">
        <v>1610</v>
      </c>
      <c r="J114" s="619"/>
      <c r="K114" s="619"/>
    </row>
    <row r="115" spans="3:11">
      <c r="C115" s="337"/>
      <c r="E115" s="410"/>
      <c r="F115" s="410"/>
      <c r="G115" s="410"/>
      <c r="H115" s="411"/>
      <c r="I115" s="619" t="s">
        <v>1546</v>
      </c>
      <c r="J115" s="619"/>
      <c r="K115" s="619"/>
    </row>
    <row r="116" spans="3:11">
      <c r="C116" s="337"/>
      <c r="E116" s="410"/>
      <c r="F116" s="410"/>
      <c r="G116" s="410"/>
      <c r="H116" s="412"/>
      <c r="I116" s="413"/>
      <c r="J116" s="413"/>
      <c r="K116" s="413"/>
    </row>
    <row r="117" spans="3:11">
      <c r="C117" s="337"/>
      <c r="E117" s="410"/>
      <c r="F117" s="410"/>
      <c r="G117" s="410"/>
      <c r="H117" s="412"/>
      <c r="I117" s="412"/>
      <c r="J117" s="412"/>
      <c r="K117" s="412"/>
    </row>
    <row r="118" spans="3:11">
      <c r="C118" s="337"/>
      <c r="E118" s="410"/>
      <c r="F118" s="410"/>
      <c r="G118" s="410"/>
      <c r="H118" s="412"/>
      <c r="I118" s="412"/>
      <c r="J118" s="412"/>
      <c r="K118" s="412"/>
    </row>
    <row r="119" spans="3:11">
      <c r="C119" s="337"/>
      <c r="E119" s="410"/>
      <c r="F119" s="410"/>
      <c r="G119" s="410"/>
      <c r="H119" s="412"/>
      <c r="I119" s="412"/>
      <c r="J119" s="412"/>
      <c r="K119" s="412"/>
    </row>
    <row r="120" spans="3:11">
      <c r="C120" s="337"/>
      <c r="E120" s="410"/>
      <c r="F120" s="410"/>
      <c r="G120" s="410"/>
      <c r="H120" s="414"/>
      <c r="I120" s="619" t="s">
        <v>1547</v>
      </c>
      <c r="J120" s="619"/>
      <c r="K120" s="619"/>
    </row>
    <row r="121" spans="3:11">
      <c r="C121" s="408"/>
      <c r="E121" s="410"/>
      <c r="F121" s="410"/>
      <c r="G121" s="410"/>
      <c r="H121" s="412"/>
      <c r="I121" s="412"/>
      <c r="J121" s="412"/>
      <c r="K121" s="412"/>
    </row>
    <row r="122" spans="3:11">
      <c r="C122" s="408"/>
      <c r="E122" s="410"/>
      <c r="F122" s="410"/>
      <c r="G122" s="410"/>
      <c r="H122" s="412"/>
      <c r="I122" s="412"/>
      <c r="J122" s="412"/>
      <c r="K122" s="412"/>
    </row>
    <row r="123" spans="3:11">
      <c r="C123" s="408"/>
      <c r="E123" s="410"/>
      <c r="F123" s="410"/>
      <c r="G123" s="410"/>
      <c r="H123" s="412"/>
      <c r="I123" s="412"/>
      <c r="J123" s="412"/>
      <c r="K123" s="412"/>
    </row>
  </sheetData>
  <sheetProtection sort="0" autoFilter="0"/>
  <protectedRanges>
    <protectedRange sqref="B101 B84:B99" name="Range1_1"/>
    <protectedRange sqref="F83:F102 F48:F50 F57 F14:F46" name="Range1_1_2_2"/>
    <protectedRange sqref="C101 C84:C85 C89:C99 C87" name="Range1_1_1"/>
    <protectedRange sqref="B71 B60:C61 B66 B82:C83 B62 B59 B50:C50 B63:C65 B67:C70 B57:C58" name="Range1_6_2"/>
    <protectedRange sqref="C71" name="Range1_1_3_2"/>
    <protectedRange sqref="C66" name="Range1_1_3_3"/>
    <protectedRange sqref="C62" name="Range1_1_3_10"/>
    <protectedRange sqref="C88" name="Range1_1_3_13"/>
    <protectedRange sqref="C17:C18" name="Range1_1_3_14"/>
    <protectedRange sqref="C19:C21" name="Range1_1_3"/>
    <protectedRange sqref="C59" name="Range1_1_3_1"/>
    <protectedRange sqref="C47" name="Range1_1_3_5"/>
    <protectedRange sqref="C46" name="Range1_1_3_6"/>
    <protectedRange sqref="C86" name="Range1_1_3_4"/>
  </protectedRanges>
  <mergeCells count="22">
    <mergeCell ref="O3:P4"/>
    <mergeCell ref="B4:K4"/>
    <mergeCell ref="C106:F106"/>
    <mergeCell ref="B11:B13"/>
    <mergeCell ref="C11:C13"/>
    <mergeCell ref="D11:D13"/>
    <mergeCell ref="E11:E13"/>
    <mergeCell ref="F11:F13"/>
    <mergeCell ref="G11:G13"/>
    <mergeCell ref="I12:I13"/>
    <mergeCell ref="I115:K115"/>
    <mergeCell ref="I120:K120"/>
    <mergeCell ref="C108:F108"/>
    <mergeCell ref="G6:K6"/>
    <mergeCell ref="I114:K114"/>
    <mergeCell ref="C107:F107"/>
    <mergeCell ref="B109:K110"/>
    <mergeCell ref="H113:K113"/>
    <mergeCell ref="H11:K11"/>
    <mergeCell ref="H12:H13"/>
    <mergeCell ref="J12:J13"/>
    <mergeCell ref="K12:K13"/>
  </mergeCells>
  <phoneticPr fontId="139" type="noConversion"/>
  <conditionalFormatting sqref="C15 C71 C17:C22">
    <cfRule type="cellIs" dxfId="13" priority="497" operator="equal">
      <formula>0</formula>
    </cfRule>
  </conditionalFormatting>
  <conditionalFormatting sqref="C46:C47">
    <cfRule type="cellIs" dxfId="12" priority="15" operator="equal">
      <formula>0</formula>
    </cfRule>
  </conditionalFormatting>
  <conditionalFormatting sqref="C49">
    <cfRule type="cellIs" dxfId="11" priority="122" operator="equal">
      <formula>0</formula>
    </cfRule>
  </conditionalFormatting>
  <conditionalFormatting sqref="C53">
    <cfRule type="cellIs" dxfId="10" priority="6" operator="equal">
      <formula>0</formula>
    </cfRule>
  </conditionalFormatting>
  <conditionalFormatting sqref="C55">
    <cfRule type="cellIs" dxfId="9" priority="7" operator="equal">
      <formula>0</formula>
    </cfRule>
  </conditionalFormatting>
  <conditionalFormatting sqref="C86">
    <cfRule type="cellIs" dxfId="8" priority="2" operator="equal">
      <formula>0</formula>
    </cfRule>
  </conditionalFormatting>
  <conditionalFormatting sqref="C97">
    <cfRule type="cellIs" dxfId="7" priority="13" operator="equal">
      <formula>0</formula>
    </cfRule>
  </conditionalFormatting>
  <conditionalFormatting sqref="C100">
    <cfRule type="cellIs" dxfId="6" priority="120" operator="equal">
      <formula>0</formula>
    </cfRule>
  </conditionalFormatting>
  <conditionalFormatting sqref="D47:F47">
    <cfRule type="cellIs" dxfId="5" priority="23" operator="equal">
      <formula>0</formula>
    </cfRule>
  </conditionalFormatting>
  <conditionalFormatting sqref="E1:E3 G1:G13 E5:E13 H12:I12 O13 S14:V22 E50:K57 E58:E70 G58:K70 E103:G103 E104:H104 E105:F105 E14:K36 E37:F37 E48:F49 E38:E43 G37:K49 E44:F46 H103:K105">
    <cfRule type="cellIs" dxfId="4" priority="1077" stopIfTrue="1" operator="equal">
      <formula>0</formula>
    </cfRule>
  </conditionalFormatting>
  <conditionalFormatting sqref="E71:K102">
    <cfRule type="cellIs" dxfId="3" priority="10" stopIfTrue="1" operator="equal">
      <formula>0</formula>
    </cfRule>
  </conditionalFormatting>
  <conditionalFormatting sqref="F59:F70">
    <cfRule type="cellIs" dxfId="2" priority="14" stopIfTrue="1" operator="equal">
      <formula>0</formula>
    </cfRule>
  </conditionalFormatting>
  <conditionalFormatting sqref="G104:G65570 E109:E65570">
    <cfRule type="cellIs" dxfId="1" priority="211" stopIfTrue="1" operator="equal">
      <formula>0</formula>
    </cfRule>
  </conditionalFormatting>
  <conditionalFormatting sqref="F38:F43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C60:C62 C67:C70 F59:F82 F48:F57 F24:F46 H14:K10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7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zoomScaleNormal="115" zoomScaleSheetLayoutView="100" workbookViewId="0">
      <selection activeCell="Y27" sqref="Y2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2" t="s">
        <v>1439</v>
      </c>
      <c r="X2" s="703"/>
      <c r="Y2" s="703"/>
      <c r="Z2" s="703"/>
      <c r="AA2" s="703"/>
      <c r="AB2" s="703"/>
      <c r="AC2" s="703"/>
      <c r="AD2" s="704"/>
    </row>
    <row r="3" spans="3:30">
      <c r="C3" s="238"/>
      <c r="W3" s="705"/>
      <c r="X3" s="706"/>
      <c r="Y3" s="706"/>
      <c r="Z3" s="706"/>
      <c r="AA3" s="706"/>
      <c r="AB3" s="706"/>
      <c r="AC3" s="706"/>
      <c r="AD3" s="70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490" t="str">
        <f>PETA!C6</f>
        <v>KOORDINAT : -6.885491, 110.643632</v>
      </c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1455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700"/>
      <c r="Y19" s="700"/>
      <c r="Z19" s="700"/>
      <c r="AA19" s="700"/>
      <c r="AB19" s="700"/>
      <c r="AC19" s="700"/>
      <c r="AD19" s="701"/>
    </row>
    <row r="20" spans="3:30">
      <c r="C20" s="238"/>
      <c r="W20" s="687" t="s">
        <v>992</v>
      </c>
      <c r="X20" s="688"/>
      <c r="Y20" s="688"/>
      <c r="Z20" s="688"/>
      <c r="AA20" s="688"/>
      <c r="AB20" s="688"/>
      <c r="AC20" s="688"/>
      <c r="AD20" s="689"/>
    </row>
    <row r="21" spans="3:30">
      <c r="C21" s="238"/>
      <c r="W21" s="690" t="s">
        <v>985</v>
      </c>
      <c r="X21" s="691"/>
      <c r="Y21" s="691"/>
      <c r="Z21" s="692"/>
      <c r="AA21" s="693" t="s">
        <v>986</v>
      </c>
      <c r="AB21" s="694"/>
      <c r="AC21" s="694"/>
      <c r="AD21" s="695"/>
    </row>
    <row r="22" spans="3:30">
      <c r="C22" s="238"/>
      <c r="W22" s="696" t="s">
        <v>1632</v>
      </c>
      <c r="X22" s="697"/>
      <c r="Y22" s="492">
        <v>3</v>
      </c>
      <c r="Z22" s="493"/>
      <c r="AA22" s="698"/>
      <c r="AB22" s="699"/>
      <c r="AC22" s="248"/>
      <c r="AD22" s="249"/>
    </row>
    <row r="23" spans="3:30">
      <c r="C23" s="238"/>
      <c r="W23" s="696"/>
      <c r="X23" s="697"/>
      <c r="Y23" s="492"/>
      <c r="Z23" s="493"/>
      <c r="AA23" s="685"/>
      <c r="AB23" s="686"/>
      <c r="AC23" s="248"/>
      <c r="AD23" s="249"/>
    </row>
    <row r="24" spans="3:30">
      <c r="C24" s="238"/>
      <c r="W24" s="680" t="s">
        <v>1633</v>
      </c>
      <c r="X24" s="682"/>
      <c r="Y24" s="246">
        <v>1</v>
      </c>
      <c r="Z24" s="247"/>
      <c r="AA24" s="683"/>
      <c r="AB24" s="684"/>
      <c r="AC24" s="248"/>
      <c r="AD24" s="249"/>
    </row>
    <row r="25" spans="3:30">
      <c r="C25" s="238"/>
      <c r="W25" s="680" t="s">
        <v>1619</v>
      </c>
      <c r="X25" s="682"/>
      <c r="Y25" s="246">
        <v>2</v>
      </c>
      <c r="Z25" s="247"/>
      <c r="AA25" s="685"/>
      <c r="AB25" s="686"/>
      <c r="AC25" s="248"/>
      <c r="AD25" s="249"/>
    </row>
    <row r="26" spans="3:30">
      <c r="C26" s="238"/>
      <c r="W26" s="480" t="s">
        <v>1631</v>
      </c>
      <c r="X26" s="481"/>
      <c r="Y26" s="246">
        <v>1</v>
      </c>
      <c r="Z26" s="247"/>
      <c r="AA26" s="685"/>
      <c r="AB26" s="686"/>
      <c r="AC26" s="248"/>
      <c r="AD26" s="249"/>
    </row>
    <row r="27" spans="3:30">
      <c r="C27" s="238"/>
      <c r="W27" s="480" t="s">
        <v>1623</v>
      </c>
      <c r="X27" s="481"/>
      <c r="Y27" s="246">
        <v>2</v>
      </c>
      <c r="Z27" s="247"/>
      <c r="AA27" s="679"/>
      <c r="AB27" s="674"/>
      <c r="AC27" s="248"/>
      <c r="AD27" s="249"/>
    </row>
    <row r="28" spans="3:30">
      <c r="C28" s="238"/>
      <c r="W28" s="480"/>
      <c r="X28" s="481"/>
      <c r="Y28" s="246"/>
      <c r="Z28" s="247"/>
      <c r="AA28" s="679"/>
      <c r="AB28" s="674"/>
      <c r="AC28" s="248"/>
      <c r="AD28" s="249"/>
    </row>
    <row r="29" spans="3:30">
      <c r="C29" s="238"/>
      <c r="W29" s="480"/>
      <c r="X29" s="481"/>
      <c r="Y29" s="246"/>
      <c r="Z29" s="247"/>
      <c r="AA29" s="679"/>
      <c r="AB29" s="674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9"/>
      <c r="AB30" s="674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9"/>
      <c r="AB31" s="674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9"/>
      <c r="AB32" s="674"/>
      <c r="AC32" s="248"/>
      <c r="AD32" s="249"/>
    </row>
    <row r="33" spans="3:30">
      <c r="C33" s="238"/>
      <c r="W33" s="480"/>
      <c r="X33" s="481"/>
      <c r="Y33" s="246"/>
      <c r="Z33" s="247"/>
      <c r="AA33" s="679"/>
      <c r="AB33" s="674"/>
      <c r="AC33" s="248"/>
      <c r="AD33" s="249"/>
    </row>
    <row r="34" spans="3:30">
      <c r="C34" s="238"/>
      <c r="W34" s="480"/>
      <c r="X34" s="481"/>
      <c r="Y34" s="246"/>
      <c r="Z34" s="247"/>
      <c r="AA34" s="679"/>
      <c r="AB34" s="674"/>
      <c r="AC34" s="248"/>
      <c r="AD34" s="249"/>
    </row>
    <row r="35" spans="3:30">
      <c r="C35" s="238"/>
      <c r="W35" s="680"/>
      <c r="X35" s="681"/>
      <c r="Y35" s="246"/>
      <c r="Z35" s="247"/>
      <c r="AA35" s="679"/>
      <c r="AB35" s="674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74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0"/>
      <c r="W39" s="675"/>
      <c r="X39" s="676"/>
      <c r="Y39" s="254"/>
      <c r="Z39" s="257"/>
      <c r="AA39" s="667"/>
      <c r="AB39" s="668"/>
      <c r="AC39" s="252"/>
      <c r="AD39" s="253"/>
    </row>
    <row r="40" spans="3:30" ht="12" customHeight="1">
      <c r="C40" s="238"/>
      <c r="D40" s="520"/>
      <c r="W40" s="663"/>
      <c r="X40" s="664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0"/>
      <c r="W41" s="665"/>
      <c r="X41" s="666"/>
      <c r="Y41" s="260"/>
      <c r="Z41" s="261"/>
      <c r="AA41" s="667"/>
      <c r="AB41" s="668"/>
      <c r="AC41" s="252"/>
      <c r="AD41" s="253"/>
    </row>
    <row r="42" spans="3:30" ht="12" customHeight="1">
      <c r="C42" s="238"/>
      <c r="D42" s="520"/>
      <c r="W42" s="669" t="s">
        <v>1456</v>
      </c>
      <c r="X42" s="670"/>
      <c r="Y42" s="670"/>
      <c r="Z42" s="670"/>
      <c r="AA42" s="262"/>
      <c r="AB42" s="262"/>
      <c r="AC42" s="262"/>
      <c r="AD42" s="263"/>
    </row>
    <row r="43" spans="3:30" ht="12" customHeight="1">
      <c r="C43" s="238"/>
      <c r="D43" s="520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0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8" t="s">
        <v>11</v>
      </c>
      <c r="X44" s="649"/>
      <c r="Y44" s="651"/>
      <c r="Z44" s="651"/>
      <c r="AA44" s="651"/>
      <c r="AB44" s="651"/>
      <c r="AC44" s="651"/>
      <c r="AD44" s="652"/>
    </row>
    <row r="45" spans="3:30">
      <c r="C45" s="268"/>
      <c r="D45" s="520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8" t="s">
        <v>984</v>
      </c>
      <c r="X45" s="649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8" t="s">
        <v>15</v>
      </c>
      <c r="X46" s="649"/>
      <c r="Y46" s="662"/>
      <c r="Z46" s="662"/>
      <c r="AA46" s="662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8" t="str">
        <f>RAB!G6</f>
        <v>TSEL_TBG_DMK718 BETOKAN</v>
      </c>
      <c r="X48" s="658"/>
      <c r="Y48" s="658"/>
      <c r="Z48" s="658"/>
      <c r="AA48" s="658"/>
      <c r="AB48" s="658"/>
      <c r="AC48" s="658"/>
      <c r="AD48" s="65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8" t="s">
        <v>18</v>
      </c>
      <c r="X52" s="649"/>
      <c r="Y52" s="651" t="s">
        <v>1549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8" t="s">
        <v>19</v>
      </c>
      <c r="X53" s="649"/>
      <c r="Y53" s="651" t="s">
        <v>1549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8" t="s">
        <v>20</v>
      </c>
      <c r="X54" s="649"/>
      <c r="Y54" s="650" t="s">
        <v>1550</v>
      </c>
      <c r="Z54" s="650"/>
      <c r="AA54" s="650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3" t="s">
        <v>21</v>
      </c>
      <c r="X55" s="654"/>
      <c r="Y55" s="650" t="s">
        <v>1551</v>
      </c>
      <c r="Z55" s="650"/>
      <c r="AA55" s="650"/>
      <c r="AB55" s="650"/>
      <c r="AC55" s="650"/>
      <c r="AD55" s="655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Y49" sqref="Y4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8" t="s">
        <v>1528</v>
      </c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10"/>
      <c r="AD4" s="217"/>
      <c r="AE4" s="216"/>
      <c r="AF4" s="216"/>
    </row>
    <row r="5" spans="2:32" ht="13.5" customHeight="1">
      <c r="B5" s="215"/>
      <c r="C5" s="215"/>
      <c r="D5" s="711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2"/>
      <c r="P5" s="712"/>
      <c r="Q5" s="712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3"/>
      <c r="AD5" s="217"/>
      <c r="AE5" s="216"/>
      <c r="AF5" s="216"/>
    </row>
    <row r="6" spans="2:32" ht="12.75" customHeight="1">
      <c r="B6" s="215"/>
      <c r="C6" s="215"/>
      <c r="D6" s="711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3"/>
      <c r="AE6" s="216"/>
      <c r="AF6" s="216"/>
    </row>
    <row r="7" spans="2:32" ht="12.75" customHeight="1" thickBot="1">
      <c r="B7" s="215"/>
      <c r="C7" s="215"/>
      <c r="D7" s="714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V28" sqref="V2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2" t="s">
        <v>1527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7" t="s">
        <v>1635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W6" s="182"/>
      <c r="Y6" s="428"/>
      <c r="Z6" s="428"/>
      <c r="AA6" s="428"/>
      <c r="AB6" s="429"/>
      <c r="AC6" s="429"/>
    </row>
    <row r="7" spans="1:29" ht="18" customHeight="1">
      <c r="A7" s="181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2024-02-28T02:46:56Z</dcterms:modified>
</cp:coreProperties>
</file>