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45CC1C1A-AA59-48E8-9B4C-5702384945A7}" xr6:coauthVersionLast="47" xr6:coauthVersionMax="47" xr10:uidLastSave="{00000000-0000-0000-0000-000000000000}"/>
  <bookViews>
    <workbookView xWindow="28680" yWindow="-120" windowWidth="20730" windowHeight="1104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11" l="1"/>
  <c r="J20" i="11" s="1"/>
  <c r="E20" i="11"/>
  <c r="G20" i="11"/>
  <c r="D21" i="11"/>
  <c r="J21" i="11" s="1"/>
  <c r="E21" i="11"/>
  <c r="G21" i="11"/>
  <c r="H22" i="11"/>
  <c r="H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F33" i="11"/>
  <c r="F31" i="11"/>
  <c r="F30" i="11"/>
  <c r="F29" i="11"/>
  <c r="G34" i="11"/>
  <c r="D34" i="11"/>
  <c r="H34" i="11" s="1"/>
  <c r="E34" i="11"/>
  <c r="J26" i="11" l="1"/>
  <c r="I26" i="11"/>
  <c r="K26" i="11" s="1"/>
  <c r="J22" i="11"/>
  <c r="I20" i="11"/>
  <c r="H20" i="11"/>
  <c r="I27" i="11"/>
  <c r="I24" i="11"/>
  <c r="I22" i="11"/>
  <c r="K22" i="11" s="1"/>
  <c r="H24" i="11"/>
  <c r="I23" i="11"/>
  <c r="I21" i="11"/>
  <c r="J27" i="11"/>
  <c r="H25" i="11"/>
  <c r="J23" i="11"/>
  <c r="H21" i="11"/>
  <c r="K21" i="11" s="1"/>
  <c r="I25" i="11"/>
  <c r="J34" i="11"/>
  <c r="I34" i="11"/>
  <c r="K20" i="11" l="1"/>
  <c r="K23" i="11"/>
  <c r="K24" i="11"/>
  <c r="K27" i="11"/>
  <c r="K25" i="11"/>
  <c r="K34" i="11"/>
  <c r="D19" i="11" l="1"/>
  <c r="H19" i="11" s="1"/>
  <c r="E19" i="11"/>
  <c r="G19" i="11"/>
  <c r="D36" i="11"/>
  <c r="J36" i="11" s="1"/>
  <c r="E36" i="11"/>
  <c r="G36" i="11"/>
  <c r="D37" i="11"/>
  <c r="H37" i="11" s="1"/>
  <c r="E37" i="11"/>
  <c r="G37" i="11"/>
  <c r="J19" i="11" l="1"/>
  <c r="I19" i="11"/>
  <c r="J37" i="11"/>
  <c r="I37" i="11"/>
  <c r="I36" i="11"/>
  <c r="H36" i="11"/>
  <c r="K19" i="11" l="1"/>
  <c r="K37" i="11"/>
  <c r="K36" i="11"/>
  <c r="G28" i="11"/>
  <c r="G29" i="11"/>
  <c r="G30" i="11"/>
  <c r="G31" i="11"/>
  <c r="G32" i="11"/>
  <c r="G33" i="11"/>
  <c r="D28" i="11"/>
  <c r="H28" i="11" s="1"/>
  <c r="E28" i="11"/>
  <c r="J29" i="11"/>
  <c r="E29" i="11"/>
  <c r="D30" i="11"/>
  <c r="I30" i="11" s="1"/>
  <c r="E30" i="11"/>
  <c r="E31" i="11"/>
  <c r="D32" i="11"/>
  <c r="E32" i="11"/>
  <c r="D33" i="11"/>
  <c r="E33" i="11"/>
  <c r="H32" i="11" l="1"/>
  <c r="J33" i="11"/>
  <c r="H31" i="11"/>
  <c r="I29" i="11"/>
  <c r="I33" i="11"/>
  <c r="H30" i="11"/>
  <c r="J28" i="11"/>
  <c r="J32" i="11"/>
  <c r="H33" i="11"/>
  <c r="I32" i="11"/>
  <c r="J31" i="11"/>
  <c r="H29" i="11"/>
  <c r="I28" i="11"/>
  <c r="I31" i="11"/>
  <c r="J30" i="11"/>
  <c r="K31" i="11" l="1"/>
  <c r="K30" i="11"/>
  <c r="K29" i="11"/>
  <c r="K28" i="11"/>
  <c r="K33" i="11"/>
  <c r="K32" i="11"/>
  <c r="D38" i="11" l="1"/>
  <c r="H38" i="11" s="1"/>
  <c r="E38" i="11"/>
  <c r="G38" i="11"/>
  <c r="I38" i="11" l="1"/>
  <c r="J38" i="11"/>
  <c r="C6" i="62"/>
  <c r="D15" i="11"/>
  <c r="J15" i="11" s="1"/>
  <c r="E15" i="11"/>
  <c r="G15" i="11"/>
  <c r="D17" i="11"/>
  <c r="H17" i="11" s="1"/>
  <c r="E17" i="11"/>
  <c r="G17" i="11"/>
  <c r="D18" i="11"/>
  <c r="J18" i="11" s="1"/>
  <c r="E18" i="11"/>
  <c r="G18" i="11"/>
  <c r="K38" i="11" l="1"/>
  <c r="I15" i="11"/>
  <c r="H15" i="11"/>
  <c r="J17" i="11"/>
  <c r="I17" i="11"/>
  <c r="I18" i="11"/>
  <c r="H18" i="11"/>
  <c r="K15" i="11" l="1"/>
  <c r="K17" i="11"/>
  <c r="K18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3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9" i="11"/>
  <c r="D40" i="11"/>
  <c r="H40" i="11" s="1"/>
  <c r="E4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0" i="11"/>
  <c r="I4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40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42" i="11"/>
  <c r="H43" i="11" s="1"/>
  <c r="I42" i="11"/>
  <c r="I43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299" i="29"/>
  <c r="F300" i="29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4" i="11"/>
  <c r="I44" i="11"/>
  <c r="F364" i="29"/>
  <c r="F69" i="39"/>
  <c r="F72" i="39"/>
  <c r="F367" i="29"/>
  <c r="J39" i="11"/>
  <c r="K39" i="11" s="1"/>
  <c r="K42" i="11" s="1"/>
  <c r="K4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2" i="11"/>
  <c r="J43" i="11" s="1"/>
  <c r="K44" i="11"/>
  <c r="B4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2" i="41" l="1"/>
  <c r="F789" i="41"/>
  <c r="F790" i="4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<sst xmlns="http://schemas.openxmlformats.org/spreadsheetml/2006/main" count="4707" uniqueCount="1628">
  <si>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</si>
  <si>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</si>
  <si>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</si>
  <si>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</si>
  <si>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</si>
  <si>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</si>
  <si>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</si>
  <si>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</si>
  <si>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</si>
  <si>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</si>
  <si>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</si>
  <si>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</si>
  <si>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</si>
  <si>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</si>
  <si>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</si>
  <si>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</si>
  <si>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</si>
  <si>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</si>
  <si>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</si>
  <si>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</si>
  <si>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</si>
  <si>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</si>
  <si>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</si>
  <si>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</si>
  <si>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</si>
  <si>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</si>
  <si>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</si>
  <si>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</si>
  <si>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</si>
  <si>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</si>
  <si>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</si>
  <si>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</si>
  <si>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</si>
  <si>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</si>
  <si>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</si>
  <si>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</si>
  <si>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</si>
  <si>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</si>
  <si>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</si>
  <si>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</si>
  <si>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</si>
  <si>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</si>
  <si>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</si>
  <si>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</si>
  <si>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</si>
  <si>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</si>
  <si>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</si>
  <si>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</si>
  <si>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</si>
  <si>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</si>
  <si>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</si>
  <si>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</si>
  <si>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</si>
  <si>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</si>
  <si>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</si>
  <si>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</si>
  <si>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</si>
  <si>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</si>
  <si>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</si>
  <si>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</si>
  <si>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</si>
  <si>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</si>
  <si>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</si>
  <si>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</si>
  <si>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</si>
  <si>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</si>
  <si>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</si>
  <si>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</si>
  <si>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</si>
  <si>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</si>
  <si>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</si>
  <si>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</si>
  <si>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</si>
  <si>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</si>
  <si>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</si>
  <si>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</si>
  <si>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</si>
  <si>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</si>
  <si>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</si>
  <si>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</si>
  <si>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</si>
  <si>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</si>
  <si>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</si>
  <si>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</si>
  <si>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</si>
  <si>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</si>
  <si>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</si>
  <si>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</si>
  <si>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</si>
  <si>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</si>
  <si>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</si>
  <si>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</si>
  <si>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</si>
  <si>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</si>
  <si>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</si>
  <si>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</si>
  <si>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</si>
  <si>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</si>
  <si>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</si>
  <si>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</si>
  <si>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</si>
  <si>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</si>
  <si>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</si>
  <si>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</si>
  <si>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</si>
  <si>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</si>
  <si>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</si>
  <si>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</si>
  <si>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</si>
  <si>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</si>
  <si>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</si>
  <si>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</si>
  <si>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</si>
  <si>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</si>
  <si>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</si>
  <si>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</si>
  <si>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</si>
  <si>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</si>
  <si>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</si>
  <si>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</si>
  <si>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</si>
  <si>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</si>
  <si>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</si>
  <si>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</si>
  <si>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</si>
  <si>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</si>
  <si>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</si>
  <si>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</si>
  <si>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</si>
  <si>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</si>
  <si>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</si>
  <si>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</si>
  <si>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</si>
  <si>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</si>
  <si>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</si>
  <si>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</si>
  <si>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</si>
  <si>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</si>
  <si>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</si>
  <si>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</si>
  <si>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</si>
  <si>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</si>
  <si>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</si>
  <si>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</si>
  <si>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</si>
  <si>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</si>
  <si>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</si>
  <si>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</si>
  <si>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</si>
  <si>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</si>
  <si>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</si>
  <si>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</si>
  <si>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</si>
  <si>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</si>
  <si>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</si>
  <si>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</si>
  <si>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</si>
  <si>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</si>
  <si>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</si>
  <si>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</si>
  <si>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</si>
  <si>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</si>
  <si>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</si>
  <si>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</si>
  <si>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</si>
  <si>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</si>
  <si>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</si>
  <si>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</si>
  <si>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</si>
  <si>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</si>
  <si>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</si>
  <si>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</si>
  <si>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</si>
  <si>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</si>
  <si>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</si>
  <si>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</si>
  <si>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</si>
  <si>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</si>
  <si>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</si>
  <si>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</si>
  <si>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</si>
  <si>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</si>
  <si>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</si>
  <si>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</si>
  <si>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</si>
  <si>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</si>
  <si>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</si>
  <si>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</si>
  <si>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</si>
  <si>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</si>
  <si>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</si>
  <si>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</si>
  <si>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</si>
  <si>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</si>
  <si>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</si>
  <si>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</si>
  <si>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</si>
  <si>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</si>
  <si>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</si>
  <si>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</si>
  <si>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</si>
  <si>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</si>
  <si>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</si>
  <si>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</si>
  <si>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</si>
  <si>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</si>
  <si>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</si>
  <si>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</si>
  <si>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</si>
  <si>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</si>
  <si>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</si>
  <si>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</si>
  <si>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</si>
  <si>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</si>
  <si>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</si>
  <si>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</si>
  <si>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</si>
  <si>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</si>
  <si>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</si>
  <si>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</si>
  <si>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</si>
  <si>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</si>
  <si>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</si>
  <si>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</si>
  <si>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</si>
  <si>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</si>
  <si>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</si>
  <si>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</si>
  <si>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</si>
  <si>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</si>
  <si>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</si>
  <si>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</si>
  <si>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</si>
  <si>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</si>
  <si>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</si>
  <si>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</si>
  <si>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</si>
  <si>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</si>
  <si>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</si>
  <si>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</si>
  <si>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</si>
  <si>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</si>
  <si>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</si>
  <si>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</si>
  <si>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</si>
  <si>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</si>
  <si>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</si>
  <si>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</si>
  <si>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</si>
  <si>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</si>
  <si>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</si>
  <si>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</si>
  <si>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</si>
  <si>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</si>
  <si>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</si>
  <si>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</si>
  <si>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</si>
  <si>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</si>
  <si>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</si>
  <si>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</si>
  <si>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</si>
  <si>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</si>
  <si>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</si>
  <si>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</si>
  <si>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</si>
  <si>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</si>
  <si>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</si>
  <si>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</si>
  <si>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</si>
  <si>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</si>
  <si>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</si>
  <si>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</si>
  <si>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</si>
  <si>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</si>
  <si>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</si>
  <si>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</si>
  <si>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</si>
  <si>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</si>
  <si>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</si>
  <si>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</si>
  <si>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</si>
  <si>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</si>
  <si>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</si>
  <si>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</si>
  <si>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</si>
  <si>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</si>
  <si>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</si>
  <si>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</si>
  <si>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</si>
  <si>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</si>
  <si>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</si>
  <si>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</si>
  <si>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</si>
  <si>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</si>
  <si>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</si>
  <si>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</si>
  <si>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</si>
  <si>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</si>
  <si>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</si>
  <si>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</si>
  <si>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</si>
  <si>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</si>
  <si>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</si>
  <si>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</si>
  <si>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</si>
  <si>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</si>
  <si>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</si>
  <si>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</si>
  <si>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</si>
  <si>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</si>
  <si>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</si>
  <si>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</si>
  <si>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</si>
  <si>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</si>
  <si>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</si>
  <si>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</si>
  <si>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</si>
  <si>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</si>
  <si>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</si>
  <si>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</si>
  <si>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</si>
  <si>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</si>
  <si>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</si>
  <si>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</si>
  <si>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</si>
  <si>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</si>
  <si>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</si>
  <si>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</si>
  <si>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</si>
  <si>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</si>
  <si>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</si>
  <si>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</si>
  <si>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</si>
  <si>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</si>
  <si>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</si>
  <si>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</si>
  <si>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</si>
  <si>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</si>
  <si>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</si>
  <si>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</si>
  <si>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</si>
  <si>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</si>
  <si>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</si>
  <si>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</si>
  <si>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</si>
  <si>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</si>
  <si>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</si>
  <si>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</si>
  <si>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</si>
  <si>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</si>
  <si>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</si>
  <si>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</si>
  <si>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</si>
  <si>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</si>
  <si>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</si>
  <si>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</si>
  <si>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</si>
  <si>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</si>
  <si>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</si>
  <si>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</si>
  <si>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</si>
  <si>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</si>
  <si>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</si>
  <si>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</si>
  <si>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</si>
  <si>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</si>
  <si>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</si>
  <si>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</si>
  <si>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</si>
  <si>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</si>
  <si>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</si>
  <si>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</si>
  <si>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</si>
  <si>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</si>
  <si>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</si>
  <si>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</si>
  <si>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</si>
  <si>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</si>
  <si>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</si>
  <si>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</si>
  <si>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</si>
  <si>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</si>
  <si>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</si>
  <si>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</si>
  <si>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</si>
  <si>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</si>
  <si>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</si>
  <si>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</si>
  <si>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</si>
  <si>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</si>
  <si>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</si>
  <si>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</si>
  <si>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</si>
  <si>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</si>
  <si>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</si>
  <si>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</si>
  <si>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</si>
  <si>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</si>
  <si>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</si>
  <si>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</si>
  <si>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</si>
  <si>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</si>
  <si>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</si>
  <si>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</si>
  <si>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</si>
  <si>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</si>
  <si>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</si>
  <si>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</si>
  <si>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</si>
  <si>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</si>
  <si>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</si>
  <si>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</si>
  <si>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</si>
  <si>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</si>
  <si>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</si>
  <si>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</si>
  <si>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</si>
  <si>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</si>
  <si>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</si>
  <si>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</si>
  <si>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</si>
  <si>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</si>
  <si>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</si>
  <si>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</si>
  <si>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</si>
  <si>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</si>
  <si>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</si>
  <si>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</si>
  <si>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</si>
  <si>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</si>
  <si>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</si>
  <si>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</si>
  <si>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</si>
  <si>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</si>
  <si>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</si>
  <si>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</si>
  <si>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</si>
  <si>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</si>
  <si>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</si>
  <si>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</si>
  <si>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</si>
  <si>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</si>
  <si>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</si>
  <si>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</si>
  <si>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</si>
  <si>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</si>
  <si>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</si>
  <si>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</si>
  <si>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</si>
  <si>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</si>
  <si>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</si>
  <si>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</si>
  <si>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</si>
  <si>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</si>
  <si>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</si>
  <si>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</si>
  <si>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</si>
  <si>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</si>
  <si>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</si>
  <si>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</si>
  <si>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</si>
  <si>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</si>
  <si>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</si>
  <si>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</si>
  <si>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</si>
  <si>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</si>
  <si>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</si>
  <si>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</si>
  <si>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</si>
  <si>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</si>
  <si>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</si>
  <si>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</si>
  <si>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</si>
  <si>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</si>
  <si>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</si>
  <si>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</si>
  <si>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</si>
  <si>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</si>
  <si>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</si>
  <si>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</si>
  <si>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</si>
  <si>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</si>
  <si>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</si>
  <si>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</si>
  <si>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</si>
  <si>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</si>
  <si>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</si>
  <si>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</si>
  <si>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</si>
  <si>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</si>
  <si>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</si>
  <si>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</si>
  <si>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</si>
  <si>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</si>
  <si>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</si>
  <si>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</si>
  <si>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</si>
  <si>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</si>
  <si>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</si>
  <si>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</si>
  <si>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</si>
  <si>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</si>
  <si>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</si>
  <si>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</si>
  <si>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</si>
  <si>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</si>
  <si>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</si>
  <si>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</si>
  <si>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</si>
  <si>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</si>
  <si>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</si>
  <si>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</si>
  <si>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</si>
  <si>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</si>
  <si>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</si>
  <si>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</si>
  <si>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</si>
  <si>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</si>
  <si>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</si>
  <si>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</si>
  <si>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</si>
  <si>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</si>
  <si>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</si>
  <si>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</si>
  <si>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</si>
  <si>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</si>
  <si>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</si>
  <si>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</si>
  <si>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</si>
  <si>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</si>
  <si>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</si>
  <si>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</si>
  <si>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</si>
  <si>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</si>
  <si>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</si>
  <si>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</si>
  <si>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</si>
  <si>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</si>
  <si>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</si>
  <si>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</si>
  <si>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</si>
  <si>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</si>
  <si>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</si>
  <si>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</si>
  <si>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</si>
  <si>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</si>
  <si>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</si>
  <si>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</si>
  <si>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</si>
  <si>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</si>
  <si>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</si>
  <si>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</si>
  <si>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</si>
  <si>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</si>
  <si>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</si>
  <si>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</si>
  <si>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</si>
  <si>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</si>
  <si>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</si>
  <si>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</si>
  <si>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</si>
  <si>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</si>
  <si>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</si>
  <si>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</si>
  <si>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</si>
  <si>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</si>
  <si>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</si>
  <si>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</si>
  <si>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</si>
  <si>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</si>
  <si>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</si>
  <si>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</si>
  <si>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</si>
  <si>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</si>
  <si>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</si>
  <si>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</si>
  <si>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</si>
  <si>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</si>
  <si>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</si>
  <si>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</si>
  <si>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</si>
  <si>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</si>
  <si>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</si>
  <si>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</si>
  <si>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</si>
  <si>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</si>
  <si>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</si>
  <si>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</si>
  <si>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</si>
  <si>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</si>
  <si>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</si>
  <si>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</si>
  <si>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</si>
  <si>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</si>
  <si>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</si>
  <si>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</si>
  <si>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</si>
  <si>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</si>
  <si>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</si>
  <si>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</si>
  <si>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</si>
  <si>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</si>
  <si>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</si>
  <si>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</si>
  <si>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</si>
  <si>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</si>
  <si>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</si>
  <si>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</si>
  <si>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</si>
  <si>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</si>
  <si>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</si>
  <si>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</si>
  <si>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</si>
  <si>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</si>
  <si>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</si>
  <si>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</si>
  <si>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</si>
  <si>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</si>
  <si>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</si>
  <si>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</si>
  <si>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</si>
  <si>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</si>
  <si>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</si>
  <si>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</si>
  <si>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</si>
  <si>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</si>
  <si>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</si>
  <si>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</si>
  <si>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</si>
  <si>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</si>
  <si>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</si>
  <si>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</si>
  <si>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</si>
  <si>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</si>
  <si>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</si>
  <si>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</si>
  <si>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</si>
  <si>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</si>
  <si>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</si>
  <si>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</si>
  <si>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</si>
  <si>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</si>
  <si>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</si>
  <si>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</si>
  <si>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</si>
  <si>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</si>
  <si>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</si>
  <si>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</si>
  <si>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</si>
  <si>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</si>
  <si>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</si>
  <si>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</si>
  <si>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</si>
  <si>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</si>
  <si>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</si>
  <si>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</si>
  <si>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</si>
  <si>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</si>
  <si>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</si>
  <si>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</si>
  <si>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</si>
  <si>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</si>
  <si>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</si>
  <si>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</si>
  <si>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</si>
  <si>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</si>
  <si>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</si>
  <si>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</si>
  <si>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</si>
  <si>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</si>
  <si>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</si>
  <si>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</si>
  <si>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</si>
  <si>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</si>
  <si>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</si>
  <si>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</si>
  <si>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</si>
  <si>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</si>
  <si>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</si>
  <si>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</si>
  <si>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</si>
  <si>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</si>
  <si>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</si>
  <si>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</si>
  <si>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</si>
  <si>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</si>
  <si>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</si>
  <si>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</si>
  <si>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</si>
  <si>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</si>
  <si>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</si>
  <si>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</si>
  <si>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</si>
  <si>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</si>
  <si>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</si>
  <si>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</si>
  <si>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</si>
  <si>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</si>
  <si>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</si>
  <si>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</si>
  <si>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</si>
  <si>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</si>
  <si>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</si>
  <si>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</si>
  <si>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</si>
  <si>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</si>
  <si>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</si>
  <si>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</si>
  <si>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</si>
  <si>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</si>
  <si>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</si>
  <si>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</si>
  <si>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</si>
  <si>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</si>
  <si>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</si>
  <si>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</si>
  <si>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</si>
  <si>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</si>
  <si>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</si>
  <si>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</si>
  <si>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</si>
  <si>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</si>
  <si>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</si>
  <si>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</si>
  <si>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</si>
  <si>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</si>
  <si>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</si>
  <si>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</si>
  <si>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</si>
  <si>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</si>
  <si>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</si>
  <si>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</si>
  <si>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</si>
  <si>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</si>
  <si>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</si>
  <si>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</si>
  <si>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</si>
  <si>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</si>
  <si>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</si>
  <si>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</si>
  <si>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</si>
  <si>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</si>
  <si>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</si>
  <si>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</si>
  <si>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</si>
  <si>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</si>
  <si>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</si>
  <si>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</si>
  <si>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</si>
  <si>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</si>
  <si>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</si>
  <si>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</si>
  <si>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</si>
  <si>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</si>
  <si>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</si>
  <si>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</si>
  <si>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</si>
  <si>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</si>
  <si>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</si>
  <si>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</si>
  <si>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</si>
  <si>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</si>
  <si>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</si>
  <si>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</si>
  <si>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</si>
  <si>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</si>
  <si>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</si>
  <si>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</si>
  <si>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</si>
  <si>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</si>
  <si>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</si>
  <si>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</si>
  <si>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</si>
  <si>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</si>
  <si>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</si>
  <si>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</si>
  <si>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</si>
  <si>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</si>
  <si>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</si>
  <si>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</si>
  <si>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</si>
  <si>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</si>
  <si>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</si>
  <si>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</si>
  <si>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</si>
  <si>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</si>
  <si>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</si>
  <si>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</si>
  <si>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</si>
  <si>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</si>
  <si>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</si>
  <si>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</si>
  <si>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</si>
  <si>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</si>
  <si>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</si>
  <si>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</si>
  <si>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</si>
  <si>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</si>
  <si>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</si>
  <si>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</si>
  <si>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</si>
  <si>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</si>
  <si>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</si>
  <si>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</si>
  <si>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</si>
  <si>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</si>
  <si>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</si>
  <si>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</si>
  <si>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</si>
  <si>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</si>
  <si>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</si>
  <si>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</si>
  <si>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</si>
  <si>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</si>
  <si>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</si>
  <si>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</si>
  <si>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</si>
  <si>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</si>
  <si>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</si>
  <si>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</si>
  <si>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</si>
  <si>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</si>
  <si>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</si>
  <si>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</si>
  <si>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</si>
  <si>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</si>
  <si>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</si>
  <si>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</si>
  <si>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</si>
  <si>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</si>
  <si>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</si>
  <si>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</si>
  <si>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</si>
  <si>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</si>
  <si>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</si>
  <si>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</si>
  <si>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</si>
  <si>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</si>
  <si>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</si>
  <si>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</si>
  <si>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</si>
  <si>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</si>
  <si>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</si>
  <si>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</si>
  <si>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</si>
  <si>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</si>
  <si>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</si>
  <si>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</si>
  <si>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</si>
  <si>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</si>
  <si>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</si>
  <si>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</si>
  <si>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</si>
  <si>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</si>
  <si>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</si>
  <si>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</si>
  <si>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</si>
  <si>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</si>
  <si>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</si>
  <si>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</si>
  <si>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</si>
  <si>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</si>
  <si>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</si>
  <si>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</si>
  <si>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</si>
  <si>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</si>
  <si>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</si>
  <si>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</si>
  <si>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</si>
  <si>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</si>
  <si>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</si>
  <si>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</si>
  <si>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</si>
  <si>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</si>
  <si>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</si>
  <si>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</si>
  <si>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</si>
  <si>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</si>
  <si>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</si>
  <si>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</si>
  <si>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</si>
  <si>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</si>
  <si>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</si>
  <si>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</si>
  <si>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</si>
  <si>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</si>
  <si>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</si>
  <si>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</si>
  <si>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</si>
  <si>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</si>
  <si>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</si>
  <si>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</si>
  <si>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</si>
  <si>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</si>
  <si>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</si>
  <si>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</si>
  <si>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</si>
  <si>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</si>
  <si>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</si>
  <si>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</si>
  <si>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</si>
  <si>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</si>
  <si>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</si>
  <si>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</si>
  <si>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</si>
  <si>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</si>
  <si>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</si>
  <si>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</si>
  <si>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</si>
  <si>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</si>
  <si>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</si>
  <si>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</si>
  <si>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</si>
  <si>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</si>
  <si>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</si>
  <si>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</si>
  <si>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</si>
  <si>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</si>
  <si>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</si>
  <si>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</si>
  <si>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</si>
  <si>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</si>
  <si>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</si>
  <si>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</si>
  <si>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</si>
  <si>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</si>
  <si>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</si>
  <si>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</si>
  <si>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</si>
  <si>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</si>
  <si>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</si>
  <si>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</si>
  <si>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</si>
  <si>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</si>
  <si>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</si>
  <si>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</si>
  <si>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</si>
  <si>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</si>
  <si>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</si>
  <si>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</si>
  <si>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</si>
  <si>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</si>
  <si>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</si>
  <si>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</si>
  <si>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</si>
  <si>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</si>
  <si>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</si>
  <si>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</si>
  <si>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</si>
  <si>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</si>
  <si>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</si>
  <si>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</si>
  <si>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</si>
  <si>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</si>
  <si>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</si>
  <si>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</si>
  <si>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</si>
  <si>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</si>
  <si>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</si>
  <si>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</si>
  <si>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</si>
  <si>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</si>
  <si>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</si>
  <si>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</si>
  <si>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</si>
  <si>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</si>
  <si>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</si>
  <si>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</si>
  <si>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</si>
  <si>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</si>
  <si>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</si>
  <si>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</si>
  <si>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</si>
  <si>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</si>
  <si>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</si>
  <si>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</si>
  <si>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</si>
  <si>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</si>
  <si>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</si>
  <si>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</si>
  <si>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</si>
  <si>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</si>
  <si>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</si>
  <si>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</si>
  <si>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</si>
  <si>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</si>
  <si>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</si>
  <si>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</si>
  <si>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</si>
  <si>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</si>
  <si>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</si>
  <si>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</si>
  <si>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</si>
  <si>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</si>
  <si>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</si>
  <si>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</si>
  <si>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</si>
  <si>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</si>
  <si>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</si>
  <si>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</si>
  <si>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</si>
  <si>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</si>
  <si>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</si>
  <si>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</si>
  <si>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</si>
  <si>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</si>
  <si>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</si>
  <si>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</si>
  <si>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</si>
  <si>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</si>
  <si>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</si>
  <si>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</si>
  <si>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</si>
  <si>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</si>
  <si>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</si>
  <si>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</si>
  <si>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</si>
  <si>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</si>
  <si>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</si>
  <si>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</si>
  <si>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</si>
  <si>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</si>
  <si>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</si>
  <si>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</si>
  <si>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</si>
  <si>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</si>
  <si>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</si>
  <si>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</si>
  <si>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</si>
  <si>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</si>
  <si>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</si>
  <si>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</si>
  <si>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</si>
  <si>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</si>
  <si>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</si>
  <si>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</si>
  <si>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</si>
  <si>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</si>
  <si>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</si>
  <si>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</si>
  <si>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</si>
  <si>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</si>
  <si>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</si>
  <si>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</si>
  <si>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</si>
  <si>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</si>
  <si>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</si>
  <si>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</si>
  <si>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</si>
  <si>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</si>
  <si>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</si>
  <si>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</si>
  <si>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</si>
  <si>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</si>
  <si>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</si>
  <si>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</si>
  <si>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</si>
  <si>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</si>
  <si>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</si>
  <si>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</si>
  <si>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</si>
  <si>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</si>
  <si>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</si>
  <si>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</si>
  <si>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</si>
  <si>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</si>
  <si>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</si>
  <si>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</si>
  <si>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</si>
  <si>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</si>
  <si>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</si>
  <si>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</si>
  <si>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</si>
  <si>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</si>
  <si>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</si>
  <si>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</si>
  <si>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</si>
  <si>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</si>
  <si>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</si>
  <si>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</si>
  <si>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</si>
  <si>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</si>
  <si>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</si>
  <si>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</si>
  <si>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</si>
  <si>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</si>
  <si>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</si>
  <si>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</si>
  <si>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</si>
  <si>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</si>
  <si>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</si>
  <si>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</si>
  <si>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</si>
  <si>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</si>
  <si>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</si>
  <si>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</si>
  <si>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</si>
  <si>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</si>
  <si>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</si>
  <si>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</si>
  <si>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</si>
  <si>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</si>
  <si>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</si>
  <si>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</si>
  <si>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</si>
  <si>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</si>
  <si>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</si>
  <si>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</si>
  <si>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</si>
  <si>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</si>
  <si>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</si>
  <si>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</si>
  <si>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</si>
  <si>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</si>
  <si>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</si>
  <si>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</si>
  <si>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</si>
  <si>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</si>
  <si>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</si>
  <si>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</si>
  <si>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</si>
  <si>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</si>
  <si>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</si>
  <si>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</si>
  <si>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</si>
  <si>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</si>
  <si>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</si>
  <si>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</si>
  <si>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</si>
  <si>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</si>
  <si>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</si>
  <si>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</si>
  <si>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</si>
  <si>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</si>
  <si>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</si>
  <si>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</si>
  <si>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</si>
  <si>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</si>
  <si>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</si>
  <si>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</si>
  <si>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</si>
  <si>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</si>
  <si>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</si>
  <si>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</si>
  <si>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</si>
  <si>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</si>
  <si>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</si>
  <si>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</si>
  <si>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</si>
  <si>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</si>
  <si>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</si>
  <si>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</si>
  <si>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</si>
  <si>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</si>
  <si>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</si>
  <si>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</si>
  <si>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</si>
  <si>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</si>
  <si>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</si>
  <si>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</si>
  <si>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</si>
  <si>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</si>
  <si>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</si>
  <si>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</si>
  <si>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</si>
  <si>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</si>
  <si>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</si>
  <si>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</si>
  <si>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</si>
  <si>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</si>
  <si>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</si>
  <si>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</si>
  <si>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</si>
  <si>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</si>
  <si>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</si>
  <si>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</si>
  <si>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</si>
  <si>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</si>
  <si>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</si>
  <si>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</si>
  <si>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</si>
  <si>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</si>
  <si>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</si>
  <si>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</si>
  <si>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</si>
  <si>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</si>
  <si>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</si>
  <si>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</si>
  <si>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</si>
  <si>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</si>
  <si>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</si>
  <si>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</si>
  <si>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</si>
  <si>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</si>
  <si>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</si>
  <si>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</si>
  <si>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</si>
  <si>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</si>
  <si>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</si>
  <si>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</si>
  <si>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</si>
  <si>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</si>
  <si>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</si>
  <si>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</si>
  <si>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</si>
  <si>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</si>
  <si>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</si>
  <si>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</si>
  <si>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</si>
  <si>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</si>
  <si>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</si>
  <si>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</si>
  <si>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</si>
  <si>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</si>
  <si>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</si>
  <si>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</si>
  <si>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</si>
  <si>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</si>
  <si>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</si>
  <si>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</si>
  <si>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</si>
  <si>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</si>
  <si>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</si>
  <si>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</si>
  <si>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</si>
  <si>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</si>
  <si>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</si>
  <si>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</si>
  <si>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</si>
  <si>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</si>
  <si>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</si>
  <si>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</si>
  <si>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</si>
  <si>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</si>
  <si>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</si>
  <si>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</si>
  <si>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</si>
  <si>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</si>
  <si>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</si>
  <si>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</si>
  <si>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</si>
  <si>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</si>
  <si>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</si>
  <si>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</si>
  <si>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</si>
  <si>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</si>
  <si>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</si>
  <si>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</si>
  <si>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</si>
  <si>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</si>
  <si>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</si>
  <si>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</si>
  <si>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</si>
  <si>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</si>
  <si>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</si>
  <si>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</si>
  <si>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</si>
  <si>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</si>
  <si>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</si>
  <si>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</si>
  <si>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</si>
  <si>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</si>
  <si>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</si>
  <si>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</si>
  <si>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</si>
  <si>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</si>
  <si>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</si>
  <si>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</si>
  <si>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</si>
  <si>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</si>
  <si>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</si>
  <si>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</si>
  <si>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</si>
  <si>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</si>
  <si>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</si>
  <si>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</si>
  <si>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</si>
  <si>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</si>
  <si>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</si>
  <si>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</si>
  <si>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</si>
  <si>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</si>
  <si>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</si>
  <si>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</si>
  <si>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</si>
  <si>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</si>
  <si>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</si>
  <si>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</si>
  <si>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</si>
  <si>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</si>
  <si>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</si>
  <si>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</si>
  <si>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</si>
  <si>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</si>
  <si>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</si>
  <si>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</si>
  <si>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</si>
  <si>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</si>
  <si>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</si>
  <si>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</si>
  <si>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</si>
  <si>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</si>
  <si>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</si>
  <si>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</si>
  <si>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</si>
  <si>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</si>
  <si>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</si>
  <si>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</si>
  <si>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</si>
  <si>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</si>
  <si>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</si>
  <si>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</si>
  <si>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</si>
  <si>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</si>
  <si>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</si>
  <si>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</si>
  <si>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</si>
  <si>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</si>
  <si>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</si>
  <si>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</si>
  <si>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</si>
  <si>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</si>
  <si>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</si>
  <si>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</si>
  <si>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</si>
  <si>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</si>
  <si>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</si>
  <si>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</si>
  <si>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</si>
  <si>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</si>
  <si>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</si>
  <si>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</si>
  <si>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</si>
  <si>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</si>
  <si>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</si>
  <si>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</si>
  <si>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</si>
  <si>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</si>
  <si>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</si>
  <si>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</si>
  <si>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</si>
  <si>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</si>
  <si>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</si>
  <si>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</si>
  <si>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</si>
  <si>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</si>
  <si>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</si>
  <si>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</si>
  <si>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</si>
  <si>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</si>
  <si>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</si>
  <si>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</si>
  <si>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</si>
  <si>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</si>
  <si>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</si>
  <si>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</si>
  <si>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</si>
  <si>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</si>
  <si>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</si>
  <si>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</si>
  <si>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</si>
  <si>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</si>
  <si>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</si>
  <si>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</si>
  <si>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</si>
  <si>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</si>
  <si>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</si>
  <si>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</si>
  <si>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</si>
  <si>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</si>
  <si>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</si>
  <si>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</si>
  <si>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</si>
  <si>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</si>
  <si>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</si>
  <si>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</si>
  <si>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</si>
  <si>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</si>
  <si>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</si>
  <si>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</si>
  <si>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</si>
  <si>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</si>
  <si>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</si>
  <si>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</si>
  <si>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</si>
  <si>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</si>
  <si>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</si>
  <si>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</si>
  <si>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</si>
  <si>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</si>
  <si>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</si>
  <si>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</si>
  <si>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</si>
  <si>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</si>
  <si>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</si>
  <si>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</si>
  <si>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</si>
  <si>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</si>
  <si>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</si>
  <si>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</si>
  <si>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</si>
  <si>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</si>
  <si>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</si>
  <si>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</si>
  <si>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</si>
  <si>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</si>
  <si>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</si>
  <si>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</si>
  <si>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</si>
  <si>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</si>
  <si>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</si>
  <si>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</si>
  <si>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</si>
  <si>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</si>
  <si>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</si>
  <si>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</si>
  <si>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</si>
  <si>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</si>
  <si>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</si>
  <si>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</si>
  <si>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</si>
  <si>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</si>
  <si>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</si>
  <si>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</si>
  <si>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</si>
  <si>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</si>
  <si>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</si>
  <si>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</si>
  <si>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</si>
  <si>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</si>
  <si>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</si>
  <si>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</si>
  <si>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</si>
  <si>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</si>
  <si>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</si>
  <si>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</si>
  <si>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</si>
  <si>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</si>
  <si>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</si>
  <si>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</si>
  <si>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</si>
  <si>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</si>
  <si>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</si>
  <si>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</si>
  <si>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</si>
  <si>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</si>
  <si>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</si>
  <si>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</si>
  <si>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</si>
  <si>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</si>
  <si>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</si>
  <si>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</si>
  <si>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</si>
  <si>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</si>
  <si>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</si>
  <si>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</si>
  <si>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</si>
  <si>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</si>
  <si>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</si>
  <si>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</si>
  <si>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</si>
  <si>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</si>
  <si>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</si>
  <si>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</si>
  <si>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</si>
  <si>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</si>
  <si>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</si>
  <si>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</si>
  <si>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</si>
  <si>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</si>
  <si>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</si>
  <si>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</si>
  <si>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</si>
  <si>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</si>
  <si>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</si>
  <si>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</si>
  <si>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</si>
  <si>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</si>
  <si>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</si>
  <si>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</si>
  <si>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</si>
  <si>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</si>
  <si>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</si>
  <si>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</si>
  <si>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</si>
  <si>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</si>
  <si>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</si>
  <si>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</si>
  <si>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</si>
  <si>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</si>
  <si>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</si>
  <si>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</si>
  <si>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</si>
  <si>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</si>
  <si>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</si>
  <si>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</si>
  <si>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</si>
  <si>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</si>
  <si>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</si>
  <si>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</si>
  <si>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</si>
  <si>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</si>
  <si>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</si>
  <si>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</si>
  <si>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</si>
  <si>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</si>
  <si>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</si>
  <si>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</si>
  <si>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</si>
  <si>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</si>
  <si>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</si>
  <si>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</si>
  <si>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</si>
  <si>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</si>
  <si>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</si>
  <si>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</si>
  <si>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</si>
  <si>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</si>
  <si>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</si>
  <si>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</si>
  <si>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</si>
  <si>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</si>
  <si>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</si>
  <si>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</si>
  <si>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</si>
  <si>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</si>
  <si>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</si>
  <si>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</si>
  <si>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</si>
  <si>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</si>
  <si>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</si>
  <si>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</si>
  <si>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</si>
  <si>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</si>
  <si>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</si>
  <si>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</si>
  <si>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</si>
  <si>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</si>
  <si>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</si>
  <si>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</si>
  <si>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</si>
  <si>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</si>
  <si>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</si>
  <si>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</si>
  <si>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</si>
  <si>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</si>
  <si>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</si>
  <si>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</si>
  <si>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</si>
  <si>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</si>
  <si>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</si>
  <si>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</si>
  <si>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</si>
  <si>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</si>
  <si>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</si>
  <si>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</si>
  <si>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</si>
  <si>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</si>
  <si>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</si>
  <si>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</si>
  <si>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</si>
  <si>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</si>
  <si>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</si>
  <si>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</si>
  <si>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</si>
  <si>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</si>
  <si>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</si>
  <si>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</si>
  <si>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</si>
  <si>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</si>
  <si>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</si>
  <si>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</si>
  <si>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</si>
  <si>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</si>
  <si>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</si>
  <si>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</si>
  <si>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</si>
  <si>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</si>
  <si>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</si>
  <si>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</si>
  <si>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</si>
  <si>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</si>
  <si>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</si>
  <si>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</si>
  <si>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</si>
  <si>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</si>
  <si>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</si>
  <si>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</si>
  <si>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</si>
  <si>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</si>
  <si>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</si>
  <si>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</si>
  <si>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</si>
  <si>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</si>
  <si>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</si>
  <si>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</si>
  <si>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</si>
  <si>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</si>
  <si>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</si>
  <si>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</si>
  <si>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</si>
  <si>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</si>
  <si>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</si>
  <si>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</si>
  <si>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</si>
  <si>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</si>
  <si>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</si>
  <si>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</si>
  <si>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</si>
  <si>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</si>
  <si>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</si>
  <si>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</si>
  <si>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</si>
  <si>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</si>
  <si>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</si>
  <si>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</si>
  <si>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</si>
  <si>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</si>
  <si>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</si>
  <si>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PLN</t>
  </si>
  <si>
    <t>R3</t>
  </si>
  <si>
    <t>UPGRADING TRAFO</t>
  </si>
  <si>
    <t>Daya 164.000 VA</t>
  </si>
  <si>
    <t>KOORDINAT : -6.966696, 110.521996</t>
  </si>
  <si>
    <t xml:space="preserve">DS KALISARI KEC SAYUNG </t>
  </si>
  <si>
    <t>Upah Bongkar Trafo 3ph (50/100/160/200 kVA) - hanya pasang trafo tanpa set konstruksi</t>
  </si>
  <si>
    <t>Upah Pasang Trafo 3ph (50/100/160/200 kVA) - hanya pasang trafo tanpa set konstruksi</t>
  </si>
  <si>
    <t>UD BINTANG 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</si>
</sst>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8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7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4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5" fontId="34" fillId="0" borderId="3"/>
    <xf numFmtId="185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2" fontId="34" fillId="0" borderId="0" applyFont="0" applyFill="0" applyBorder="0" applyAlignment="0" applyProtection="0"/>
    <xf numFmtId="172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6" fontId="68" fillId="0" borderId="0" applyFont="0" applyFill="0" applyBorder="0" applyAlignment="0" applyProtection="0"/>
    <xf numFmtId="187" fontId="70" fillId="0" borderId="0">
      <protection locked="0"/>
    </xf>
    <xf numFmtId="14" fontId="62" fillId="0" borderId="0" applyFill="0" applyBorder="0" applyAlignment="0"/>
    <xf numFmtId="188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9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0" fontId="75" fillId="0" borderId="0">
      <protection locked="0"/>
    </xf>
    <xf numFmtId="190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1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2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34" fillId="0" borderId="0"/>
    <xf numFmtId="192" fontId="20" fillId="0" borderId="0"/>
    <xf numFmtId="192" fontId="20" fillId="0" borderId="0"/>
    <xf numFmtId="192" fontId="34" fillId="0" borderId="0"/>
    <xf numFmtId="171" fontId="81" fillId="0" borderId="0"/>
    <xf numFmtId="171" fontId="82" fillId="0" borderId="0"/>
    <xf numFmtId="171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3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1" fontId="82" fillId="0" borderId="0"/>
    <xf numFmtId="0" fontId="82" fillId="0" borderId="0"/>
    <xf numFmtId="194" fontId="82" fillId="0" borderId="0"/>
    <xf numFmtId="195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4" fontId="82" fillId="0" borderId="0"/>
    <xf numFmtId="0" fontId="82" fillId="0" borderId="0"/>
    <xf numFmtId="0" fontId="34" fillId="0" borderId="0"/>
    <xf numFmtId="0" fontId="20" fillId="0" borderId="0"/>
    <xf numFmtId="181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6" fontId="82" fillId="0" borderId="0"/>
    <xf numFmtId="196" fontId="82" fillId="0" borderId="0"/>
    <xf numFmtId="196" fontId="82" fillId="0" borderId="0"/>
    <xf numFmtId="196" fontId="82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3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3" fontId="41" fillId="0" borderId="0"/>
    <xf numFmtId="193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1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4" fillId="27" borderId="12" applyNumberFormat="0" applyFont="0" applyAlignment="0" applyProtection="0"/>
    <xf numFmtId="193" fontId="41" fillId="28" borderId="12" applyAlignment="0" applyProtection="0"/>
    <xf numFmtId="193" fontId="41" fillId="28" borderId="12" applyAlignment="0" applyProtection="0"/>
    <xf numFmtId="0" fontId="20" fillId="27" borderId="12" applyNumberFormat="0" applyFont="0" applyAlignment="0" applyProtection="0"/>
    <xf numFmtId="193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99" fontId="34" fillId="0" borderId="0" applyFont="0" applyFill="0" applyBorder="0" applyAlignment="0" applyProtection="0"/>
    <xf numFmtId="199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6" fontId="34" fillId="0" borderId="0" applyFill="0" applyBorder="0" applyAlignment="0"/>
    <xf numFmtId="176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0" fontId="72" fillId="0" borderId="0"/>
    <xf numFmtId="200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5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5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4" fillId="0" borderId="0"/>
    <xf numFmtId="165" fontId="20" fillId="0" borderId="0" applyFont="0" applyFill="0" applyBorder="0" applyAlignment="0" applyProtection="0"/>
    <xf numFmtId="0" fontId="4" fillId="0" borderId="0"/>
    <xf numFmtId="166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1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1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67" fillId="0" borderId="0" applyFont="0" applyFill="0" applyBorder="0" applyAlignment="0" applyProtection="0"/>
    <xf numFmtId="166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166" fontId="20" fillId="0" borderId="0" applyFont="0" applyFill="0" applyBorder="0" applyAlignment="0" applyProtection="0"/>
  </cellStyleXfs>
  <cellXfs count="705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8" fontId="43" fillId="0" borderId="0" xfId="714" applyFont="1" applyFill="1" applyAlignment="1">
      <alignment horizontal="center" wrapText="1"/>
    </xf>
    <xf numFmtId="168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8" fontId="43" fillId="0" borderId="21" xfId="715" applyNumberFormat="1" applyFont="1" applyFill="1" applyBorder="1" applyAlignment="1">
      <alignment horizontal="center" vertical="center" wrapText="1"/>
    </xf>
    <xf numFmtId="168" fontId="43" fillId="0" borderId="21" xfId="714" applyFont="1" applyFill="1" applyBorder="1" applyAlignment="1">
      <alignment horizontal="center" vertical="center" wrapText="1"/>
    </xf>
    <xf numFmtId="168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6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8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8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8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8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8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8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8" fontId="111" fillId="29" borderId="3" xfId="1538" applyNumberFormat="1" applyFill="1" applyBorder="1" applyAlignment="1">
      <alignment horizontal="right"/>
    </xf>
    <xf numFmtId="166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6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8" fontId="140" fillId="40" borderId="87" xfId="2672" applyNumberFormat="1" applyFont="1" applyFill="1" applyBorder="1" applyAlignment="1" applyProtection="1">
      <alignment horizontal="right" vertical="center"/>
      <protection locked="0"/>
    </xf>
    <xf numFmtId="168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5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6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8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127" fillId="0" borderId="21" xfId="1652" applyFont="1" applyBorder="1" applyAlignment="1">
      <alignment vertical="center" wrapText="1"/>
    </xf>
    <xf numFmtId="0" fontId="114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20" fillId="0" borderId="21" xfId="1451" applyBorder="1" applyAlignment="1">
      <alignment horizontal="left" wrapText="1"/>
    </xf>
    <xf numFmtId="0" fontId="20" fillId="0" borderId="21" xfId="1451" applyBorder="1" applyAlignment="1">
      <alignment horizontal="center" wrapText="1"/>
    </xf>
    <xf numFmtId="0" fontId="20" fillId="0" borderId="21" xfId="1451" applyBorder="1" applyAlignment="1">
      <alignment horizontal="center" vertical="center" wrapText="1"/>
    </xf>
    <xf numFmtId="3" fontId="113" fillId="0" borderId="21" xfId="1451" applyNumberFormat="1" applyFont="1" applyBorder="1" applyAlignment="1">
      <alignment horizontal="center" vertical="center" wrapText="1"/>
    </xf>
    <xf numFmtId="0" fontId="20" fillId="0" borderId="21" xfId="145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8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6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6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6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7" fontId="174" fillId="0" borderId="73" xfId="1450" applyNumberFormat="1" applyFont="1" applyBorder="1" applyAlignment="1">
      <alignment horizontal="left" vertical="center"/>
    </xf>
    <xf numFmtId="207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0.98726896031425981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4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54</xdr:row>
      <xdr:rowOff>81642</xdr:rowOff>
    </xdr:from>
    <xdr:to>
      <xdr:col>12</xdr:col>
      <xdr:colOff>41108</xdr:colOff>
      <xdr:row>57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41412</xdr:colOff>
      <xdr:row>21</xdr:row>
      <xdr:rowOff>149085</xdr:rowOff>
    </xdr:from>
    <xdr:to>
      <xdr:col>12</xdr:col>
      <xdr:colOff>49695</xdr:colOff>
      <xdr:row>32</xdr:row>
      <xdr:rowOff>49694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65613FC-FCC2-4D32-A6EF-870F2BD1233B}"/>
            </a:ext>
          </a:extLst>
        </xdr:cNvPr>
        <xdr:cNvCxnSpPr/>
      </xdr:nvCxnSpPr>
      <xdr:spPr>
        <a:xfrm flipV="1">
          <a:off x="4166151" y="3329607"/>
          <a:ext cx="8283" cy="15322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321675</xdr:colOff>
      <xdr:row>20</xdr:row>
      <xdr:rowOff>7442</xdr:rowOff>
    </xdr:from>
    <xdr:to>
      <xdr:col>13</xdr:col>
      <xdr:colOff>179448</xdr:colOff>
      <xdr:row>35</xdr:row>
      <xdr:rowOff>8198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3451412" y="4033879"/>
          <a:ext cx="2228778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4880" y="816019"/>
          <a:ext cx="1483667" cy="1855615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353568</xdr:colOff>
      <xdr:row>26</xdr:row>
      <xdr:rowOff>94320</xdr:rowOff>
    </xdr:from>
    <xdr:to>
      <xdr:col>12</xdr:col>
      <xdr:colOff>88737</xdr:colOff>
      <xdr:row>27</xdr:row>
      <xdr:rowOff>53064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4096333" y="4173261"/>
          <a:ext cx="116169" cy="11562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224459</xdr:colOff>
      <xdr:row>26</xdr:row>
      <xdr:rowOff>100023</xdr:rowOff>
    </xdr:from>
    <xdr:to>
      <xdr:col>7</xdr:col>
      <xdr:colOff>340628</xdr:colOff>
      <xdr:row>27</xdr:row>
      <xdr:rowOff>56208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2443224" y="4178964"/>
          <a:ext cx="116169" cy="11306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366984</xdr:colOff>
      <xdr:row>26</xdr:row>
      <xdr:rowOff>148235</xdr:rowOff>
    </xdr:from>
    <xdr:to>
      <xdr:col>11</xdr:col>
      <xdr:colOff>353568</xdr:colOff>
      <xdr:row>27</xdr:row>
      <xdr:rowOff>14409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9" idx="2"/>
          <a:endCxn id="215" idx="2"/>
        </xdr:cNvCxnSpPr>
      </xdr:nvCxnSpPr>
      <xdr:spPr>
        <a:xfrm flipV="1">
          <a:off x="2586723" y="4074192"/>
          <a:ext cx="1510584" cy="152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366984</xdr:colOff>
      <xdr:row>26</xdr:row>
      <xdr:rowOff>110859</xdr:rowOff>
    </xdr:from>
    <xdr:to>
      <xdr:col>8</xdr:col>
      <xdr:colOff>102153</xdr:colOff>
      <xdr:row>27</xdr:row>
      <xdr:rowOff>67044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2585749" y="4189800"/>
          <a:ext cx="116169" cy="11306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358164</xdr:colOff>
      <xdr:row>17</xdr:row>
      <xdr:rowOff>132522</xdr:rowOff>
    </xdr:from>
    <xdr:to>
      <xdr:col>8</xdr:col>
      <xdr:colOff>132523</xdr:colOff>
      <xdr:row>25</xdr:row>
      <xdr:rowOff>24847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1053903" y="2716696"/>
          <a:ext cx="1679359" cy="108502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1" u="none">
              <a:solidFill>
                <a:srgbClr val="FF0000"/>
              </a:solidFill>
            </a:rPr>
            <a:t>UD BINTANG JAYA</a:t>
          </a:r>
        </a:p>
      </xdr:txBody>
    </xdr:sp>
    <xdr:clientData/>
  </xdr:twoCellAnchor>
  <xdr:twoCellAnchor>
    <xdr:from>
      <xdr:col>7</xdr:col>
      <xdr:colOff>272689</xdr:colOff>
      <xdr:row>25</xdr:row>
      <xdr:rowOff>58616</xdr:rowOff>
    </xdr:from>
    <xdr:to>
      <xdr:col>8</xdr:col>
      <xdr:colOff>30900</xdr:colOff>
      <xdr:row>26</xdr:row>
      <xdr:rowOff>65942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283EDDE0-4802-41D7-87AD-401237BAA0FD}"/>
            </a:ext>
          </a:extLst>
        </xdr:cNvPr>
        <xdr:cNvSpPr/>
      </xdr:nvSpPr>
      <xdr:spPr>
        <a:xfrm>
          <a:off x="2492428" y="3835486"/>
          <a:ext cx="139211" cy="15641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256761</xdr:colOff>
      <xdr:row>27</xdr:row>
      <xdr:rowOff>66262</xdr:rowOff>
    </xdr:from>
    <xdr:to>
      <xdr:col>8</xdr:col>
      <xdr:colOff>57978</xdr:colOff>
      <xdr:row>28</xdr:row>
      <xdr:rowOff>16565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25BBBD5-22E2-4BBB-A081-D3C1A1E0F2DE}"/>
            </a:ext>
          </a:extLst>
        </xdr:cNvPr>
        <xdr:cNvSpPr txBox="1"/>
      </xdr:nvSpPr>
      <xdr:spPr>
        <a:xfrm>
          <a:off x="2476500" y="4141305"/>
          <a:ext cx="182217" cy="99390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356153</xdr:colOff>
      <xdr:row>23</xdr:row>
      <xdr:rowOff>91109</xdr:rowOff>
    </xdr:from>
    <xdr:to>
      <xdr:col>8</xdr:col>
      <xdr:colOff>107674</xdr:colOff>
      <xdr:row>24</xdr:row>
      <xdr:rowOff>132521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905EC0-FA18-4D07-846A-290597A86AE5}"/>
            </a:ext>
          </a:extLst>
        </xdr:cNvPr>
        <xdr:cNvSpPr txBox="1"/>
      </xdr:nvSpPr>
      <xdr:spPr>
        <a:xfrm>
          <a:off x="2575892" y="3569805"/>
          <a:ext cx="132521" cy="190499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273327</xdr:colOff>
      <xdr:row>23</xdr:row>
      <xdr:rowOff>74543</xdr:rowOff>
    </xdr:from>
    <xdr:to>
      <xdr:col>8</xdr:col>
      <xdr:colOff>165653</xdr:colOff>
      <xdr:row>25</xdr:row>
      <xdr:rowOff>8282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684DB92-1D76-4C80-83EB-7E4F8A49C8C6}"/>
            </a:ext>
          </a:extLst>
        </xdr:cNvPr>
        <xdr:cNvCxnSpPr/>
      </xdr:nvCxnSpPr>
      <xdr:spPr>
        <a:xfrm flipH="1" flipV="1">
          <a:off x="2493066" y="3553239"/>
          <a:ext cx="273326" cy="2319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293205</xdr:colOff>
      <xdr:row>23</xdr:row>
      <xdr:rowOff>74543</xdr:rowOff>
    </xdr:from>
    <xdr:to>
      <xdr:col>8</xdr:col>
      <xdr:colOff>140805</xdr:colOff>
      <xdr:row>25</xdr:row>
      <xdr:rowOff>19878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61B8D814-7CF9-4C4B-95B6-EEB7ECCAABC9}"/>
            </a:ext>
          </a:extLst>
        </xdr:cNvPr>
        <xdr:cNvCxnSpPr/>
      </xdr:nvCxnSpPr>
      <xdr:spPr>
        <a:xfrm flipH="1">
          <a:off x="2512944" y="3553239"/>
          <a:ext cx="228600" cy="24350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66261</xdr:colOff>
      <xdr:row>24</xdr:row>
      <xdr:rowOff>24847</xdr:rowOff>
    </xdr:from>
    <xdr:to>
      <xdr:col>8</xdr:col>
      <xdr:colOff>265044</xdr:colOff>
      <xdr:row>26</xdr:row>
      <xdr:rowOff>124239</xdr:rowOff>
    </xdr:to>
    <xdr:sp macro="" textlink="">
      <xdr:nvSpPr>
        <xdr:cNvPr id="21" name="Freeform: Shape 20">
          <a:extLst>
            <a:ext uri="{FF2B5EF4-FFF2-40B4-BE49-F238E27FC236}">
              <a16:creationId xmlns:a16="http://schemas.microsoft.com/office/drawing/2014/main" id="{EBB98909-CAC1-FF28-1A69-2598F249352C}"/>
            </a:ext>
          </a:extLst>
        </xdr:cNvPr>
        <xdr:cNvSpPr/>
      </xdr:nvSpPr>
      <xdr:spPr>
        <a:xfrm>
          <a:off x="2667000" y="3652630"/>
          <a:ext cx="198783" cy="397566"/>
        </a:xfrm>
        <a:custGeom>
          <a:avLst/>
          <a:gdLst>
            <a:gd name="connsiteX0" fmla="*/ 0 w 198783"/>
            <a:gd name="connsiteY0" fmla="*/ 397566 h 397566"/>
            <a:gd name="connsiteX1" fmla="*/ 198783 w 198783"/>
            <a:gd name="connsiteY1" fmla="*/ 381000 h 397566"/>
            <a:gd name="connsiteX2" fmla="*/ 198783 w 198783"/>
            <a:gd name="connsiteY2" fmla="*/ 0 h 397566"/>
            <a:gd name="connsiteX3" fmla="*/ 33130 w 198783"/>
            <a:gd name="connsiteY3" fmla="*/ 8283 h 397566"/>
            <a:gd name="connsiteX4" fmla="*/ 33130 w 198783"/>
            <a:gd name="connsiteY4" fmla="*/ 0 h 3975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8783" h="397566">
              <a:moveTo>
                <a:pt x="0" y="397566"/>
              </a:moveTo>
              <a:lnTo>
                <a:pt x="198783" y="381000"/>
              </a:lnTo>
              <a:lnTo>
                <a:pt x="198783" y="0"/>
              </a:lnTo>
              <a:lnTo>
                <a:pt x="33130" y="8283"/>
              </a:lnTo>
              <a:lnTo>
                <a:pt x="33130" y="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311727</xdr:colOff>
      <xdr:row>10</xdr:row>
      <xdr:rowOff>54605</xdr:rowOff>
    </xdr:from>
    <xdr:to>
      <xdr:col>18</xdr:col>
      <xdr:colOff>554181</xdr:colOff>
      <xdr:row>51</xdr:row>
      <xdr:rowOff>87601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D5254-7CDA-3B1D-E698-477BF771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8454" y="1769105"/>
          <a:ext cx="8122227" cy="64234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beban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164 kVA MCCB 250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Kabel NYY 1 x 95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44</v>
      </c>
      <c r="G15" s="41">
        <f ca="1">IF(ISERROR(OFFSET('HARGA SATUAN'!$I$6,MATCH(C15,'HARGA SATUAN'!$C$7:$C$1492,0),0)),"",OFFSET('HARGA SATUAN'!$I$6,MATCH(C15,'HARGA SATUAN'!$C$7:$C$1492,0),0))</f>
        <v>140200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SUMIFS(RAB!$F$14:$F$38,RAB!$C$14:$C$38,C714)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SUMIFS(RAB!$F$14:$F$38,RAB!$C$14:$C$38,C715)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SUMIFS(RAB!$F$14:$F$38,RAB!$C$14:$C$38,C716)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SUMIFS(RAB!$F$14:$F$38,RAB!$C$14:$C$38,C717)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SUMIFS(RAB!$F$14:$F$38,RAB!$C$14:$C$38,C718)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SUMIFS(RAB!$F$14:$F$38,RAB!$C$14:$C$38,C719)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SUMIFS(RAB!$F$14:$F$38,RAB!$C$14:$C$38,C720)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SUMIFS(RAB!$F$14:$F$38,RAB!$C$14:$C$38,C721)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SUMIFS(RAB!$F$14:$F$38,RAB!$C$14:$C$38,C722)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SUMIFS(RAB!$F$14:$F$38,RAB!$C$14:$C$38,C723)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SUMIFS(RAB!$F$14:$F$38,RAB!$C$14:$C$38,C724)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SUMIFS(RAB!$F$14:$F$38,RAB!$C$14:$C$38,C725)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SUMIFS(RAB!$F$14:$F$38,RAB!$C$14:$C$38,C726)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SUMIFS(RAB!$F$14:$F$38,RAB!$C$14:$C$38,C727)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SUMIFS(RAB!$F$14:$F$38,RAB!$C$14:$C$38,C728)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SUMIFS(RAB!$F$14:$F$38,RAB!$C$14:$C$38,C729)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SUMIFS(RAB!$F$14:$F$38,RAB!$C$14:$C$38,C730)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SUMIFS(RAB!$F$14:$F$38,RAB!$C$14:$C$38,C731)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SUMIFS(RAB!$F$14:$F$38,RAB!$C$14:$C$38,C732)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SUMIFS(RAB!$F$14:$F$38,RAB!$C$14:$C$38,C733)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SUMIFS(RAB!$F$14:$F$38,RAB!$C$14:$C$38,C734)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SUMIFS(RAB!$F$14:$F$38,RAB!$C$14:$C$38,C735)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SUMIFS(RAB!$F$14:$F$38,RAB!$C$14:$C$38,C736)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SUMIFS(RAB!$F$14:$F$38,RAB!$C$14:$C$38,C737)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SUMIFS(RAB!$F$14:$F$38,RAB!$C$14:$C$38,C738)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SUMIFS(RAB!$F$14:$F$38,RAB!$C$14:$C$38,C739)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SUMIFS(RAB!$F$14:$F$38,RAB!$C$14:$C$38,C740)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SUMIFS(RAB!$F$14:$F$38,RAB!$C$14:$C$38,C741)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SUMIFS(RAB!$F$14:$F$38,RAB!$C$14:$C$38,C742)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SUMIFS(RAB!$F$14:$F$38,RAB!$C$14:$C$38,C743)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SUMIFS(RAB!$F$14:$F$38,RAB!$C$14:$C$38,C744)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SUMIFS(RAB!$F$14:$F$38,RAB!$C$14:$C$38,C745)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SUMIFS(RAB!$F$14:$F$38,RAB!$C$14:$C$38,C746)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SUMIFS(RAB!$F$14:$F$38,RAB!$C$14:$C$38,C747)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SUMIFS(RAB!$F$14:$F$38,RAB!$C$14:$C$38,C748)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SUMIFS(RAB!$F$14:$F$38,RAB!$C$14:$C$38,C749)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SUMIFS(RAB!$F$14:$F$38,RAB!$C$14:$C$38,C750)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SUMIFS(RAB!$F$14:$F$38,RAB!$C$14:$C$38,C751)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SUMIFS(RAB!$F$14:$F$38,RAB!$C$14:$C$38,C752)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SUMIFS(RAB!$F$14:$F$38,RAB!$C$14:$C$38,C753)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SUMIFS(RAB!$F$14:$F$38,RAB!$C$14:$C$38,C754)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SUMIFS(RAB!$F$14:$F$38,RAB!$C$14:$C$38,C755)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SUMIFS(RAB!$F$14:$F$38,RAB!$C$14:$C$38,C756)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SUMIFS(RAB!$F$14:$F$38,RAB!$C$14:$C$38,C757)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SUMIFS(RAB!$F$14:$F$38,RAB!$C$14:$C$38,C758)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SUMIFS(RAB!$F$14:$F$38,RAB!$C$14:$C$38,C759)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SUMIFS(RAB!$F$14:$F$38,RAB!$C$14:$C$38,C760)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SUMIFS(RAB!$F$14:$F$38,RAB!$C$14:$C$38,C761)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SUMIFS(RAB!$F$14:$F$38,RAB!$C$14:$C$38,C762)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SUMIFS(RAB!$F$14:$F$38,RAB!$C$14:$C$38,C763)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SUMIFS(RAB!$F$14:$F$38,RAB!$C$14:$C$38,C764)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SUMIFS(RAB!$F$14:$F$38,RAB!$C$14:$C$38,C765)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SUMIFS(RAB!$F$14:$F$38,RAB!$C$14:$C$38,C766)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SUMIFS(RAB!$F$14:$F$38,RAB!$C$14:$C$38,C767)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SUMIFS(RAB!$F$14:$F$38,RAB!$C$14:$C$38,C768)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SUMIFS(RAB!$F$14:$F$38,RAB!$C$14:$C$38,C769)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SUMIFS(RAB!$F$14:$F$38,RAB!$C$14:$C$38,C770)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SUMIFS(RAB!$F$14:$F$38,RAB!$C$14:$C$38,C771)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SUMIFS(RAB!$F$14:$F$38,RAB!$C$14:$C$38,C772)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SUMIFS(RAB!$F$14:$F$38,RAB!$C$14:$C$38,C773)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SUMIFS(RAB!$F$14:$F$38,RAB!$C$14:$C$38,C774)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SUMIFS(RAB!$F$14:$F$38,RAB!$C$14:$C$38,C775)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SUMIFS(RAB!$F$14:$F$38,RAB!$C$14:$C$38,C776)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SUMIFS(RAB!$F$14:$F$38,RAB!$C$14:$C$38,C777)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SUMIFS(RAB!$F$14:$F$38,RAB!$C$14:$C$38,C778)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SUMIFS(RAB!$F$14:$F$38,RAB!$C$14:$C$38,C779)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SUMIFS(RAB!$F$14:$F$38,RAB!$C$14:$C$38,C780)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SUMIFS(RAB!$F$14:$F$38,RAB!$C$14:$C$38,C781)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SUMIFS(RAB!$F$14:$F$38,RAB!$C$14:$C$38,C782)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SUMIFS(RAB!$F$14:$F$38,RAB!$C$14:$C$38,C783)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SUMIFS(RAB!$F$14:$F$38,RAB!$C$14:$C$38,C784)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SUMIFS(RAB!$F$14:$F$38,RAB!$C$14:$C$38,C785)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SUMIFS(RAB!$F$14:$F$38,RAB!$C$14:$C$38,C786)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SUMIFS(RAB!$F$14:$F$38,RAB!$C$14:$C$38,C787)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SUMIFS(RAB!$F$14:$F$38,RAB!$C$14:$C$38,C788)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SUMIFS(RAB!$F$14:$F$38,RAB!$C$14:$C$38,C789)</f>
        <v>1</v>
      </c>
      <c r="E789" s="26">
        <f t="shared" ca="1" si="34"/>
        <v>1</v>
      </c>
      <c r="F789" s="26">
        <f ca="1">IF(D789=0,0,SUM($E$713:E789))</f>
        <v>2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SUMIFS(RAB!$F$14:$F$38,RAB!$C$14:$C$38,C790)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SUMIFS(RAB!$F$14:$F$38,RAB!$C$14:$C$38,C791)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SUMIFS(RAB!$F$14:$F$38,RAB!$C$14:$C$38,C792)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SUMIFS(RAB!$F$14:$F$38,RAB!$C$14:$C$38,C793)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SUMIFS(RAB!$F$14:$F$38,RAB!$C$14:$C$38,C794)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SUMIFS(RAB!$F$14:$F$38,RAB!$C$14:$C$38,C795)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SUMIFS(RAB!$F$14:$F$38,RAB!$C$14:$C$38,C796)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SUMIFS(RAB!$F$14:$F$38,RAB!$C$14:$C$38,C797)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SUMIFS(RAB!$F$14:$F$38,RAB!$C$14:$C$38,C798)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SUMIFS(RAB!$F$14:$F$38,RAB!$C$14:$C$38,C799)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SUMIFS(RAB!$F$14:$F$38,RAB!$C$14:$C$38,C800)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SUMIFS(RAB!$F$14:$F$38,RAB!$C$14:$C$38,C801)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SUMIFS(RAB!$F$14:$F$38,RAB!$C$14:$C$38,C802)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SUMIFS(RAB!$F$14:$F$38,RAB!$C$14:$C$38,C803)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SUMIFS(RAB!$F$14:$F$38,RAB!$C$14:$C$38,C804)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SUMIFS(RAB!$F$14:$F$38,RAB!$C$14:$C$38,C805)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SUMIFS(RAB!$F$14:$F$38,RAB!$C$14:$C$38,C806)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SUMIFS(RAB!$F$14:$F$38,RAB!$C$14:$C$38,C807)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SUMIFS(RAB!$F$14:$F$38,RAB!$C$14:$C$38,C808)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SUMIFS(RAB!$F$14:$F$38,RAB!$C$14:$C$38,C809)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SUMIFS(RAB!$F$14:$F$38,RAB!$C$14:$C$38,C810)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SUMIFS(RAB!$F$14:$F$38,RAB!$C$14:$C$38,C811)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SUMIFS(RAB!$F$14:$F$38,RAB!$C$14:$C$38,C812)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SUMIFS(RAB!$F$14:$F$38,RAB!$C$14:$C$38,C813)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SUMIFS(RAB!$F$14:$F$38,RAB!$C$14:$C$38,C814)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SUMIFS(RAB!$F$14:$F$38,RAB!$C$14:$C$38,C815)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SUMIFS(RAB!$F$14:$F$38,RAB!$C$14:$C$38,C816)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SUMIFS(RAB!$F$14:$F$38,RAB!$C$14:$C$38,C817)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SUMIFS(RAB!$F$14:$F$38,RAB!$C$14:$C$38,C818)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SUMIFS(RAB!$F$14:$F$38,RAB!$C$14:$C$38,C819)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SUMIFS(RAB!$F$14:$F$38,RAB!$C$14:$C$38,C820)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SUMIFS(RAB!$F$14:$F$38,RAB!$C$14:$C$38,C821)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SUMIFS(RAB!$F$14:$F$38,RAB!$C$14:$C$38,C822)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SUMIFS(RAB!$F$14:$F$38,RAB!$C$14:$C$38,C823)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SUMIFS(RAB!$F$14:$F$38,RAB!$C$14:$C$38,C824)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SUMIFS(RAB!$F$14:$F$38,RAB!$C$14:$C$38,C825)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SUMIFS(RAB!$F$14:$F$38,RAB!$C$14:$C$38,C826)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SUMIFS(RAB!$F$14:$F$38,RAB!$C$14:$C$38,C827)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SUMIFS(RAB!$F$14:$F$38,RAB!$C$14:$C$38,C828)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SUMIFS(RAB!$F$14:$F$38,RAB!$C$14:$C$38,C829)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SUMIFS(RAB!$F$14:$F$38,RAB!$C$14:$C$38,C830)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SUMIFS(RAB!$F$14:$F$38,RAB!$C$14:$C$38,C831)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SUMIFS(RAB!$F$14:$F$38,RAB!$C$14:$C$38,C832)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SUMIFS(RAB!$F$14:$F$38,RAB!$C$14:$C$38,C833)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SUMIFS(RAB!$F$14:$F$38,RAB!$C$14:$C$38,C834)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SUMIFS(RAB!$F$14:$F$38,RAB!$C$14:$C$38,C835)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SUMIFS(RAB!$F$14:$F$38,RAB!$C$14:$C$38,C836)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SUMIFS(RAB!$F$14:$F$38,RAB!$C$14:$C$38,C837)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SUMIFS(RAB!$F$14:$F$38,RAB!$C$14:$C$38,C838)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SUMIFS(RAB!$F$14:$F$38,RAB!$C$14:$C$38,C839)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SUMIFS(RAB!$F$14:$F$38,RAB!$C$14:$C$38,C840)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SUMIFS(RAB!$F$14:$F$38,RAB!$C$14:$C$38,C841)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SUMIFS(RAB!$F$14:$F$38,RAB!$C$14:$C$38,C842)</f>
        <v>44</v>
      </c>
      <c r="E842" s="26">
        <f t="shared" ca="1" si="34"/>
        <v>1</v>
      </c>
      <c r="F842" s="26">
        <f ca="1">IF(D842=0,0,SUM($E$713:E842))</f>
        <v>4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SUMIFS(RAB!$F$14:$F$38,RAB!$C$14:$C$38,C843)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SUMIFS(RAB!$F$14:$F$38,RAB!$C$14:$C$38,C844)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SUMIFS(RAB!$F$14:$F$38,RAB!$C$14:$C$38,C845)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SUMIFS(RAB!$F$14:$F$38,RAB!$C$14:$C$38,C846)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SUMIFS(RAB!$F$14:$F$38,RAB!$C$14:$C$38,C847)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SUMIFS(RAB!$F$14:$F$38,RAB!$C$14:$C$38,C848)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SUMIFS(RAB!$F$14:$F$38,RAB!$C$14:$C$38,C849)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SUMIFS(RAB!$F$14:$F$38,RAB!$C$14:$C$38,C850)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SUMIFS(RAB!$F$14:$F$38,RAB!$C$14:$C$38,C851)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SUMIFS(RAB!$F$14:$F$38,RAB!$C$14:$C$38,C852)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SUMIFS(RAB!$F$14:$F$38,RAB!$C$14:$C$38,C853)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SUMIFS(RAB!$F$14:$F$38,RAB!$C$14:$C$38,C854)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SUMIFS(RAB!$F$14:$F$38,RAB!$C$14:$C$38,C855)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SUMIFS(RAB!$F$14:$F$38,RAB!$C$14:$C$38,C856)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SUMIFS(RAB!$F$14:$F$38,RAB!$C$14:$C$38,C857)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SUMIFS(RAB!$F$14:$F$38,RAB!$C$14:$C$38,C858)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SUMIFS(RAB!$F$14:$F$38,RAB!$C$14:$C$38,C859)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SUMIFS(RAB!$F$14:$F$38,RAB!$C$14:$C$38,C860)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SUMIFS(RAB!$F$14:$F$38,RAB!$C$14:$C$38,C861)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SUMIFS(RAB!$F$14:$F$38,RAB!$C$14:$C$38,C862)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SUMIFS(RAB!$F$14:$F$38,RAB!$C$14:$C$38,C863)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SUMIFS(RAB!$F$14:$F$38,RAB!$C$14:$C$38,C864)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SUMIFS(RAB!$F$14:$F$38,RAB!$C$14:$C$38,C865)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SUMIFS(RAB!$F$14:$F$38,RAB!$C$14:$C$38,C866)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SUMIFS(RAB!$F$14:$F$38,RAB!$C$14:$C$38,C867)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SUMIFS(RAB!$F$14:$F$38,RAB!$C$14:$C$38,C868)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SUMIFS(RAB!$F$14:$F$38,RAB!$C$14:$C$38,C869)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SUMIFS(RAB!$F$14:$F$38,RAB!$C$14:$C$38,C870)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SUMIFS(RAB!$F$14:$F$38,RAB!$C$14:$C$38,C871)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SUMIFS(RAB!$F$14:$F$38,RAB!$C$14:$C$38,C872)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SUMIFS(RAB!$F$14:$F$38,RAB!$C$14:$C$38,C873)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SUMIFS(RAB!$F$14:$F$38,RAB!$C$14:$C$38,C874)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SUMIFS(RAB!$F$14:$F$38,RAB!$C$14:$C$38,C875)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SUMIFS(RAB!$F$14:$F$38,RAB!$C$14:$C$38,C876)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SUMIFS(RAB!$F$14:$F$38,RAB!$C$14:$C$38,C877)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SUMIFS(RAB!$F$14:$F$38,RAB!$C$14:$C$38,C878)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SUMIFS(RAB!$F$14:$F$38,RAB!$C$14:$C$38,C879)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SUMIFS(RAB!$F$14:$F$38,RAB!$C$14:$C$38,C880)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SUMIFS(RAB!$F$14:$F$38,RAB!$C$14:$C$38,C881)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SUMIFS(RAB!$F$14:$F$38,RAB!$C$14:$C$38,C882)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SUMIFS(RAB!$F$14:$F$38,RAB!$C$14:$C$38,C883)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SUMIFS(RAB!$F$14:$F$38,RAB!$C$14:$C$38,C884)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SUMIFS(RAB!$F$14:$F$38,RAB!$C$14:$C$38,C885)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SUMIFS(RAB!$F$14:$F$38,RAB!$C$14:$C$38,C886)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SUMIFS(RAB!$F$14:$F$38,RAB!$C$14:$C$38,C887)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SUMIFS(RAB!$F$14:$F$38,RAB!$C$14:$C$38,C888)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SUMIFS(RAB!$F$14:$F$38,RAB!$C$14:$C$38,C889)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SUMIFS(RAB!$F$14:$F$38,RAB!$C$14:$C$38,C890)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SUMIFS(RAB!$F$14:$F$38,RAB!$C$14:$C$38,C891)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SUMIFS(RAB!$F$14:$F$38,RAB!$C$14:$C$38,C892)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SUMIFS(RAB!$F$14:$F$38,RAB!$C$14:$C$38,C893)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SUMIFS(RAB!$F$14:$F$38,RAB!$C$14:$C$38,C894)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SUMIFS(RAB!$F$14:$F$38,RAB!$C$14:$C$38,C895)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SUMIFS(RAB!$F$14:$F$38,RAB!$C$14:$C$38,C896)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SUMIFS(RAB!$F$14:$F$38,RAB!$C$14:$C$38,C897)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SUMIFS(RAB!$F$14:$F$38,RAB!$C$14:$C$38,C898)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SUMIFS(RAB!$F$14:$F$38,RAB!$C$14:$C$38,C899)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SUMIFS(RAB!$F$14:$F$38,RAB!$C$14:$C$38,C900)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SUMIFS(RAB!$F$14:$F$38,RAB!$C$14:$C$38,C901)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SUMIFS(RAB!$F$14:$F$38,RAB!$C$14:$C$38,C902)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SUMIFS(RAB!$F$14:$F$38,RAB!$C$14:$C$38,C903)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SUMIFS(RAB!$F$14:$F$38,RAB!$C$14:$C$38,C904)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SUMIFS(RAB!$F$14:$F$38,RAB!$C$14:$C$38,C905)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SUMIFS(RAB!$F$14:$F$38,RAB!$C$14:$C$38,C906)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SUMIFS(RAB!$F$14:$F$38,RAB!$C$14:$C$38,C907)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SUMIFS(RAB!$F$14:$F$38,RAB!$C$14:$C$38,C908)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SUMIFS(RAB!$F$14:$F$38,RAB!$C$14:$C$38,C909)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SUMIFS(RAB!$F$14:$F$38,RAB!$C$14:$C$38,C910)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SUMIFS(RAB!$F$14:$F$38,RAB!$C$14:$C$38,C911)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SUMIFS(RAB!$F$14:$F$38,RAB!$C$14:$C$38,C912)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SUMIFS(RAB!$F$14:$F$38,RAB!$C$14:$C$38,C913)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SUMIFS(RAB!$F$14:$F$38,RAB!$C$14:$C$38,C914)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SUMIFS(RAB!$F$14:$F$38,RAB!$C$14:$C$38,C915)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SUMIFS(RAB!$F$14:$F$38,RAB!$C$14:$C$38,C916)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SUMIFS(RAB!$F$14:$F$38,RAB!$C$14:$C$38,C917)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SUMIFS(RAB!$F$14:$F$38,RAB!$C$14:$C$38,C918)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SUMIFS(RAB!$F$14:$F$38,RAB!$C$14:$C$38,C919)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SUMIFS(RAB!$F$14:$F$38,RAB!$C$14:$C$38,C920)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SUMIFS(RAB!$F$14:$F$38,RAB!$C$14:$C$38,C921)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SUMIFS(RAB!$F$14:$F$38,RAB!$C$14:$C$38,C922)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SUMIFS(RAB!$F$14:$F$38,RAB!$C$14:$C$38,C923)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SUMIFS(RAB!$F$14:$F$38,RAB!$C$14:$C$38,C924)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SUMIFS(RAB!$F$14:$F$38,RAB!$C$14:$C$38,C925)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SUMIFS(RAB!$F$14:$F$38,RAB!$C$14:$C$38,C926)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SUMIFS(RAB!$F$14:$F$38,RAB!$C$14:$C$38,C927)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SUMIFS(RAB!$F$14:$F$38,RAB!$C$14:$C$38,C928)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SUMIFS(RAB!$F$14:$F$38,RAB!$C$14:$C$38,C929)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SUMIFS(RAB!$F$14:$F$38,RAB!$C$14:$C$38,C930)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SUMIFS(RAB!$F$14:$F$38,RAB!$C$14:$C$38,C931)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SUMIFS(RAB!$F$14:$F$38,RAB!$C$14:$C$38,C932)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SUMIFS(RAB!$F$14:$F$38,RAB!$C$14:$C$38,C933)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SUMIFS(RAB!$F$14:$F$38,RAB!$C$14:$C$38,C934)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SUMIFS(RAB!$F$14:$F$38,RAB!$C$14:$C$38,C935)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SUMIFS(RAB!$F$14:$F$38,RAB!$C$14:$C$38,C936)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SUMIFS(RAB!$F$14:$F$38,RAB!$C$14:$C$38,C937)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SUMIFS(RAB!$F$14:$F$38,RAB!$C$14:$C$38,C938)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SUMIFS(RAB!$F$14:$F$38,RAB!$C$14:$C$38,C939)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SUMIFS(RAB!$F$14:$F$38,RAB!$C$14:$C$38,C940)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SUMIFS(RAB!$F$14:$F$38,RAB!$C$14:$C$38,C941)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SUMIFS(RAB!$F$14:$F$38,RAB!$C$14:$C$38,C942)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SUMIFS(RAB!$F$14:$F$38,RAB!$C$14:$C$38,C943)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SUMIFS(RAB!$F$14:$F$38,RAB!$C$14:$C$38,C944)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SUMIFS(RAB!$F$14:$F$38,RAB!$C$14:$C$38,C945)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SUMIFS(RAB!$F$14:$F$38,RAB!$C$14:$C$38,C946)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SUMIFS(RAB!$F$14:$F$38,RAB!$C$14:$C$38,C947)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SUMIFS(RAB!$F$14:$F$38,RAB!$C$14:$C$38,C948)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SUMIFS(RAB!$F$14:$F$38,RAB!$C$14:$C$38,C949)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SUMIFS(RAB!$F$14:$F$38,RAB!$C$14:$C$38,C950)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SUMIFS(RAB!$F$14:$F$38,RAB!$C$14:$C$38,C951)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SUMIFS(RAB!$F$14:$F$38,RAB!$C$14:$C$38,C952)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SUMIFS(RAB!$F$14:$F$38,RAB!$C$14:$C$38,C953)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SUMIFS(RAB!$F$14:$F$38,RAB!$C$14:$C$38,C954)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SUMIFS(RAB!$F$14:$F$38,RAB!$C$14:$C$38,C955)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SUMIFS(RAB!$F$14:$F$38,RAB!$C$14:$C$38,C956)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SUMIFS(RAB!$F$14:$F$38,RAB!$C$14:$C$38,C957)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SUMIFS(RAB!$F$14:$F$38,RAB!$C$14:$C$38,C958)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SUMIFS(RAB!$F$14:$F$38,RAB!$C$14:$C$38,C959)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SUMIFS(RAB!$F$14:$F$38,RAB!$C$14:$C$38,C960)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SUMIFS(RAB!$F$14:$F$38,RAB!$C$14:$C$38,C961)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SUMIFS(RAB!$F$14:$F$38,RAB!$C$14:$C$38,C962)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SUMIFS(RAB!$F$14:$F$38,RAB!$C$14:$C$38,C963)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SUMIFS(RAB!$F$14:$F$38,RAB!$C$14:$C$38,C964)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SUMIFS(RAB!$F$14:$F$38,RAB!$C$14:$C$38,C965)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SUMIFS(RAB!$F$14:$F$38,RAB!$C$14:$C$38,C966)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SUMIFS(RAB!$F$14:$F$38,RAB!$C$14:$C$38,C967)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SUMIFS(RAB!$F$14:$F$38,RAB!$C$14:$C$38,C968)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SUMIFS(RAB!$F$14:$F$38,RAB!$C$14:$C$38,C969)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SUMIFS(RAB!$F$14:$F$38,RAB!$C$14:$C$38,C970)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SUMIFS(RAB!$F$14:$F$38,RAB!$C$14:$C$38,C971)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SUMIFS(RAB!$F$14:$F$38,RAB!$C$14:$C$38,C972)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SUMIFS(RAB!$F$14:$F$38,RAB!$C$14:$C$38,C973)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SUMIFS(RAB!$F$14:$F$38,RAB!$C$14:$C$38,C974)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SUMIFS(RAB!$F$14:$F$38,RAB!$C$14:$C$38,C975)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SUMIFS(RAB!$F$14:$F$38,RAB!$C$14:$C$38,C976)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SUMIFS(RAB!$F$14:$F$38,RAB!$C$14:$C$38,C977)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SUMIFS(RAB!$F$14:$F$38,RAB!$C$14:$C$38,C978)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SUMIFS(RAB!$F$14:$F$38,RAB!$C$14:$C$38,C979)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SUMIFS(RAB!$F$14:$F$38,RAB!$C$14:$C$38,C980)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SUMIFS(RAB!$F$14:$F$38,RAB!$C$14:$C$38,C981)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SUMIFS(RAB!$F$14:$F$38,RAB!$C$14:$C$38,C982)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SUMIFS(RAB!$F$14:$F$38,RAB!$C$14:$C$38,C983)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SUMIFS(RAB!$F$14:$F$38,RAB!$C$14:$C$38,C984)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SUMIFS(RAB!$F$14:$F$38,RAB!$C$14:$C$38,C985)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SUMIFS(RAB!$F$14:$F$38,RAB!$C$14:$C$38,C986)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SUMIFS(RAB!$F$14:$F$38,RAB!$C$14:$C$38,C987)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SUMIFS(RAB!$F$14:$F$38,RAB!$C$14:$C$38,C988)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SUMIFS(RAB!$F$14:$F$38,RAB!$C$14:$C$38,C989)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SUMIFS(RAB!$F$14:$F$38,RAB!$C$14:$C$38,C990)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SUMIFS(RAB!$F$14:$F$38,RAB!$C$14:$C$38,C991)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SUMIFS(RAB!$F$14:$F$38,RAB!$C$14:$C$38,C992)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SUMIFS(RAB!$F$14:$F$38,RAB!$C$14:$C$38,C993)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SUMIFS(RAB!$F$14:$F$38,RAB!$C$14:$C$38,C994)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SUMIFS(RAB!$F$14:$F$38,RAB!$C$14:$C$38,C995)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SUMIFS(RAB!$F$14:$F$38,RAB!$C$14:$C$38,C996)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SUMIFS(RAB!$F$14:$F$38,RAB!$C$14:$C$38,C997)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SUMIFS(RAB!$F$14:$F$38,RAB!$C$14:$C$38,C998)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SUMIFS(RAB!$F$14:$F$38,RAB!$C$14:$C$38,C999)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SUMIFS(RAB!$F$14:$F$38,RAB!$C$14:$C$38,C1000)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SUMIFS(RAB!$F$14:$F$38,RAB!$C$14:$C$38,C1001)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SUMIFS(RAB!$F$14:$F$38,RAB!$C$14:$C$38,C1002)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SUMIFS(RAB!$F$14:$F$38,RAB!$C$14:$C$38,C1003)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SUMIFS(RAB!$F$14:$F$38,RAB!$C$14:$C$38,C1004)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SUMIFS(RAB!$F$14:$F$38,RAB!$C$14:$C$38,C1005)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SUMIFS(RAB!$F$14:$F$38,RAB!$C$14:$C$38,C1006)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SUMIFS(RAB!$F$14:$F$38,RAB!$C$14:$C$38,C1007)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SUMIFS(RAB!$F$14:$F$38,RAB!$C$14:$C$38,C1008)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SUMIFS(RAB!$F$14:$F$38,RAB!$C$14:$C$38,C1009)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SUMIFS(RAB!$F$14:$F$38,RAB!$C$14:$C$38,C1010)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SUMIFS(RAB!$F$14:$F$38,RAB!$C$14:$C$38,C1011)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SUMIFS(RAB!$F$14:$F$38,RAB!$C$14:$C$38,C1012)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SUMIFS(RAB!$F$14:$F$38,RAB!$C$14:$C$38,C1013)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SUMIFS(RAB!$F$14:$F$38,RAB!$C$14:$C$38,C1014)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SUMIFS(RAB!$F$14:$F$38,RAB!$C$14:$C$38,C1015)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SUMIFS(RAB!$F$14:$F$38,RAB!$C$14:$C$38,C1016)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SUMIFS(RAB!$F$14:$F$38,RAB!$C$14:$C$38,C1017)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SUMIFS(RAB!$F$14:$F$38,RAB!$C$14:$C$38,C1018)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SUMIFS(RAB!$F$14:$F$38,RAB!$C$14:$C$38,C1019)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SUMIFS(RAB!$F$14:$F$38,RAB!$C$14:$C$38,C1020)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SUMIFS(RAB!$F$14:$F$38,RAB!$C$14:$C$38,C1021)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SUMIFS(RAB!$F$14:$F$38,RAB!$C$14:$C$38,C1022)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SUMIFS(RAB!$F$14:$F$38,RAB!$C$14:$C$38,C1023)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SUMIFS(RAB!$F$14:$F$38,RAB!$C$14:$C$38,C1024)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SUMIFS(RAB!$F$14:$F$38,RAB!$C$14:$C$38,C1025)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SUMIFS(RAB!$F$14:$F$38,RAB!$C$14:$C$38,C1026)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SUMIFS(RAB!$F$14:$F$38,RAB!$C$14:$C$38,C1027)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SUMIFS(RAB!$F$14:$F$38,RAB!$C$14:$C$38,C1028)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SUMIFS(RAB!$F$14:$F$38,RAB!$C$14:$C$38,C1029)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SUMIFS(RAB!$F$14:$F$38,RAB!$C$14:$C$38,C1030)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SUMIFS(RAB!$F$14:$F$38,RAB!$C$14:$C$38,C1031)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SUMIFS(RAB!$F$14:$F$38,RAB!$C$14:$C$38,C1032)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SUMIFS(RAB!$F$14:$F$38,RAB!$C$14:$C$38,C1033)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SUMIFS(RAB!$F$14:$F$38,RAB!$C$14:$C$38,C1034)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SUMIFS(RAB!$F$14:$F$38,RAB!$C$14:$C$38,C1035)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SUMIFS(RAB!$F$14:$F$38,RAB!$C$14:$C$38,C1036)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SUMIFS(RAB!$F$14:$F$38,RAB!$C$14:$C$38,C1037)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SUMIFS(RAB!$F$14:$F$38,RAB!$C$14:$C$38,C1038)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SUMIFS(RAB!$F$14:$F$38,RAB!$C$14:$C$38,C1039)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SUMIFS(RAB!$F$14:$F$38,RAB!$C$14:$C$38,C1040)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SUMIFS(RAB!$F$14:$F$38,RAB!$C$14:$C$38,C1041)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SUMIFS(RAB!$F$14:$F$38,RAB!$C$14:$C$38,C1042)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SUMIFS(RAB!$F$14:$F$38,RAB!$C$14:$C$38,C1043)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SUMIFS(RAB!$F$14:$F$38,RAB!$C$14:$C$38,C1044)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SUMIFS(RAB!$F$14:$F$38,RAB!$C$14:$C$38,C1045)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SUMIFS(RAB!$F$14:$F$38,RAB!$C$14:$C$38,C1046)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SUMIFS(RAB!$F$14:$F$38,RAB!$C$14:$C$38,C1047)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SUMIFS(RAB!$F$14:$F$38,RAB!$C$14:$C$38,C1048)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SUMIFS(RAB!$F$14:$F$38,RAB!$C$14:$C$38,C1049)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SUMIFS(RAB!$F$14:$F$38,RAB!$C$14:$C$38,C1050)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SUMIFS(RAB!$F$14:$F$38,RAB!$C$14:$C$38,C1051)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SUMIFS(RAB!$F$14:$F$38,RAB!$C$14:$C$38,C1052)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SUMIFS(RAB!$F$14:$F$38,RAB!$C$14:$C$38,C1053)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SUMIFS(RAB!$F$14:$F$38,RAB!$C$14:$C$38,C1054)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SUMIFS(RAB!$F$14:$F$38,RAB!$C$14:$C$38,C1055)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SUMIFS(RAB!$F$14:$F$38,RAB!$C$14:$C$38,C1056)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SUMIFS(RAB!$F$14:$F$38,RAB!$C$14:$C$38,C1057)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SUMIFS(RAB!$F$14:$F$38,RAB!$C$14:$C$38,C1058)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SUMIFS(RAB!$F$14:$F$38,RAB!$C$14:$C$38,C1059)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SUMIFS(RAB!$F$14:$F$38,RAB!$C$14:$C$38,C1060)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SUMIFS(RAB!$F$14:$F$38,RAB!$C$14:$C$38,C1061)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SUMIFS(RAB!$F$14:$F$38,RAB!$C$14:$C$38,C1062)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SUMIFS(RAB!$F$14:$F$38,RAB!$C$14:$C$38,C1063)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SUMIFS(RAB!$F$14:$F$38,RAB!$C$14:$C$38,C1064)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SUMIFS(RAB!$F$14:$F$38,RAB!$C$14:$C$38,C1065)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SUMIFS(RAB!$F$14:$F$38,RAB!$C$14:$C$38,C1066)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SUMIFS(RAB!$F$14:$F$38,RAB!$C$14:$C$38,C1067)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SUMIFS(RAB!$F$14:$F$38,RAB!$C$14:$C$38,C1068)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SUMIFS(RAB!$F$14:$F$38,RAB!$C$14:$C$38,C1069)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SUMIFS(RAB!$F$14:$F$38,RAB!$C$14:$C$38,C1070)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SUMIFS(RAB!$F$14:$F$38,RAB!$C$14:$C$38,C1071)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SUMIFS(RAB!$F$14:$F$38,RAB!$C$14:$C$38,C1072)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SUMIFS(RAB!$F$14:$F$38,RAB!$C$14:$C$38,C1073)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SUMIFS(RAB!$F$14:$F$38,RAB!$C$14:$C$38,C1074)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SUMIFS(RAB!$F$14:$F$38,RAB!$C$14:$C$38,C1075)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SUMIFS(RAB!$F$14:$F$38,RAB!$C$14:$C$38,C1076)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SUMIFS(RAB!$F$14:$F$38,RAB!$C$14:$C$38,C1077)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SUMIFS(RAB!$F$14:$F$38,RAB!$C$14:$C$38,C1078)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SUMIFS(RAB!$F$14:$F$38,RAB!$C$14:$C$38,C1079)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SUMIFS(RAB!$F$14:$F$38,RAB!$C$14:$C$38,C1080)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SUMIFS(RAB!$F$14:$F$38,RAB!$C$14:$C$38,C1081)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SUMIFS(RAB!$F$14:$F$38,RAB!$C$14:$C$38,C1082)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SUMIFS(RAB!$F$14:$F$38,RAB!$C$14:$C$38,C1083)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SUMIFS(RAB!$F$14:$F$38,RAB!$C$14:$C$38,C1084)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SUMIFS(RAB!$F$14:$F$38,RAB!$C$14:$C$38,C1085)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SUMIFS(RAB!$F$14:$F$38,RAB!$C$14:$C$38,C1086)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SUMIFS(RAB!$F$14:$F$38,RAB!$C$14:$C$38,C1087)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SUMIFS(RAB!$F$14:$F$38,RAB!$C$14:$C$38,C1088)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SUMIFS(RAB!$F$14:$F$38,RAB!$C$14:$C$38,C1089)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SUMIFS(RAB!$F$14:$F$38,RAB!$C$14:$C$38,C1090)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SUMIFS(RAB!$F$14:$F$38,RAB!$C$14:$C$38,C1091)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SUMIFS(RAB!$F$14:$F$38,RAB!$C$14:$C$38,C1092)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SUMIFS(RAB!$F$14:$F$38,RAB!$C$14:$C$38,C1093)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SUMIFS(RAB!$F$14:$F$38,RAB!$C$14:$C$38,C1094)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SUMIFS(RAB!$F$14:$F$38,RAB!$C$14:$C$38,C1095)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SUMIFS(RAB!$F$14:$F$38,RAB!$C$14:$C$38,C1096)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SUMIFS(RAB!$F$14:$F$38,RAB!$C$14:$C$38,C1097)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SUMIFS(RAB!$F$14:$F$38,RAB!$C$14:$C$38,C1098)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SUMIFS(RAB!$F$14:$F$38,RAB!$C$14:$C$38,C1099)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SUMIFS(RAB!$F$14:$F$38,RAB!$C$14:$C$38,C1100)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SUMIFS(RAB!$F$14:$F$38,RAB!$C$14:$C$38,C1101)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SUMIFS(RAB!$F$14:$F$38,RAB!$C$14:$C$38,C1102)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SUMIFS(RAB!$F$14:$F$38,RAB!$C$14:$C$38,C1103)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SUMIFS(RAB!$F$14:$F$38,RAB!$C$14:$C$38,C1104)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SUMIFS(RAB!$F$14:$F$38,RAB!$C$14:$C$38,C1105)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SUMIFS(RAB!$F$14:$F$38,RAB!$C$14:$C$38,C1106)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SUMIFS(RAB!$F$14:$F$38,RAB!$C$14:$C$38,C1107)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SUMIFS(RAB!$F$14:$F$38,RAB!$C$14:$C$38,C1108)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SUMIFS(RAB!$F$14:$F$38,RAB!$C$14:$C$38,C1109)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SUMIFS(RAB!$F$14:$F$38,RAB!$C$14:$C$38,C1110)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SUMIFS(RAB!$F$14:$F$38,RAB!$C$14:$C$38,C1111)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SUMIFS(RAB!$F$14:$F$38,RAB!$C$14:$C$38,C1112)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SUMIFS(RAB!$F$14:$F$38,RAB!$C$14:$C$38,C1113)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SUMIFS(RAB!$F$14:$F$38,RAB!$C$14:$C$38,C1114)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SUMIFS(RAB!$F$14:$F$38,RAB!$C$14:$C$38,C1115)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SUMIFS(RAB!$F$14:$F$38,RAB!$C$14:$C$38,C1116)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SUMIFS(RAB!$F$14:$F$38,RAB!$C$14:$C$38,C1117)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SUMIFS(RAB!$F$14:$F$38,RAB!$C$14:$C$38,C1118)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SUMIFS(RAB!$F$14:$F$38,RAB!$C$14:$C$38,C1119)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SUMIFS(RAB!$F$14:$F$38,RAB!$C$14:$C$38,C1120)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SUMIFS(RAB!$F$14:$F$38,RAB!$C$14:$C$38,C1121)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SUMIFS(RAB!$F$14:$F$38,RAB!$C$14:$C$38,C1122)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SUMIFS(RAB!$F$14:$F$38,RAB!$C$14:$C$38,C1123)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SUMIFS(RAB!$F$14:$F$38,RAB!$C$14:$C$38,C1124)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SUMIFS(RAB!$F$14:$F$38,RAB!$C$14:$C$38,C1125)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SUMIFS(RAB!$F$14:$F$38,RAB!$C$14:$C$38,C1126)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SUMIFS(RAB!$F$14:$F$38,RAB!$C$14:$C$38,C1127)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SUMIFS(RAB!$F$14:$F$38,RAB!$C$14:$C$38,C1128)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SUMIFS(RAB!$F$14:$F$38,RAB!$C$14:$C$38,C1129)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SUMIFS(RAB!$F$14:$F$38,RAB!$C$14:$C$38,C1130)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SUMIFS(RAB!$F$14:$F$38,RAB!$C$14:$C$38,C1131)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SUMIFS(RAB!$F$14:$F$38,RAB!$C$14:$C$38,C1132)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SUMIFS(RAB!$F$14:$F$38,RAB!$C$14:$C$38,C1133)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SUMIFS(RAB!$F$14:$F$38,RAB!$C$14:$C$38,C1134)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SUMIFS(RAB!$F$14:$F$38,RAB!$C$14:$C$38,C1135)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SUMIFS(RAB!$F$14:$F$38,RAB!$C$14:$C$38,C1136)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SUMIFS(RAB!$F$14:$F$38,RAB!$C$14:$C$38,C1137)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SUMIFS(RAB!$F$14:$F$38,RAB!$C$14:$C$38,C1138)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SUMIFS(RAB!$F$14:$F$38,RAB!$C$14:$C$38,C1139)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SUMIFS(RAB!$F$14:$F$38,RAB!$C$14:$C$38,C1140)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SUMIFS(RAB!$F$14:$F$38,RAB!$C$14:$C$38,C1141)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SUMIFS(RAB!$F$14:$F$38,RAB!$C$14:$C$38,C1142)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SUMIFS(RAB!$F$14:$F$38,RAB!$C$14:$C$38,C1143)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SUMIFS(RAB!$F$14:$F$38,RAB!$C$14:$C$38,C1144)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SUMIFS(RAB!$F$14:$F$38,RAB!$C$14:$C$38,C1145)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SUMIFS(RAB!$F$14:$F$38,RAB!$C$14:$C$38,C1146)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SUMIFS(RAB!$F$14:$F$38,RAB!$C$14:$C$38,C1147)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SUMIFS(RAB!$F$14:$F$38,RAB!$C$14:$C$38,C1148)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SUMIFS(RAB!$F$14:$F$38,RAB!$C$14:$C$38,C1149)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SUMIFS(RAB!$F$14:$F$38,RAB!$C$14:$C$38,C1150)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SUMIFS(RAB!$F$14:$F$38,RAB!$C$14:$C$38,C1151)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SUMIFS(RAB!$F$14:$F$38,RAB!$C$14:$C$38,C1152)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SUMIFS(RAB!$F$14:$F$38,RAB!$C$14:$C$38,C1153)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SUMIFS(RAB!$F$14:$F$38,RAB!$C$14:$C$38,C1154)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SUMIFS(RAB!$F$14:$F$38,RAB!$C$14:$C$38,C1155)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SUMIFS(RAB!$F$14:$F$38,RAB!$C$14:$C$38,C1156)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SUMIFS(RAB!$F$14:$F$38,RAB!$C$14:$C$38,C1157)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SUMIFS(RAB!$F$14:$F$38,RAB!$C$14:$C$38,C1158)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SUMIFS(RAB!$F$14:$F$38,RAB!$C$14:$C$38,C1159)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SUMIFS(RAB!$F$14:$F$38,RAB!$C$14:$C$38,C1160)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SUMIFS(RAB!$F$14:$F$38,RAB!$C$14:$C$38,C1161)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SUMIFS(RAB!$F$14:$F$38,RAB!$C$14:$C$38,C1162)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SUMIFS(RAB!$F$14:$F$38,RAB!$C$14:$C$38,C1163)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SUMIFS(RAB!$F$14:$F$38,RAB!$C$14:$C$38,C1164)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SUMIFS(RAB!$F$14:$F$38,RAB!$C$14:$C$38,C1165)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SUMIFS(RAB!$F$14:$F$38,RAB!$C$14:$C$38,C1166)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SUMIFS(RAB!$F$14:$F$38,RAB!$C$14:$C$38,C1167)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SUMIFS(RAB!$F$14:$F$38,RAB!$C$14:$C$38,C1168)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SUMIFS(RAB!$F$14:$F$38,RAB!$C$14:$C$38,C1169)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SUMIFS(RAB!$F$14:$F$38,RAB!$C$14:$C$38,C1170)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SUMIFS(RAB!$F$14:$F$38,RAB!$C$14:$C$38,C1171)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SUMIFS(RAB!$F$14:$F$38,RAB!$C$14:$C$38,C1172)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SUMIFS(RAB!$F$14:$F$38,RAB!$C$14:$C$38,C1173)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SUMIFS(RAB!$F$14:$F$38,RAB!$C$14:$C$38,C1174)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SUMIFS(RAB!$F$14:$F$38,RAB!$C$14:$C$38,C1175)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SUMIFS(RAB!$F$14:$F$38,RAB!$C$14:$C$38,C1176)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SUMIFS(RAB!$F$14:$F$38,RAB!$C$14:$C$38,C1177)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SUMIFS(RAB!$F$14:$F$38,RAB!$C$14:$C$38,C1178)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SUMIFS(RAB!$F$14:$F$38,RAB!$C$14:$C$38,C1179)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SUMIFS(RAB!$F$14:$F$38,RAB!$C$14:$C$38,C1180)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SUMIFS(RAB!$F$14:$F$38,RAB!$C$14:$C$38,C1181)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SUMIFS(RAB!$F$14:$F$38,RAB!$C$14:$C$38,C1182)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SUMIFS(RAB!$F$14:$F$38,RAB!$C$14:$C$38,C1183)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SUMIFS(RAB!$F$14:$F$38,RAB!$C$14:$C$38,C1184)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SUMIFS(RAB!$F$14:$F$38,RAB!$C$14:$C$38,C1185)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SUMIFS(RAB!$F$14:$F$38,RAB!$C$14:$C$38,C1186)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SUMIFS(RAB!$F$14:$F$38,RAB!$C$14:$C$38,C1187)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SUMIFS(RAB!$F$14:$F$38,RAB!$C$14:$C$38,C1188)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SUMIFS(RAB!$F$14:$F$38,RAB!$C$14:$C$38,C1189)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SUMIFS(RAB!$F$14:$F$38,RAB!$C$14:$C$38,C1190)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SUMIFS(RAB!$F$14:$F$38,RAB!$C$14:$C$38,C1191)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SUMIFS(RAB!$F$14:$F$38,RAB!$C$14:$C$38,C1192)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SUMIFS(RAB!$F$14:$F$38,RAB!$C$14:$C$38,C1193)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SUMIFS(RAB!$F$14:$F$38,RAB!$C$14:$C$38,C1194)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SUMIFS(RAB!$F$14:$F$38,RAB!$C$14:$C$38,C1195)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SUMIFS(RAB!$F$14:$F$38,RAB!$C$14:$C$38,C1196)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SUMIFS(RAB!$F$14:$F$38,RAB!$C$14:$C$38,C1197)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SUMIFS(RAB!$F$14:$F$38,RAB!$C$14:$C$38,C1198)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SUMIFS(RAB!$F$14:$F$38,RAB!$C$14:$C$38,C1199)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SUMIFS(RAB!$F$14:$F$38,RAB!$C$14:$C$38,C1200)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SUMIFS(RAB!$F$14:$F$38,RAB!$C$14:$C$38,C1201)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SUMIFS(RAB!$F$14:$F$38,RAB!$C$14:$C$38,C1202)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SUMIFS(RAB!$F$14:$F$38,RAB!$C$14:$C$38,C1203)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SUMIFS(RAB!$F$14:$F$38,RAB!$C$14:$C$38,C1204)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SUMIFS(RAB!$F$14:$F$38,RAB!$C$14:$C$38,C1205)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SUMIFS(RAB!$F$14:$F$38,RAB!$C$14:$C$38,C1206)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SUMIFS(RAB!$F$14:$F$38,RAB!$C$14:$C$38,C1207)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SUMIFS(RAB!$F$14:$F$38,RAB!$C$14:$C$38,C1208)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SUMIFS(RAB!$F$14:$F$38,RAB!$C$14:$C$38,C1209)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SUMIFS(RAB!$F$14:$F$38,RAB!$C$14:$C$38,C1210)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SUMIFS(RAB!$F$14:$F$38,RAB!$C$14:$C$38,C1211)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SUMIFS(RAB!$F$14:$F$38,RAB!$C$14:$C$38,C1212)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SUMIFS(RAB!$F$14:$F$38,RAB!$C$14:$C$38,C1213)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SUMIFS(RAB!$F$14:$F$38,RAB!$C$14:$C$38,C1214)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SUMIFS(RAB!$F$14:$F$38,RAB!$C$14:$C$38,C1215)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SUMIFS(RAB!$F$14:$F$38,RAB!$C$14:$C$38,C1216)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SUMIFS(RAB!$F$14:$F$38,RAB!$C$14:$C$38,C1217)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SUMIFS(RAB!$F$14:$F$38,RAB!$C$14:$C$38,C1218)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SUMIFS(RAB!$F$14:$F$38,RAB!$C$14:$C$38,C1219)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SUMIFS(RAB!$F$14:$F$38,RAB!$C$14:$C$38,C1220)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SUMIFS(RAB!$F$14:$F$38,RAB!$C$14:$C$38,C1221)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SUMIFS(RAB!$F$14:$F$38,RAB!$C$14:$C$38,C1222)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SUMIFS(RAB!$F$14:$F$38,RAB!$C$14:$C$38,C1223)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SUMIFS(RAB!$F$14:$F$38,RAB!$C$14:$C$38,C1224)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SUMIFS(RAB!$F$14:$F$38,RAB!$C$14:$C$38,C1225)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SUMIFS(RAB!$F$14:$F$38,RAB!$C$14:$C$38,C1226)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SUMIFS(RAB!$F$14:$F$38,RAB!$C$14:$C$38,C1227)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SUMIFS(RAB!$F$14:$F$38,RAB!$C$14:$C$38,C1228)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SUMIFS(RAB!$F$14:$F$38,RAB!$C$14:$C$38,C1229)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SUMIFS(RAB!$F$14:$F$38,RAB!$C$14:$C$38,C1230)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SUMIFS(RAB!$F$14:$F$38,RAB!$C$14:$C$38,C1231)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SUMIFS(RAB!$F$14:$F$38,RAB!$C$14:$C$38,C1232)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SUMIFS(RAB!$F$14:$F$38,RAB!$C$14:$C$38,C1233)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SUMIFS(RAB!$F$14:$F$38,RAB!$C$14:$C$38,C1234)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SUMIFS(RAB!$F$14:$F$38,RAB!$C$14:$C$38,C1235)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SUMIFS(RAB!$F$14:$F$38,RAB!$C$14:$C$38,C1236)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SUMIFS(RAB!$F$14:$F$38,RAB!$C$14:$C$38,C1237)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SUMIFS(RAB!$F$14:$F$38,RAB!$C$14:$C$38,C1238)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SUMIFS(RAB!$F$14:$F$38,RAB!$C$14:$C$38,C1239)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SUMIFS(RAB!$F$14:$F$38,RAB!$C$14:$C$38,C1240)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SUMIFS(RAB!$F$14:$F$38,RAB!$C$14:$C$38,C1241)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SUMIFS(RAB!$F$14:$F$38,RAB!$C$14:$C$38,C1242)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SUMIFS(RAB!$F$14:$F$38,RAB!$C$14:$C$38,C1243)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SUMIFS(RAB!$F$14:$F$38,RAB!$C$14:$C$38,C1244)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SUMIFS(RAB!$F$14:$F$38,RAB!$C$14:$C$38,C1245)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SUMIFS(RAB!$F$14:$F$38,RAB!$C$14:$C$38,C1246)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SUMIFS(RAB!$F$14:$F$38,RAB!$C$14:$C$38,C1247)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SUMIFS(RAB!$F$14:$F$38,RAB!$C$14:$C$38,C1248)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SUMIFS(RAB!$F$14:$F$38,RAB!$C$14:$C$38,C1249)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SUMIFS(RAB!$F$14:$F$38,RAB!$C$14:$C$38,C1250)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SUMIFS(RAB!$F$14:$F$38,RAB!$C$14:$C$38,C1251)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SUMIFS(RAB!$F$14:$F$38,RAB!$C$14:$C$38,C1252)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SUMIFS(RAB!$F$14:$F$38,RAB!$C$14:$C$38,C1253)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SUMIFS(RAB!$F$14:$F$38,RAB!$C$14:$C$38,C1254)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SUMIFS(RAB!$F$14:$F$38,RAB!$C$14:$C$38,C1255)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SUMIFS(RAB!$F$14:$F$38,RAB!$C$14:$C$38,C1256)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SUMIFS(RAB!$F$14:$F$38,RAB!$C$14:$C$38,C1257)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SUMIFS(RAB!$F$14:$F$38,RAB!$C$14:$C$38,C1258)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SUMIFS(RAB!$F$14:$F$38,RAB!$C$14:$C$38,C1259)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SUMIFS(RAB!$F$14:$F$38,RAB!$C$14:$C$38,C1260)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SUMIFS(RAB!$F$14:$F$38,RAB!$C$14:$C$38,C1261)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SUMIFS(RAB!$F$14:$F$38,RAB!$C$14:$C$38,C1262)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SUMIFS(RAB!$F$14:$F$38,RAB!$C$14:$C$38,C1263)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SUMIFS(RAB!$F$14:$F$38,RAB!$C$14:$C$38,C1264)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SUMIFS(RAB!$F$14:$F$38,RAB!$C$14:$C$38,C1265)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SUMIFS(RAB!$F$14:$F$38,RAB!$C$14:$C$38,C1266)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SUMIFS(RAB!$F$14:$F$38,RAB!$C$14:$C$38,C1267)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SUMIFS(RAB!$F$14:$F$38,RAB!$C$14:$C$38,C1268)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SUMIFS(RAB!$F$14:$F$38,RAB!$C$14:$C$38,C1269)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SUMIFS(RAB!$F$14:$F$38,RAB!$C$14:$C$38,C1270)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SUMIFS(RAB!$F$14:$F$38,RAB!$C$14:$C$38,C1271)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SUMIFS(RAB!$F$14:$F$38,RAB!$C$14:$C$38,C1272)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SUMIFS(RAB!$F$14:$F$38,RAB!$C$14:$C$38,C1273)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SUMIFS(RAB!$F$14:$F$38,RAB!$C$14:$C$38,C1274)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SUMIFS(RAB!$F$14:$F$38,RAB!$C$14:$C$38,C1275)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SUMIFS(RAB!$F$14:$F$38,RAB!$C$14:$C$38,C1276)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SUMIFS(RAB!$F$14:$F$38,RAB!$C$14:$C$38,C1277)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SUMIFS(RAB!$F$14:$F$38,RAB!$C$14:$C$38,C1278)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SUMIFS(RAB!$F$14:$F$38,RAB!$C$14:$C$38,C1279)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SUMIFS(RAB!$F$14:$F$38,RAB!$C$14:$C$38,C1280)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SUMIFS(RAB!$F$14:$F$38,RAB!$C$14:$C$38,C1281)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SUMIFS(RAB!$F$14:$F$38,RAB!$C$14:$C$38,C1282)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SUMIFS(RAB!$F$14:$F$38,RAB!$C$14:$C$38,C1283)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SUMIFS(RAB!$F$14:$F$38,RAB!$C$14:$C$38,C1284)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SUMIFS(RAB!$F$14:$F$38,RAB!$C$14:$C$38,C1285)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SUMIFS(RAB!$F$14:$F$38,RAB!$C$14:$C$38,C1286)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SUMIFS(RAB!$F$14:$F$38,RAB!$C$14:$C$38,C1287)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SUMIFS(RAB!$F$14:$F$38,RAB!$C$14:$C$38,C1288)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SUMIFS(RAB!$F$14:$F$38,RAB!$C$14:$C$38,C1289)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SUMIFS(RAB!$F$14:$F$38,RAB!$C$14:$C$38,C1290)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SUMIFS(RAB!$F$14:$F$38,RAB!$C$14:$C$38,C1291)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SUMIFS(RAB!$F$14:$F$38,RAB!$C$14:$C$38,C1292)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SUMIFS(RAB!$F$14:$F$38,RAB!$C$14:$C$38,C1293)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SUMIFS(RAB!$F$14:$F$38,RAB!$C$14:$C$38,C1294)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SUMIFS(RAB!$F$14:$F$38,RAB!$C$14:$C$38,C1295)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SUMIFS(RAB!$F$14:$F$38,RAB!$C$14:$C$38,C1296)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SUMIFS(RAB!$F$14:$F$38,RAB!$C$14:$C$38,C1297)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SUMIFS(RAB!$F$14:$F$38,RAB!$C$14:$C$38,C1298)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SUMIFS(RAB!$F$14:$F$38,RAB!$C$14:$C$38,C1299)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SUMIFS(RAB!$F$14:$F$38,RAB!$C$14:$C$38,C1300)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SUMIFS(RAB!$F$14:$F$38,RAB!$C$14:$C$38,C1301)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SUMIFS(RAB!$F$14:$F$38,RAB!$C$14:$C$38,C1302)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SUMIFS(RAB!$F$14:$F$38,RAB!$C$14:$C$38,C1303)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SUMIFS(RAB!$F$14:$F$38,RAB!$C$14:$C$38,C1304)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SUMIFS(RAB!$F$14:$F$38,RAB!$C$14:$C$38,C1305)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SUMIFS(RAB!$F$14:$F$38,RAB!$C$14:$C$38,C1306)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SUMIFS(RAB!$F$14:$F$38,RAB!$C$14:$C$38,C1307)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SUMIFS(RAB!$F$14:$F$38,RAB!$C$14:$C$38,C1308)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SUMIFS(RAB!$F$14:$F$38,RAB!$C$14:$C$38,C1309)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SUMIFS(RAB!$F$14:$F$38,RAB!$C$14:$C$38,C1310)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SUMIFS(RAB!$F$14:$F$38,RAB!$C$14:$C$38,C1311)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SUMIFS(RAB!$F$14:$F$38,RAB!$C$14:$C$38,C1312)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SUMIFS(RAB!$F$14:$F$38,RAB!$C$14:$C$38,C1313)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SUMIFS(RAB!$F$14:$F$38,RAB!$C$14:$C$38,C1314)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SUMIFS(RAB!$F$14:$F$38,RAB!$C$14:$C$38,C1315)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SUMIFS(RAB!$F$14:$F$38,RAB!$C$14:$C$38,C1316)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SUMIFS(RAB!$F$14:$F$38,RAB!$C$14:$C$38,C1317)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SUMIFS(RAB!$F$14:$F$38,RAB!$C$14:$C$38,C1318)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SUMIFS(RAB!$F$14:$F$38,RAB!$C$14:$C$38,C1319)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SUMIFS(RAB!$F$14:$F$38,RAB!$C$14:$C$38,C1320)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UD BINTANG JAYA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DS KALISARI KEC SAYUNG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SUMIFS(RAB!$F$14:$F$38,RAB!$C$14:$C$38,'REKAP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SUMIFS(RAB!$F$14:$F$38,RAB!$C$14:$C$38,'REKAP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SUMIFS(RAB!$F$14:$F$38,RAB!$C$14:$C$38,'REKAP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SUMIFS(RAB!$F$14:$F$38,RAB!$C$14:$C$38,'REKAP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SUMIFS(RAB!$F$14:$F$38,RAB!$C$14:$C$38,'REKAP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SUMIFS(RAB!$F$14:$F$38,RAB!$C$14:$C$38,'REKAP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SUMIFS(RAB!$F$14:$F$38,RAB!$C$14:$C$38,'REKAP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SUMIFS(RAB!$F$14:$F$38,RAB!$C$14:$C$38,'REKAP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SUMIFS(RAB!$F$14:$F$38,RAB!$C$14:$C$38,'REKAP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SUMIFS(RAB!$F$14:$F$38,RAB!$C$14:$C$38,'REKAP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SUMIFS(RAB!$F$14:$F$38,RAB!$C$14:$C$38,'REKAP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SUMIFS(RAB!$F$14:$F$38,RAB!$C$14:$C$38,'REKAP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SUMIFS(RAB!$F$14:$F$38,RAB!$C$14:$C$38,'REKAP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SUMIFS(RAB!$F$14:$F$38,RAB!$C$14:$C$38,'REKAP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SUMIFS(RAB!$F$14:$F$38,RAB!$C$14:$C$38,'REKAP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SUMIFS(RAB!$F$14:$F$38,RAB!$C$14:$C$38,'REKAP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SUMIFS(RAB!$F$14:$F$38,RAB!$C$14:$C$38,'REKAP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SUMIFS(RAB!$F$14:$F$38,RAB!$C$14:$C$38,'REKAP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SUMIFS(RAB!$F$14:$F$38,RAB!$C$14:$C$38,'REKAP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SUMIFS(RAB!$F$14:$F$38,RAB!$C$14:$C$38,'REKAP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UD BINTANG JAYA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DS KALISARI KEC SAYUNG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164 kVA MCCB 250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Kabel NYY 1 x 95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44</v>
      </c>
      <c r="G19" s="41">
        <f ca="1">IF(ISERROR(OFFSET('HARGA SATUAN'!$I$6,MATCH(C19,'HARGA SATUAN'!$C$7:$C$1492,0),0)),"",OFFSET('HARGA SATUAN'!$I$6,MATCH(C19,'HARGA SATUAN'!$C$7:$C$1492,0),0))</f>
        <v>140200</v>
      </c>
      <c r="H19" s="42">
        <f t="shared" ca="1" si="1"/>
        <v>6168800</v>
      </c>
      <c r="I19" s="42">
        <f t="shared" ca="1" si="2"/>
        <v>0</v>
      </c>
      <c r="J19" s="42">
        <f t="shared" ca="1" si="3"/>
        <v>0</v>
      </c>
      <c r="K19" s="43">
        <f t="shared" ca="1" si="0"/>
        <v>6168800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85705800</v>
      </c>
      <c r="I168" s="55">
        <f ca="1">SUM(I14:I167)</f>
        <v>0</v>
      </c>
      <c r="J168" s="55">
        <f ca="1">SUM(J14:J167)</f>
        <v>0</v>
      </c>
      <c r="K168" s="55">
        <f ca="1">SUM(K14:K167)</f>
        <v>85705800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8570580</v>
      </c>
      <c r="I169" s="60">
        <f ca="1">I168*0.1</f>
        <v>0</v>
      </c>
      <c r="J169" s="60">
        <f ca="1">J168*0.1</f>
        <v>0</v>
      </c>
      <c r="K169" s="60">
        <f ca="1">K168*0.1</f>
        <v>8570580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94276380</v>
      </c>
      <c r="I170" s="78">
        <f ca="1">SUM(I168:I169)</f>
        <v>0</v>
      </c>
      <c r="J170" s="61">
        <f ca="1">SUM(J168:J169)</f>
        <v>0</v>
      </c>
      <c r="K170" s="61">
        <f ca="1">SUM(K168:K169)</f>
        <v>94276380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SUMIFS(RAB!$F$14:$F$38,RAB!$C$14:$C$38,C224)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SUMIFS(RAB!$F$14:$F$38,RAB!$C$14:$C$38,C225)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SUMIFS(RAB!$F$14:$F$38,RAB!$C$14:$C$38,C226)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SUMIFS(RAB!$F$14:$F$38,RAB!$C$14:$C$38,C227)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SUMIFS(RAB!$F$14:$F$38,RAB!$C$14:$C$38,C228)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SUMIFS(RAB!$F$14:$F$38,RAB!$C$14:$C$38,C229)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SUMIFS(RAB!$F$14:$F$38,RAB!$C$14:$C$38,C230)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SUMIFS(RAB!$F$14:$F$38,RAB!$C$14:$C$38,C231)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SUMIFS(RAB!$F$14:$F$38,RAB!$C$14:$C$38,C232)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SUMIFS(RAB!$F$14:$F$38,RAB!$C$14:$C$38,C233)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SUMIFS(RAB!$F$14:$F$38,RAB!$C$14:$C$38,C234)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SUMIFS(RAB!$F$14:$F$38,RAB!$C$14:$C$38,C235)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SUMIFS(RAB!$F$14:$F$38,RAB!$C$14:$C$38,C236)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SUMIFS(RAB!$F$14:$F$38,RAB!$C$14:$C$38,C237)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SUMIFS(RAB!$F$14:$F$38,RAB!$C$14:$C$38,C238)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SUMIFS(RAB!$F$14:$F$38,RAB!$C$14:$C$38,C239)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SUMIFS(RAB!$F$14:$F$38,RAB!$C$14:$C$38,C240)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SUMIFS(RAB!$F$14:$F$38,RAB!$C$14:$C$38,C241)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SUMIFS(RAB!$F$14:$F$38,RAB!$C$14:$C$38,C242)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SUMIFS(RAB!$F$14:$F$38,RAB!$C$14:$C$38,C243)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SUMIFS(RAB!$F$14:$F$38,RAB!$C$14:$C$38,C244)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SUMIFS(RAB!$F$14:$F$38,RAB!$C$14:$C$38,C245)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SUMIFS(RAB!$F$14:$F$38,RAB!$C$14:$C$38,C246)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SUMIFS(RAB!$F$14:$F$38,RAB!$C$14:$C$38,C247)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SUMIFS(RAB!$F$14:$F$38,RAB!$C$14:$C$38,C248)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SUMIFS(RAB!$F$14:$F$38,RAB!$C$14:$C$38,C249)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SUMIFS(RAB!$F$14:$F$38,RAB!$C$14:$C$38,C250)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SUMIFS(RAB!$F$14:$F$38,RAB!$C$14:$C$38,C251)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SUMIFS(RAB!$F$14:$F$38,RAB!$C$14:$C$38,C252)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SUMIFS(RAB!$F$14:$F$38,RAB!$C$14:$C$38,C253)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SUMIFS(RAB!$F$14:$F$38,RAB!$C$14:$C$38,C254)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SUMIFS(RAB!$F$14:$F$38,RAB!$C$14:$C$38,C255)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SUMIFS(RAB!$F$14:$F$38,RAB!$C$14:$C$38,C256)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SUMIFS(RAB!$F$14:$F$38,RAB!$C$14:$C$38,C257)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SUMIFS(RAB!$F$14:$F$38,RAB!$C$14:$C$38,C258)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SUMIFS(RAB!$F$14:$F$38,RAB!$C$14:$C$38,C259)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SUMIFS(RAB!$F$14:$F$38,RAB!$C$14:$C$38,C260)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SUMIFS(RAB!$F$14:$F$38,RAB!$C$14:$C$38,C261)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SUMIFS(RAB!$F$14:$F$38,RAB!$C$14:$C$38,C262)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SUMIFS(RAB!$F$14:$F$38,RAB!$C$14:$C$38,C263)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SUMIFS(RAB!$F$14:$F$38,RAB!$C$14:$C$38,C264)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SUMIFS(RAB!$F$14:$F$38,RAB!$C$14:$C$38,C265)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SUMIFS(RAB!$F$14:$F$38,RAB!$C$14:$C$38,C266)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SUMIFS(RAB!$F$14:$F$38,RAB!$C$14:$C$38,C267)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SUMIFS(RAB!$F$14:$F$38,RAB!$C$14:$C$38,C268)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SUMIFS(RAB!$F$14:$F$38,RAB!$C$14:$C$38,C269)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SUMIFS(RAB!$F$14:$F$38,RAB!$C$14:$C$38,C270)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SUMIFS(RAB!$F$14:$F$38,RAB!$C$14:$C$38,C271)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SUMIFS(RAB!$F$14:$F$38,RAB!$C$14:$C$38,C272)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SUMIFS(RAB!$F$14:$F$38,RAB!$C$14:$C$38,C273)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SUMIFS(RAB!$F$14:$F$38,RAB!$C$14:$C$38,C274)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SUMIFS(RAB!$F$14:$F$38,RAB!$C$14:$C$38,C275)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SUMIFS(RAB!$F$14:$F$38,RAB!$C$14:$C$38,C276)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SUMIFS(RAB!$F$14:$F$38,RAB!$C$14:$C$38,C277)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SUMIFS(RAB!$F$14:$F$38,RAB!$C$14:$C$38,C278)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SUMIFS(RAB!$F$14:$F$38,RAB!$C$14:$C$38,C279)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SUMIFS(RAB!$F$14:$F$38,RAB!$C$14:$C$38,C280)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SUMIFS(RAB!$F$14:$F$38,RAB!$C$14:$C$38,C281)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SUMIFS(RAB!$F$14:$F$38,RAB!$C$14:$C$38,C282)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SUMIFS(RAB!$F$14:$F$38,RAB!$C$14:$C$38,C283)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SUMIFS(RAB!$F$14:$F$38,RAB!$C$14:$C$38,C284)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SUMIFS(RAB!$F$14:$F$38,RAB!$C$14:$C$38,C285)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SUMIFS(RAB!$F$14:$F$38,RAB!$C$14:$C$38,C286)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SUMIFS(RAB!$F$14:$F$38,RAB!$C$14:$C$38,C287)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SUMIFS(RAB!$F$14:$F$38,RAB!$C$14:$C$38,C288)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SUMIFS(RAB!$F$14:$F$38,RAB!$C$14:$C$38,C289)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SUMIFS(RAB!$F$14:$F$38,RAB!$C$14:$C$38,C290)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SUMIFS(RAB!$F$14:$F$38,RAB!$C$14:$C$38,C291)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SUMIFS(RAB!$F$14:$F$38,RAB!$C$14:$C$38,C292)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SUMIFS(RAB!$F$14:$F$38,RAB!$C$14:$C$38,C293)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SUMIFS(RAB!$F$14:$F$38,RAB!$C$14:$C$38,C294)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SUMIFS(RAB!$F$14:$F$38,RAB!$C$14:$C$38,C295)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SUMIFS(RAB!$F$14:$F$38,RAB!$C$14:$C$38,C296)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SUMIFS(RAB!$F$14:$F$38,RAB!$C$14:$C$38,C297)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SUMIFS(RAB!$F$14:$F$38,RAB!$C$14:$C$38,C298)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SUMIFS(RAB!$F$14:$F$38,RAB!$C$14:$C$38,C299)</f>
        <v>1</v>
      </c>
      <c r="E299" s="24">
        <f t="shared" ca="1" si="22"/>
        <v>1</v>
      </c>
      <c r="F299" s="24">
        <f ca="1">IF(D299=0,0,SUM($E$223:E299))</f>
        <v>2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SUMIFS(RAB!$F$14:$F$38,RAB!$C$14:$C$38,C300)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SUMIFS(RAB!$F$14:$F$38,RAB!$C$14:$C$38,C301)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SUMIFS(RAB!$F$14:$F$38,RAB!$C$14:$C$38,C302)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SUMIFS(RAB!$F$14:$F$38,RAB!$C$14:$C$38,C303)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SUMIFS(RAB!$F$14:$F$38,RAB!$C$14:$C$38,C304)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SUMIFS(RAB!$F$14:$F$38,RAB!$C$14:$C$38,C305)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SUMIFS(RAB!$F$14:$F$38,RAB!$C$14:$C$38,C306)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SUMIFS(RAB!$F$14:$F$38,RAB!$C$14:$C$38,C307)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SUMIFS(RAB!$F$14:$F$38,RAB!$C$14:$C$38,C308)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SUMIFS(RAB!$F$14:$F$38,RAB!$C$14:$C$38,C309)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SUMIFS(RAB!$F$14:$F$38,RAB!$C$14:$C$38,C310)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SUMIFS(RAB!$F$14:$F$38,RAB!$C$14:$C$38,C311)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SUMIFS(RAB!$F$14:$F$38,RAB!$C$14:$C$38,C312)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SUMIFS(RAB!$F$14:$F$38,RAB!$C$14:$C$38,C313)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SUMIFS(RAB!$F$14:$F$38,RAB!$C$14:$C$38,C314)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SUMIFS(RAB!$F$14:$F$38,RAB!$C$14:$C$38,C315)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SUMIFS(RAB!$F$14:$F$38,RAB!$C$14:$C$38,C316)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SUMIFS(RAB!$F$14:$F$38,RAB!$C$14:$C$38,C317)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SUMIFS(RAB!$F$14:$F$38,RAB!$C$14:$C$38,C318)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SUMIFS(RAB!$F$14:$F$38,RAB!$C$14:$C$38,C319)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SUMIFS(RAB!$F$14:$F$38,RAB!$C$14:$C$38,C320)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SUMIFS(RAB!$F$14:$F$38,RAB!$C$14:$C$38,C321)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SUMIFS(RAB!$F$14:$F$38,RAB!$C$14:$C$38,C322)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SUMIFS(RAB!$F$14:$F$38,RAB!$C$14:$C$38,C323)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SUMIFS(RAB!$F$14:$F$38,RAB!$C$14:$C$38,C324)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SUMIFS(RAB!$F$14:$F$38,RAB!$C$14:$C$38,C325)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SUMIFS(RAB!$F$14:$F$38,RAB!$C$14:$C$38,C326)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SUMIFS(RAB!$F$14:$F$38,RAB!$C$14:$C$38,C327)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SUMIFS(RAB!$F$14:$F$38,RAB!$C$14:$C$38,C328)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SUMIFS(RAB!$F$14:$F$38,RAB!$C$14:$C$38,C329)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SUMIFS(RAB!$F$14:$F$38,RAB!$C$14:$C$38,C330)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SUMIFS(RAB!$F$14:$F$38,RAB!$C$14:$C$38,C331)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SUMIFS(RAB!$F$14:$F$38,RAB!$C$14:$C$38,C332)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SUMIFS(RAB!$F$14:$F$38,RAB!$C$14:$C$38,C333)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SUMIFS(RAB!$F$14:$F$38,RAB!$C$14:$C$38,C334)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SUMIFS(RAB!$F$14:$F$38,RAB!$C$14:$C$38,C335)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SUMIFS(RAB!$F$14:$F$38,RAB!$C$14:$C$38,C336)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SUMIFS(RAB!$F$14:$F$38,RAB!$C$14:$C$38,C337)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SUMIFS(RAB!$F$14:$F$38,RAB!$C$14:$C$38,C338)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SUMIFS(RAB!$F$14:$F$38,RAB!$C$14:$C$38,C339)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SUMIFS(RAB!$F$14:$F$38,RAB!$C$14:$C$38,C340)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SUMIFS(RAB!$F$14:$F$38,RAB!$C$14:$C$38,C341)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SUMIFS(RAB!$F$14:$F$38,RAB!$C$14:$C$38,C342)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SUMIFS(RAB!$F$14:$F$38,RAB!$C$14:$C$38,C343)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SUMIFS(RAB!$F$14:$F$38,RAB!$C$14:$C$38,C344)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SUMIFS(RAB!$F$14:$F$38,RAB!$C$14:$C$38,C345)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SUMIFS(RAB!$F$14:$F$38,RAB!$C$14:$C$38,C346)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SUMIFS(RAB!$F$14:$F$38,RAB!$C$14:$C$38,C347)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SUMIFS(RAB!$F$14:$F$38,RAB!$C$14:$C$38,C348)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SUMIFS(RAB!$F$14:$F$38,RAB!$C$14:$C$38,C349)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SUMIFS(RAB!$F$14:$F$38,RAB!$C$14:$C$38,C350)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SUMIFS(RAB!$F$14:$F$38,RAB!$C$14:$C$38,C351)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SUMIFS(RAB!$F$14:$F$38,RAB!$C$14:$C$38,C352)</f>
        <v>44</v>
      </c>
      <c r="E352" s="24">
        <f t="shared" ca="1" si="22"/>
        <v>1</v>
      </c>
      <c r="F352" s="24">
        <f ca="1">IF(D352=0,0,SUM($E$223:E352))</f>
        <v>4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SUMIFS(RAB!$F$14:$F$38,RAB!$C$14:$C$38,C353)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SUMIFS(RAB!$F$14:$F$38,RAB!$C$14:$C$38,C354)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SUMIFS(RAB!$F$14:$F$38,RAB!$C$14:$C$38,C355)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SUMIFS(RAB!$F$14:$F$38,RAB!$C$14:$C$38,C356)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SUMIFS(RAB!$F$14:$F$38,RAB!$C$14:$C$38,C357)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SUMIFS(RAB!$F$14:$F$38,RAB!$C$14:$C$38,C358)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SUMIFS(RAB!$F$14:$F$38,RAB!$C$14:$C$38,C359)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SUMIFS(RAB!$F$14:$F$38,RAB!$C$14:$C$38,C360)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SUMIFS(RAB!$F$14:$F$38,RAB!$C$14:$C$38,C361)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SUMIFS(RAB!$F$14:$F$38,RAB!$C$14:$C$38,C362)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SUMIFS(RAB!$F$14:$F$38,RAB!$C$14:$C$38,C363)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SUMIFS(RAB!$F$14:$F$38,RAB!$C$14:$C$38,C364)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SUMIFS(RAB!$F$14:$F$38,RAB!$C$14:$C$38,C365)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SUMIFS(RAB!$F$14:$F$38,RAB!$C$14:$C$38,C366)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SUMIFS(RAB!$F$14:$F$38,RAB!$C$14:$C$38,C367)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SUMIFS(RAB!$F$14:$F$38,RAB!$C$14:$C$38,C368)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SUMIFS(RAB!$F$14:$F$38,RAB!$C$14:$C$38,C369)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SUMIFS(RAB!$F$14:$F$38,RAB!$C$14:$C$38,C370)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SUMIFS(RAB!$F$14:$F$38,RAB!$C$14:$C$38,C371)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SUMIFS(RAB!$F$14:$F$38,RAB!$C$14:$C$38,C372)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SUMIFS(RAB!$F$14:$F$38,RAB!$C$14:$C$38,C373)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42" sqref="C1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1609</v>
      </c>
      <c r="G4" s="108" t="s">
        <v>1608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Q15" sqref="Q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6" t="s">
        <v>1532</v>
      </c>
      <c r="C4" s="587"/>
      <c r="D4" s="587"/>
      <c r="E4" s="588"/>
      <c r="F4" s="440"/>
      <c r="G4" s="440"/>
      <c r="H4" s="441"/>
      <c r="I4" s="550" t="s">
        <v>1533</v>
      </c>
      <c r="J4" s="551"/>
      <c r="K4" s="551"/>
      <c r="L4" s="552"/>
    </row>
    <row r="5" spans="1:12" ht="34.5" customHeight="1">
      <c r="A5" s="204"/>
      <c r="B5" s="443" t="s">
        <v>1379</v>
      </c>
      <c r="C5" s="277" t="s">
        <v>9</v>
      </c>
      <c r="D5" s="582" t="str">
        <f>DATA!D14</f>
        <v>UD BINTANG JAYA</v>
      </c>
      <c r="E5" s="583"/>
      <c r="F5" s="208"/>
      <c r="G5" s="208"/>
      <c r="I5" s="444" t="s">
        <v>1379</v>
      </c>
      <c r="J5" s="277" t="s">
        <v>9</v>
      </c>
      <c r="K5" s="553" t="str">
        <f>D5</f>
        <v>UD BINTANG JAYA</v>
      </c>
      <c r="L5" s="554"/>
    </row>
    <row r="6" spans="1:12" ht="31.5" customHeight="1">
      <c r="A6" s="204"/>
      <c r="B6" s="443" t="s">
        <v>1529</v>
      </c>
      <c r="C6" s="277" t="s">
        <v>9</v>
      </c>
      <c r="D6" s="591">
        <f>DATA!D17*1000</f>
        <v>105000</v>
      </c>
      <c r="E6" s="592"/>
      <c r="F6" s="208"/>
      <c r="G6" s="208"/>
      <c r="I6" s="444" t="s">
        <v>1530</v>
      </c>
      <c r="J6" s="277" t="s">
        <v>9</v>
      </c>
      <c r="K6" s="555">
        <f>DATA!D20*1000</f>
        <v>764000</v>
      </c>
      <c r="L6" s="556"/>
    </row>
    <row r="7" spans="1:12" ht="30.75" customHeight="1">
      <c r="A7" s="204"/>
      <c r="B7" s="443" t="s">
        <v>1441</v>
      </c>
      <c r="C7" s="277" t="s">
        <v>9</v>
      </c>
      <c r="D7" s="589">
        <f>DATA!D18</f>
        <v>3</v>
      </c>
      <c r="E7" s="590"/>
      <c r="F7" s="442" t="s">
        <v>1453</v>
      </c>
      <c r="I7" s="444" t="s">
        <v>1441</v>
      </c>
      <c r="J7" s="277" t="s">
        <v>9</v>
      </c>
      <c r="K7" s="557">
        <f>DATA!D21</f>
        <v>3</v>
      </c>
      <c r="L7" s="558"/>
    </row>
    <row r="8" spans="1:12" ht="51" customHeight="1">
      <c r="A8" s="204"/>
      <c r="B8" s="443" t="s">
        <v>1442</v>
      </c>
      <c r="C8" s="277" t="s">
        <v>9</v>
      </c>
      <c r="D8" s="589">
        <f>DATA!D19</f>
        <v>380</v>
      </c>
      <c r="E8" s="590"/>
      <c r="F8" s="442" t="s">
        <v>1453</v>
      </c>
      <c r="G8" s="437">
        <v>220</v>
      </c>
      <c r="I8" s="444" t="s">
        <v>1442</v>
      </c>
      <c r="J8" s="277" t="s">
        <v>9</v>
      </c>
      <c r="K8" s="557">
        <f>DATA!D22</f>
        <v>380</v>
      </c>
      <c r="L8" s="558"/>
    </row>
    <row r="9" spans="1:12" ht="30" customHeight="1" thickBot="1">
      <c r="A9" s="204"/>
      <c r="B9" s="449" t="s">
        <v>1541</v>
      </c>
      <c r="C9" s="439" t="s">
        <v>9</v>
      </c>
      <c r="D9" s="584">
        <f>IF(D7=1,D6/(380/3^0.5),(D6/(380*3^0.5)))</f>
        <v>159.53099543397556</v>
      </c>
      <c r="E9" s="585"/>
      <c r="F9" s="207"/>
      <c r="G9" s="438">
        <v>380</v>
      </c>
      <c r="I9" s="450" t="s">
        <v>1541</v>
      </c>
      <c r="J9" s="439" t="s">
        <v>9</v>
      </c>
      <c r="K9" s="561">
        <f>IF(K7=1,K6/(380/3^0.5),(K6/(380*3^0.5)))</f>
        <v>1160.7779096338793</v>
      </c>
      <c r="L9" s="562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93"/>
      <c r="E12" s="594"/>
      <c r="F12" s="208"/>
      <c r="G12" s="208"/>
      <c r="I12" s="466" t="s">
        <v>1534</v>
      </c>
      <c r="J12" s="467" t="s">
        <v>9</v>
      </c>
      <c r="K12" s="593"/>
      <c r="L12" s="594"/>
    </row>
    <row r="13" spans="1:12" ht="31.5" customHeight="1">
      <c r="A13" s="204"/>
      <c r="B13" s="474" t="s">
        <v>1380</v>
      </c>
      <c r="C13" s="454" t="s">
        <v>9</v>
      </c>
      <c r="D13" s="559"/>
      <c r="E13" s="560"/>
      <c r="F13" s="208"/>
      <c r="G13" s="208"/>
      <c r="I13" s="468" t="s">
        <v>1380</v>
      </c>
      <c r="J13" s="454" t="s">
        <v>9</v>
      </c>
      <c r="K13" s="559"/>
      <c r="L13" s="560"/>
    </row>
    <row r="14" spans="1:12" ht="30.75" customHeight="1">
      <c r="A14" s="204"/>
      <c r="B14" s="474" t="s">
        <v>1535</v>
      </c>
      <c r="C14" s="454" t="s">
        <v>9</v>
      </c>
      <c r="D14" s="563">
        <v>100</v>
      </c>
      <c r="E14" s="564"/>
      <c r="F14" s="442" t="s">
        <v>1453</v>
      </c>
      <c r="G14" s="446">
        <v>50</v>
      </c>
      <c r="I14" s="468" t="s">
        <v>1535</v>
      </c>
      <c r="J14" s="454" t="s">
        <v>9</v>
      </c>
      <c r="K14" s="565">
        <v>200</v>
      </c>
      <c r="L14" s="566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67">
        <v>150</v>
      </c>
      <c r="E16" s="568"/>
      <c r="F16" s="442"/>
      <c r="G16" s="446">
        <v>160</v>
      </c>
      <c r="I16" s="468" t="s">
        <v>1537</v>
      </c>
      <c r="J16" s="454" t="s">
        <v>9</v>
      </c>
      <c r="K16" s="571">
        <f>K9</f>
        <v>1160.7779096338793</v>
      </c>
      <c r="L16" s="572"/>
    </row>
    <row r="17" spans="1:12" ht="34.5" customHeight="1">
      <c r="A17" s="204"/>
      <c r="B17" s="474" t="s">
        <v>1538</v>
      </c>
      <c r="C17" s="454" t="s">
        <v>9</v>
      </c>
      <c r="D17" s="569">
        <f>IF(D15=1,D14/(20/3^0.5),(D14/(20*3^0.5)))</f>
        <v>2.8867513459481291</v>
      </c>
      <c r="E17" s="570"/>
      <c r="F17" s="442" t="s">
        <v>1453</v>
      </c>
      <c r="G17" s="447">
        <v>200</v>
      </c>
      <c r="I17" s="468" t="s">
        <v>1538</v>
      </c>
      <c r="J17" s="454" t="s">
        <v>9</v>
      </c>
      <c r="K17" s="575">
        <f>IF(K15=1,K14/(20/3^0.5),(K14/(20*3^0.5)))</f>
        <v>5.7735026918962582</v>
      </c>
      <c r="L17" s="576"/>
    </row>
    <row r="18" spans="1:12" ht="34.5" customHeight="1">
      <c r="A18" s="204"/>
      <c r="B18" s="474" t="s">
        <v>1539</v>
      </c>
      <c r="C18" s="454" t="s">
        <v>9</v>
      </c>
      <c r="D18" s="569">
        <f>IF(D15=1,D14/(380/3^0.5),(D14/(380*3^0.5)))*1000</f>
        <v>151.93428136569102</v>
      </c>
      <c r="E18" s="570"/>
      <c r="F18" s="442" t="s">
        <v>1453</v>
      </c>
      <c r="G18" s="447">
        <v>250</v>
      </c>
      <c r="I18" s="468" t="s">
        <v>1539</v>
      </c>
      <c r="J18" s="454" t="s">
        <v>9</v>
      </c>
      <c r="K18" s="575">
        <f>IF(K15=1,K14/(380/3^0.5),(K14/(380*3^0.5)))*1000</f>
        <v>303.86856273138204</v>
      </c>
      <c r="L18" s="576"/>
    </row>
    <row r="19" spans="1:12" ht="30" customHeight="1">
      <c r="A19" s="204"/>
      <c r="B19" s="475" t="s">
        <v>1531</v>
      </c>
      <c r="C19" s="453" t="s">
        <v>9</v>
      </c>
      <c r="D19" s="569">
        <f>IF(D15=1,D14/(380/3^0.5),(D14/(380*3^0.5)))</f>
        <v>0.15193428136569101</v>
      </c>
      <c r="E19" s="570"/>
      <c r="F19" s="207"/>
      <c r="G19" s="438"/>
      <c r="I19" s="470" t="s">
        <v>1531</v>
      </c>
      <c r="J19" s="453" t="s">
        <v>9</v>
      </c>
      <c r="K19" s="575">
        <f>IF(K15=1,K14/(380/3^0.5),(K14/(380*3^0.5)))</f>
        <v>0.30386856273138202</v>
      </c>
      <c r="L19" s="576"/>
    </row>
    <row r="20" spans="1:12" ht="30" customHeight="1" thickBot="1">
      <c r="A20" s="204"/>
      <c r="B20" s="476" t="s">
        <v>1540</v>
      </c>
      <c r="C20" s="472" t="s">
        <v>9</v>
      </c>
      <c r="D20" s="595">
        <f>D16/D18</f>
        <v>0.98726896031425981</v>
      </c>
      <c r="E20" s="596"/>
      <c r="F20" s="207"/>
      <c r="G20" s="438"/>
      <c r="I20" s="471" t="s">
        <v>1531</v>
      </c>
      <c r="J20" s="472" t="s">
        <v>9</v>
      </c>
      <c r="K20" s="573">
        <f>K16/K18</f>
        <v>3.82</v>
      </c>
      <c r="L20" s="574"/>
    </row>
    <row r="21" spans="1:12" ht="9.75" customHeight="1">
      <c r="A21" s="204"/>
      <c r="B21" s="461" t="s">
        <v>1540</v>
      </c>
      <c r="C21" s="462" t="s">
        <v>9</v>
      </c>
      <c r="D21" s="580">
        <v>1</v>
      </c>
      <c r="E21" s="580"/>
      <c r="F21" s="463"/>
      <c r="G21" s="464"/>
      <c r="H21" s="465"/>
      <c r="I21" s="461" t="s">
        <v>1531</v>
      </c>
      <c r="J21" s="462" t="s">
        <v>9</v>
      </c>
      <c r="K21" s="580">
        <v>1</v>
      </c>
      <c r="L21" s="580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F24" sqref="F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7"/>
      <c r="C1" s="597"/>
      <c r="D1" s="59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659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510725000</v>
      </c>
    </row>
    <row r="10" spans="2:11" ht="20.100000000000001" customHeight="1">
      <c r="B10" s="291" t="s">
        <v>1446</v>
      </c>
      <c r="C10" s="292" t="s">
        <v>9</v>
      </c>
      <c r="D10" s="298">
        <f ca="1">RAB!K44</f>
        <v>94717565.400000006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1894351.3080000002</v>
      </c>
    </row>
    <row r="12" spans="2:11" ht="9" customHeight="1">
      <c r="B12" s="598"/>
      <c r="C12" s="598"/>
      <c r="D12" s="598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1627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1620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105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3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380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764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1458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972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775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E11" sqref="E11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UD BINTANG JAYA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9" t="s">
        <v>1349</v>
      </c>
      <c r="C5" s="599" t="s">
        <v>1358</v>
      </c>
      <c r="D5" s="604" t="s">
        <v>1359</v>
      </c>
      <c r="E5" s="604" t="s">
        <v>1360</v>
      </c>
      <c r="F5" s="599" t="s">
        <v>1361</v>
      </c>
      <c r="G5" s="599"/>
      <c r="H5" s="599"/>
      <c r="I5" s="599"/>
      <c r="J5" s="599"/>
      <c r="K5" s="599" t="s">
        <v>1362</v>
      </c>
      <c r="L5" s="599"/>
      <c r="M5" s="307"/>
      <c r="N5" s="602" t="s">
        <v>1363</v>
      </c>
      <c r="O5" s="604" t="s">
        <v>1364</v>
      </c>
      <c r="P5" s="604" t="s">
        <v>1365</v>
      </c>
      <c r="Q5" s="604" t="s">
        <v>1366</v>
      </c>
      <c r="R5" s="308"/>
      <c r="S5" s="309"/>
      <c r="T5" s="600" t="s">
        <v>1367</v>
      </c>
      <c r="U5" s="310"/>
    </row>
    <row r="6" spans="1:21" ht="20.100000000000001" customHeight="1">
      <c r="B6" s="599"/>
      <c r="C6" s="599"/>
      <c r="D6" s="599"/>
      <c r="E6" s="59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3"/>
      <c r="O6" s="599"/>
      <c r="P6" s="599"/>
      <c r="Q6" s="599"/>
      <c r="R6" s="308"/>
      <c r="S6" s="309"/>
      <c r="T6" s="599"/>
      <c r="U6" s="312"/>
    </row>
    <row r="7" spans="1:21" ht="20.100000000000001" customHeight="1">
      <c r="A7" s="313">
        <v>0</v>
      </c>
      <c r="B7" s="314">
        <v>2023</v>
      </c>
      <c r="C7" s="477">
        <f>DATA!D8*DATA!D26*8</f>
        <v>210880</v>
      </c>
      <c r="D7" s="316">
        <f>C7*4/24</f>
        <v>35146.666666666664</v>
      </c>
      <c r="E7" s="316">
        <f>C7-D7</f>
        <v>175733.33333333334</v>
      </c>
      <c r="F7" s="317">
        <f ca="1">DATA!D10/1000000</f>
        <v>94.717565400000012</v>
      </c>
      <c r="G7" s="318">
        <f ca="1">DATA!$D$11/1000000</f>
        <v>1.8943513080000003</v>
      </c>
      <c r="H7" s="318">
        <f>C7*DATA!$D$5/1000000</f>
        <v>228.62028967656283</v>
      </c>
      <c r="I7" s="318">
        <f>(C7*DATA!$D$5*DATA!$D$7)/1000000</f>
        <v>5.1439565177226632</v>
      </c>
      <c r="J7" s="316">
        <f ca="1">SUM(F7:I7)</f>
        <v>330.3761629022855</v>
      </c>
      <c r="K7" s="319">
        <f>DATA!D9/1000000</f>
        <v>510.72500000000002</v>
      </c>
      <c r="L7" s="316">
        <f>((D7*DATA!$D$23)/1000000)+((E7*DATA!$D$24)/1000000)</f>
        <v>222.05664000000002</v>
      </c>
      <c r="M7" s="316">
        <f>K7+L7</f>
        <v>732.78164000000004</v>
      </c>
      <c r="N7" s="316">
        <f ca="1">M7-J7</f>
        <v>402.40547709771454</v>
      </c>
      <c r="O7" s="314">
        <v>1</v>
      </c>
      <c r="P7" s="316">
        <f ca="1">O7*N7</f>
        <v>402.40547709771454</v>
      </c>
      <c r="Q7" s="316">
        <f ca="1">P7</f>
        <v>402.40547709771454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316320</v>
      </c>
      <c r="D8" s="316">
        <f>C8*4/24</f>
        <v>52720</v>
      </c>
      <c r="E8" s="316">
        <f t="shared" ref="E8:E32" si="0">C8-D8</f>
        <v>263600</v>
      </c>
      <c r="F8" s="314"/>
      <c r="G8" s="318">
        <f ca="1">DATA!$D$11/1000000</f>
        <v>1.8943513080000003</v>
      </c>
      <c r="H8" s="318">
        <f>C8*DATA!$D$5/1000000</f>
        <v>342.93043451484431</v>
      </c>
      <c r="I8" s="318">
        <f>(C8*DATA!$D$5*DATA!$D$7)/1000000</f>
        <v>7.715934776583997</v>
      </c>
      <c r="J8" s="316">
        <f t="shared" ref="J8:J32" ca="1" si="1">SUM(F8:I8)</f>
        <v>352.54072059942831</v>
      </c>
      <c r="K8" s="321"/>
      <c r="L8" s="316">
        <f>((D8*DATA!$D$23)/1000000)+((E8*DATA!$D$24)/1000000)</f>
        <v>333.08496000000002</v>
      </c>
      <c r="M8" s="316">
        <f t="shared" ref="M8:M32" si="2">K8+L8</f>
        <v>333.08496000000002</v>
      </c>
      <c r="N8" s="316">
        <f ca="1">M8-J8</f>
        <v>-19.455760599428288</v>
      </c>
      <c r="O8" s="315">
        <f>1/(1+'[93]Asumsi I'!$C$3)^(KKF!A8)</f>
        <v>0.89285714285714279</v>
      </c>
      <c r="P8" s="316">
        <f ca="1">O8*N8</f>
        <v>-17.371214820918112</v>
      </c>
      <c r="Q8" s="316">
        <f ca="1">Q7+P8</f>
        <v>385.03426227679643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316320</v>
      </c>
      <c r="D9" s="316">
        <f t="shared" ref="D9:D32" si="5">C9*4/24</f>
        <v>52720</v>
      </c>
      <c r="E9" s="316">
        <f t="shared" si="0"/>
        <v>263600</v>
      </c>
      <c r="F9" s="314"/>
      <c r="G9" s="318">
        <f ca="1">DATA!$D$11/1000000</f>
        <v>1.8943513080000003</v>
      </c>
      <c r="H9" s="318">
        <f>C9*DATA!$D$5/1000000</f>
        <v>342.93043451484431</v>
      </c>
      <c r="I9" s="318">
        <f>(C9*DATA!$D$5*DATA!$D$7)/1000000</f>
        <v>7.715934776583997</v>
      </c>
      <c r="J9" s="316">
        <f t="shared" ca="1" si="1"/>
        <v>352.54072059942831</v>
      </c>
      <c r="K9" s="316"/>
      <c r="L9" s="316">
        <f>((D9*DATA!$D$23)/1000000)+((E9*DATA!$D$24)/1000000)</f>
        <v>333.08496000000002</v>
      </c>
      <c r="M9" s="316">
        <f t="shared" si="2"/>
        <v>333.08496000000002</v>
      </c>
      <c r="N9" s="316">
        <f t="shared" ref="N9:N32" ca="1" si="6">M9-J9</f>
        <v>-19.455760599428288</v>
      </c>
      <c r="O9" s="322">
        <f>1/(1+'[93]Asumsi I'!$C$3)^(KKF!A9)</f>
        <v>0.79719387755102034</v>
      </c>
      <c r="P9" s="316">
        <f t="shared" ref="P9:P32" ca="1" si="7">O9*N9</f>
        <v>-15.510013232962601</v>
      </c>
      <c r="Q9" s="316">
        <f ca="1">Q8+P9</f>
        <v>369.52424904383383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316320</v>
      </c>
      <c r="D10" s="316">
        <f t="shared" si="5"/>
        <v>52720</v>
      </c>
      <c r="E10" s="316">
        <f t="shared" si="0"/>
        <v>263600</v>
      </c>
      <c r="F10" s="314"/>
      <c r="G10" s="318">
        <f ca="1">DATA!$D$11/1000000</f>
        <v>1.8943513080000003</v>
      </c>
      <c r="H10" s="318">
        <f>C10*DATA!$D$5/1000000</f>
        <v>342.93043451484431</v>
      </c>
      <c r="I10" s="318">
        <f>(C10*DATA!$D$5*DATA!$D$7)/1000000</f>
        <v>7.715934776583997</v>
      </c>
      <c r="J10" s="316">
        <f t="shared" ca="1" si="1"/>
        <v>352.54072059942831</v>
      </c>
      <c r="K10" s="314"/>
      <c r="L10" s="316">
        <f>((D10*DATA!$D$23)/1000000)+((E10*DATA!$D$24)/1000000)</f>
        <v>333.08496000000002</v>
      </c>
      <c r="M10" s="316">
        <f t="shared" si="2"/>
        <v>333.08496000000002</v>
      </c>
      <c r="N10" s="316">
        <f t="shared" ca="1" si="6"/>
        <v>-19.455760599428288</v>
      </c>
      <c r="O10" s="315">
        <f>1/(1+'[93]Asumsi I'!$C$3)^(KKF!A10)</f>
        <v>0.71178024781341087</v>
      </c>
      <c r="P10" s="316">
        <f t="shared" ca="1" si="7"/>
        <v>-13.848226100859462</v>
      </c>
      <c r="Q10" s="316">
        <f t="shared" ref="Q10:Q30" ca="1" si="9">Q9+P10</f>
        <v>355.67602294297438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316320</v>
      </c>
      <c r="D11" s="316">
        <f t="shared" si="5"/>
        <v>52720</v>
      </c>
      <c r="E11" s="316">
        <f t="shared" si="0"/>
        <v>263600</v>
      </c>
      <c r="F11" s="314"/>
      <c r="G11" s="318">
        <f ca="1">DATA!$D$11/1000000</f>
        <v>1.8943513080000003</v>
      </c>
      <c r="H11" s="318">
        <f>C11*DATA!$D$5/1000000</f>
        <v>342.93043451484431</v>
      </c>
      <c r="I11" s="318">
        <f>(C11*DATA!$D$5*DATA!$D$7)/1000000</f>
        <v>7.715934776583997</v>
      </c>
      <c r="J11" s="316">
        <f t="shared" ca="1" si="1"/>
        <v>352.54072059942831</v>
      </c>
      <c r="K11" s="314"/>
      <c r="L11" s="316">
        <f>((D11*DATA!$D$23)/1000000)+((E11*DATA!$D$24)/1000000)</f>
        <v>333.08496000000002</v>
      </c>
      <c r="M11" s="316">
        <f t="shared" si="2"/>
        <v>333.08496000000002</v>
      </c>
      <c r="N11" s="316">
        <f t="shared" ca="1" si="6"/>
        <v>-19.455760599428288</v>
      </c>
      <c r="O11" s="315">
        <f>1/(1+'[93]Asumsi I'!$C$3)^(KKF!A11)</f>
        <v>0.63551807840483121</v>
      </c>
      <c r="P11" s="316">
        <f t="shared" ca="1" si="7"/>
        <v>-12.364487590053093</v>
      </c>
      <c r="Q11" s="316">
        <f t="shared" ca="1" si="9"/>
        <v>343.31153535292128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316320</v>
      </c>
      <c r="D12" s="316">
        <f t="shared" si="5"/>
        <v>52720</v>
      </c>
      <c r="E12" s="316">
        <f t="shared" si="0"/>
        <v>263600</v>
      </c>
      <c r="F12" s="314"/>
      <c r="G12" s="318">
        <f ca="1">DATA!$D$11/1000000</f>
        <v>1.8943513080000003</v>
      </c>
      <c r="H12" s="318">
        <f>C12*DATA!$D$5/1000000</f>
        <v>342.93043451484431</v>
      </c>
      <c r="I12" s="318">
        <f>(C12*DATA!$D$5*DATA!$D$7)/1000000</f>
        <v>7.715934776583997</v>
      </c>
      <c r="J12" s="316">
        <f t="shared" ca="1" si="1"/>
        <v>352.54072059942831</v>
      </c>
      <c r="K12" s="314"/>
      <c r="L12" s="316">
        <f>((D12*DATA!$D$23)/1000000)+((E12*DATA!$D$24)/1000000)</f>
        <v>333.08496000000002</v>
      </c>
      <c r="M12" s="316">
        <f t="shared" si="2"/>
        <v>333.08496000000002</v>
      </c>
      <c r="N12" s="316">
        <f t="shared" ca="1" si="6"/>
        <v>-19.455760599428288</v>
      </c>
      <c r="O12" s="315">
        <f>1/(1+'[93]Asumsi I'!$C$3)^(KKF!A12)</f>
        <v>0.56742685571859919</v>
      </c>
      <c r="P12" s="316">
        <f t="shared" ca="1" si="7"/>
        <v>-11.039721062547402</v>
      </c>
      <c r="Q12" s="316">
        <f t="shared" ca="1" si="9"/>
        <v>332.27181429037387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316320</v>
      </c>
      <c r="D13" s="316">
        <f t="shared" si="5"/>
        <v>52720</v>
      </c>
      <c r="E13" s="316">
        <f t="shared" si="0"/>
        <v>263600</v>
      </c>
      <c r="F13" s="314"/>
      <c r="G13" s="318">
        <f ca="1">DATA!$D$11/1000000</f>
        <v>1.8943513080000003</v>
      </c>
      <c r="H13" s="318">
        <f>C13*DATA!$D$5/1000000</f>
        <v>342.93043451484431</v>
      </c>
      <c r="I13" s="318">
        <f>(C13*DATA!$D$5*DATA!$D$7)/1000000</f>
        <v>7.715934776583997</v>
      </c>
      <c r="J13" s="316">
        <f t="shared" ca="1" si="1"/>
        <v>352.54072059942831</v>
      </c>
      <c r="K13" s="314"/>
      <c r="L13" s="316">
        <f>((D13*DATA!$D$23)/1000000)+((E13*DATA!$D$24)/1000000)</f>
        <v>333.08496000000002</v>
      </c>
      <c r="M13" s="316">
        <f t="shared" si="2"/>
        <v>333.08496000000002</v>
      </c>
      <c r="N13" s="316">
        <f t="shared" ca="1" si="6"/>
        <v>-19.455760599428288</v>
      </c>
      <c r="O13" s="315">
        <f>1/(1+'[93]Asumsi I'!$C$3)^(KKF!A13)</f>
        <v>0.50663112117732068</v>
      </c>
      <c r="P13" s="316">
        <f t="shared" ca="1" si="7"/>
        <v>-9.8568938058458944</v>
      </c>
      <c r="Q13" s="316">
        <f t="shared" ca="1" si="9"/>
        <v>322.41492048452795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316320</v>
      </c>
      <c r="D14" s="316">
        <f t="shared" si="5"/>
        <v>52720</v>
      </c>
      <c r="E14" s="316">
        <f t="shared" si="0"/>
        <v>263600</v>
      </c>
      <c r="F14" s="314"/>
      <c r="G14" s="318">
        <f ca="1">DATA!$D$11/1000000</f>
        <v>1.8943513080000003</v>
      </c>
      <c r="H14" s="318">
        <f>C14*DATA!$D$5/1000000</f>
        <v>342.93043451484431</v>
      </c>
      <c r="I14" s="318">
        <f>(C14*DATA!$D$5*DATA!$D$7)/1000000</f>
        <v>7.715934776583997</v>
      </c>
      <c r="J14" s="316">
        <f t="shared" ca="1" si="1"/>
        <v>352.54072059942831</v>
      </c>
      <c r="K14" s="314"/>
      <c r="L14" s="316">
        <f>((D14*DATA!$D$23)/1000000)+((E14*DATA!$D$24)/1000000)</f>
        <v>333.08496000000002</v>
      </c>
      <c r="M14" s="316">
        <f t="shared" si="2"/>
        <v>333.08496000000002</v>
      </c>
      <c r="N14" s="316">
        <f t="shared" ca="1" si="6"/>
        <v>-19.455760599428288</v>
      </c>
      <c r="O14" s="315">
        <f>1/(1+'[93]Asumsi I'!$C$3)^(KKF!A14)</f>
        <v>0.45234921533689343</v>
      </c>
      <c r="P14" s="316">
        <f t="shared" ca="1" si="7"/>
        <v>-8.8007980409338327</v>
      </c>
      <c r="Q14" s="316">
        <f t="shared" ca="1" si="9"/>
        <v>313.61412244359411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316320</v>
      </c>
      <c r="D15" s="316">
        <f t="shared" si="5"/>
        <v>52720</v>
      </c>
      <c r="E15" s="316">
        <f t="shared" si="0"/>
        <v>263600</v>
      </c>
      <c r="F15" s="314"/>
      <c r="G15" s="318">
        <f ca="1">DATA!$D$11/1000000</f>
        <v>1.8943513080000003</v>
      </c>
      <c r="H15" s="318">
        <f>C15*DATA!$D$5/1000000</f>
        <v>342.93043451484431</v>
      </c>
      <c r="I15" s="318">
        <f>(C15*DATA!$D$5*DATA!$D$7)/1000000</f>
        <v>7.715934776583997</v>
      </c>
      <c r="J15" s="316">
        <f t="shared" ca="1" si="1"/>
        <v>352.54072059942831</v>
      </c>
      <c r="K15" s="314"/>
      <c r="L15" s="316">
        <f>((D15*DATA!$D$23)/1000000)+((E15*DATA!$D$24)/1000000)</f>
        <v>333.08496000000002</v>
      </c>
      <c r="M15" s="316">
        <f t="shared" si="2"/>
        <v>333.08496000000002</v>
      </c>
      <c r="N15" s="316">
        <f t="shared" ca="1" si="6"/>
        <v>-19.455760599428288</v>
      </c>
      <c r="O15" s="315">
        <f>1/(1+'[93]Asumsi I'!$C$3)^(KKF!A15)</f>
        <v>0.4038832279793691</v>
      </c>
      <c r="P15" s="316">
        <f t="shared" ca="1" si="7"/>
        <v>-7.8578553936909223</v>
      </c>
      <c r="Q15" s="316">
        <f t="shared" ca="1" si="9"/>
        <v>305.75626704990322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316320</v>
      </c>
      <c r="D16" s="316">
        <f t="shared" si="5"/>
        <v>52720</v>
      </c>
      <c r="E16" s="316">
        <f t="shared" si="0"/>
        <v>263600</v>
      </c>
      <c r="F16" s="314"/>
      <c r="G16" s="318">
        <f ca="1">DATA!$D$11/1000000</f>
        <v>1.8943513080000003</v>
      </c>
      <c r="H16" s="318">
        <f>C16*DATA!$D$5/1000000</f>
        <v>342.93043451484431</v>
      </c>
      <c r="I16" s="318">
        <f>(C16*DATA!$D$5*DATA!$D$7)/1000000</f>
        <v>7.715934776583997</v>
      </c>
      <c r="J16" s="316">
        <f t="shared" ca="1" si="1"/>
        <v>352.54072059942831</v>
      </c>
      <c r="K16" s="314"/>
      <c r="L16" s="316">
        <f>((D16*DATA!$D$23)/1000000)+((E16*DATA!$D$24)/1000000)</f>
        <v>333.08496000000002</v>
      </c>
      <c r="M16" s="316">
        <f t="shared" si="2"/>
        <v>333.08496000000002</v>
      </c>
      <c r="N16" s="316">
        <f t="shared" ca="1" si="6"/>
        <v>-19.455760599428288</v>
      </c>
      <c r="O16" s="315">
        <f>1/(1+'[93]Asumsi I'!$C$3)^(KKF!A16)</f>
        <v>0.36061002498157957</v>
      </c>
      <c r="P16" s="316">
        <f t="shared" ca="1" si="7"/>
        <v>-7.0159423157954661</v>
      </c>
      <c r="Q16" s="316">
        <f t="shared" ca="1" si="9"/>
        <v>298.74032473410773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316320</v>
      </c>
      <c r="D17" s="316">
        <f t="shared" si="5"/>
        <v>52720</v>
      </c>
      <c r="E17" s="316">
        <f t="shared" si="0"/>
        <v>263600</v>
      </c>
      <c r="F17" s="314"/>
      <c r="G17" s="318">
        <f ca="1">DATA!$D$11/1000000</f>
        <v>1.8943513080000003</v>
      </c>
      <c r="H17" s="318">
        <f>C17*DATA!$D$5/1000000</f>
        <v>342.93043451484431</v>
      </c>
      <c r="I17" s="318">
        <f>(C17*DATA!$D$5*DATA!$D$7)/1000000</f>
        <v>7.715934776583997</v>
      </c>
      <c r="J17" s="316">
        <f t="shared" ca="1" si="1"/>
        <v>352.54072059942831</v>
      </c>
      <c r="K17" s="314"/>
      <c r="L17" s="316">
        <f>((D17*DATA!$D$23)/1000000)+((E17*DATA!$D$24)/1000000)</f>
        <v>333.08496000000002</v>
      </c>
      <c r="M17" s="316">
        <f t="shared" si="2"/>
        <v>333.08496000000002</v>
      </c>
      <c r="N17" s="316">
        <f t="shared" ca="1" si="6"/>
        <v>-19.455760599428288</v>
      </c>
      <c r="O17" s="315">
        <f>1/(1+'[93]Asumsi I'!$C$3)^(KKF!A17)</f>
        <v>0.32197323659069599</v>
      </c>
      <c r="P17" s="316">
        <f t="shared" ca="1" si="7"/>
        <v>-6.2642342105316651</v>
      </c>
      <c r="Q17" s="316">
        <f t="shared" ca="1" si="9"/>
        <v>292.47609052357609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316320</v>
      </c>
      <c r="D18" s="316">
        <f t="shared" si="5"/>
        <v>52720</v>
      </c>
      <c r="E18" s="316">
        <f t="shared" si="0"/>
        <v>263600</v>
      </c>
      <c r="F18" s="314"/>
      <c r="G18" s="318">
        <f ca="1">DATA!$D$11/1000000</f>
        <v>1.8943513080000003</v>
      </c>
      <c r="H18" s="318">
        <f>C18*DATA!$D$5/1000000</f>
        <v>342.93043451484431</v>
      </c>
      <c r="I18" s="318">
        <f>(C18*DATA!$D$5*DATA!$D$7)/1000000</f>
        <v>7.715934776583997</v>
      </c>
      <c r="J18" s="316">
        <f t="shared" ca="1" si="1"/>
        <v>352.54072059942831</v>
      </c>
      <c r="K18" s="314"/>
      <c r="L18" s="316">
        <f>((D18*DATA!$D$23)/1000000)+((E18*DATA!$D$24)/1000000)</f>
        <v>333.08496000000002</v>
      </c>
      <c r="M18" s="316">
        <f t="shared" si="2"/>
        <v>333.08496000000002</v>
      </c>
      <c r="N18" s="316">
        <f t="shared" ca="1" si="6"/>
        <v>-19.455760599428288</v>
      </c>
      <c r="O18" s="315">
        <f>1/(1+'[93]Asumsi I'!$C$3)^(KKF!A18)</f>
        <v>0.28747610409883567</v>
      </c>
      <c r="P18" s="316">
        <f t="shared" ca="1" si="7"/>
        <v>-5.5930662594032716</v>
      </c>
      <c r="Q18" s="316">
        <f t="shared" ca="1" si="9"/>
        <v>286.88302426417283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316320</v>
      </c>
      <c r="D19" s="316">
        <f t="shared" si="5"/>
        <v>52720</v>
      </c>
      <c r="E19" s="316">
        <f t="shared" si="0"/>
        <v>263600</v>
      </c>
      <c r="F19" s="314"/>
      <c r="G19" s="318">
        <f ca="1">DATA!$D$11/1000000</f>
        <v>1.8943513080000003</v>
      </c>
      <c r="H19" s="318">
        <f>C19*DATA!$D$5/1000000</f>
        <v>342.93043451484431</v>
      </c>
      <c r="I19" s="318">
        <f>(C19*DATA!$D$5*DATA!$D$7)/1000000</f>
        <v>7.715934776583997</v>
      </c>
      <c r="J19" s="316">
        <f t="shared" ca="1" si="1"/>
        <v>352.54072059942831</v>
      </c>
      <c r="K19" s="314"/>
      <c r="L19" s="316">
        <f>((D19*DATA!$D$23)/1000000)+((E19*DATA!$D$24)/1000000)</f>
        <v>333.08496000000002</v>
      </c>
      <c r="M19" s="316">
        <f t="shared" si="2"/>
        <v>333.08496000000002</v>
      </c>
      <c r="N19" s="316">
        <f t="shared" ca="1" si="6"/>
        <v>-19.455760599428288</v>
      </c>
      <c r="O19" s="315">
        <f>1/(1+'[93]Asumsi I'!$C$3)^(KKF!A19)</f>
        <v>0.25667509294538904</v>
      </c>
      <c r="P19" s="316">
        <f t="shared" ca="1" si="7"/>
        <v>-4.9938091601814936</v>
      </c>
      <c r="Q19" s="316">
        <f t="shared" ca="1" si="9"/>
        <v>281.88921510399132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316320</v>
      </c>
      <c r="D20" s="316">
        <f t="shared" si="5"/>
        <v>52720</v>
      </c>
      <c r="E20" s="316">
        <f t="shared" si="0"/>
        <v>263600</v>
      </c>
      <c r="F20" s="314"/>
      <c r="G20" s="318">
        <f ca="1">DATA!$D$11/1000000</f>
        <v>1.8943513080000003</v>
      </c>
      <c r="H20" s="318">
        <f>C20*DATA!$D$5/1000000</f>
        <v>342.93043451484431</v>
      </c>
      <c r="I20" s="318">
        <f>(C20*DATA!$D$5*DATA!$D$7)/1000000</f>
        <v>7.715934776583997</v>
      </c>
      <c r="J20" s="316">
        <f t="shared" ca="1" si="1"/>
        <v>352.54072059942831</v>
      </c>
      <c r="K20" s="314"/>
      <c r="L20" s="316">
        <f>((D20*DATA!$D$23)/1000000)+((E20*DATA!$D$24)/1000000)</f>
        <v>333.08496000000002</v>
      </c>
      <c r="M20" s="316">
        <f t="shared" si="2"/>
        <v>333.08496000000002</v>
      </c>
      <c r="N20" s="316">
        <f t="shared" ca="1" si="6"/>
        <v>-19.455760599428288</v>
      </c>
      <c r="O20" s="315">
        <f>1/(1+'[93]Asumsi I'!$C$3)^(KKF!A20)</f>
        <v>0.22917419012981158</v>
      </c>
      <c r="P20" s="316">
        <f t="shared" ca="1" si="7"/>
        <v>-4.4587581787334756</v>
      </c>
      <c r="Q20" s="316">
        <f t="shared" ca="1" si="9"/>
        <v>277.43045692525783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316320</v>
      </c>
      <c r="D21" s="316">
        <f t="shared" si="5"/>
        <v>52720</v>
      </c>
      <c r="E21" s="316">
        <f t="shared" si="0"/>
        <v>263600</v>
      </c>
      <c r="F21" s="314"/>
      <c r="G21" s="318">
        <f ca="1">DATA!$D$11/1000000</f>
        <v>1.8943513080000003</v>
      </c>
      <c r="H21" s="318">
        <f>C21*DATA!$D$5/1000000</f>
        <v>342.93043451484431</v>
      </c>
      <c r="I21" s="318">
        <f>(C21*DATA!$D$5*DATA!$D$7)/1000000</f>
        <v>7.715934776583997</v>
      </c>
      <c r="J21" s="316">
        <f t="shared" ca="1" si="1"/>
        <v>352.54072059942831</v>
      </c>
      <c r="K21" s="314"/>
      <c r="L21" s="316">
        <f>((D21*DATA!$D$23)/1000000)+((E21*DATA!$D$24)/1000000)</f>
        <v>333.08496000000002</v>
      </c>
      <c r="M21" s="316">
        <f t="shared" si="2"/>
        <v>333.08496000000002</v>
      </c>
      <c r="N21" s="316">
        <f t="shared" ca="1" si="6"/>
        <v>-19.455760599428288</v>
      </c>
      <c r="O21" s="315">
        <f>1/(1+'[93]Asumsi I'!$C$3)^(KKF!A21)</f>
        <v>0.20461981261590317</v>
      </c>
      <c r="P21" s="316">
        <f t="shared" ca="1" si="7"/>
        <v>-3.9810340881548885</v>
      </c>
      <c r="Q21" s="316">
        <f t="shared" ca="1" si="9"/>
        <v>273.44942283710293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316320</v>
      </c>
      <c r="D22" s="316">
        <f t="shared" si="5"/>
        <v>52720</v>
      </c>
      <c r="E22" s="316">
        <f t="shared" si="0"/>
        <v>263600</v>
      </c>
      <c r="F22" s="314"/>
      <c r="G22" s="318">
        <f ca="1">DATA!$D$11/1000000</f>
        <v>1.8943513080000003</v>
      </c>
      <c r="H22" s="318">
        <f>C22*DATA!$D$5/1000000</f>
        <v>342.93043451484431</v>
      </c>
      <c r="I22" s="318">
        <f>(C22*DATA!$D$5*DATA!$D$7)/1000000</f>
        <v>7.715934776583997</v>
      </c>
      <c r="J22" s="316">
        <f t="shared" ca="1" si="1"/>
        <v>352.54072059942831</v>
      </c>
      <c r="K22" s="314"/>
      <c r="L22" s="316">
        <f>((D22*DATA!$D$23)/1000000)+((E22*DATA!$D$24)/1000000)</f>
        <v>333.08496000000002</v>
      </c>
      <c r="M22" s="316">
        <f t="shared" si="2"/>
        <v>333.08496000000002</v>
      </c>
      <c r="N22" s="316">
        <f t="shared" ca="1" si="6"/>
        <v>-19.455760599428288</v>
      </c>
      <c r="O22" s="315">
        <f>1/(1+'[93]Asumsi I'!$C$3)^(KKF!A22)</f>
        <v>0.18269626126419927</v>
      </c>
      <c r="P22" s="316">
        <f t="shared" ca="1" si="7"/>
        <v>-3.554494721566865</v>
      </c>
      <c r="Q22" s="316">
        <f t="shared" ca="1" si="9"/>
        <v>269.89492811553606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316320</v>
      </c>
      <c r="D23" s="316">
        <f t="shared" si="5"/>
        <v>52720</v>
      </c>
      <c r="E23" s="316">
        <f t="shared" si="0"/>
        <v>263600</v>
      </c>
      <c r="F23" s="314"/>
      <c r="G23" s="318">
        <f ca="1">DATA!$D$11/1000000</f>
        <v>1.8943513080000003</v>
      </c>
      <c r="H23" s="318">
        <f>C23*DATA!$D$5/1000000</f>
        <v>342.93043451484431</v>
      </c>
      <c r="I23" s="318">
        <f>(C23*DATA!$D$5*DATA!$D$7)/1000000</f>
        <v>7.715934776583997</v>
      </c>
      <c r="J23" s="316">
        <f t="shared" ca="1" si="1"/>
        <v>352.54072059942831</v>
      </c>
      <c r="K23" s="314"/>
      <c r="L23" s="316">
        <f>((D23*DATA!$D$23)/1000000)+((E23*DATA!$D$24)/1000000)</f>
        <v>333.08496000000002</v>
      </c>
      <c r="M23" s="316">
        <f t="shared" si="2"/>
        <v>333.08496000000002</v>
      </c>
      <c r="N23" s="316">
        <f t="shared" ca="1" si="6"/>
        <v>-19.455760599428288</v>
      </c>
      <c r="O23" s="315">
        <f>1/(1+'[93]Asumsi I'!$C$3)^(KKF!A23)</f>
        <v>0.16312166184303503</v>
      </c>
      <c r="P23" s="316">
        <f t="shared" ca="1" si="7"/>
        <v>-3.1736560013989856</v>
      </c>
      <c r="Q23" s="316">
        <f t="shared" ca="1" si="9"/>
        <v>266.72127211413709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316320</v>
      </c>
      <c r="D24" s="316">
        <f t="shared" si="5"/>
        <v>52720</v>
      </c>
      <c r="E24" s="316">
        <f t="shared" si="0"/>
        <v>263600</v>
      </c>
      <c r="F24" s="314"/>
      <c r="G24" s="318">
        <f ca="1">DATA!$D$11/1000000</f>
        <v>1.8943513080000003</v>
      </c>
      <c r="H24" s="318">
        <f>C24*DATA!$D$5/1000000</f>
        <v>342.93043451484431</v>
      </c>
      <c r="I24" s="318">
        <f>(C24*DATA!$D$5*DATA!$D$7)/1000000</f>
        <v>7.715934776583997</v>
      </c>
      <c r="J24" s="316">
        <f t="shared" ca="1" si="1"/>
        <v>352.54072059942831</v>
      </c>
      <c r="K24" s="314"/>
      <c r="L24" s="316">
        <f>((D24*DATA!$D$23)/1000000)+((E24*DATA!$D$24)/1000000)</f>
        <v>333.08496000000002</v>
      </c>
      <c r="M24" s="316">
        <f t="shared" si="2"/>
        <v>333.08496000000002</v>
      </c>
      <c r="N24" s="316">
        <f t="shared" ca="1" si="6"/>
        <v>-19.455760599428288</v>
      </c>
      <c r="O24" s="315">
        <f>1/(1+'[93]Asumsi I'!$C$3)^(KKF!A24)</f>
        <v>0.14564434093128129</v>
      </c>
      <c r="P24" s="316">
        <f t="shared" ca="1" si="7"/>
        <v>-2.8336214298205231</v>
      </c>
      <c r="Q24" s="316">
        <f t="shared" ca="1" si="9"/>
        <v>263.88765068431655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316320</v>
      </c>
      <c r="D25" s="316">
        <f t="shared" si="5"/>
        <v>52720</v>
      </c>
      <c r="E25" s="316">
        <f t="shared" si="0"/>
        <v>263600</v>
      </c>
      <c r="F25" s="314"/>
      <c r="G25" s="318">
        <f ca="1">DATA!$D$11/1000000</f>
        <v>1.8943513080000003</v>
      </c>
      <c r="H25" s="318">
        <f>C25*DATA!$D$5/1000000</f>
        <v>342.93043451484431</v>
      </c>
      <c r="I25" s="318">
        <f>(C25*DATA!$D$5*DATA!$D$7)/1000000</f>
        <v>7.715934776583997</v>
      </c>
      <c r="J25" s="316">
        <f t="shared" ca="1" si="1"/>
        <v>352.54072059942831</v>
      </c>
      <c r="K25" s="314"/>
      <c r="L25" s="316">
        <f>((D25*DATA!$D$23)/1000000)+((E25*DATA!$D$24)/1000000)</f>
        <v>333.08496000000002</v>
      </c>
      <c r="M25" s="316">
        <f t="shared" si="2"/>
        <v>333.08496000000002</v>
      </c>
      <c r="N25" s="316">
        <f t="shared" ca="1" si="6"/>
        <v>-19.455760599428288</v>
      </c>
      <c r="O25" s="315">
        <f>1/(1+'[93]Asumsi I'!$C$3)^(KKF!A25)</f>
        <v>0.13003959011721541</v>
      </c>
      <c r="P25" s="316">
        <f t="shared" ca="1" si="7"/>
        <v>-2.5300191337683238</v>
      </c>
      <c r="Q25" s="316">
        <f t="shared" ca="1" si="9"/>
        <v>261.35763155054821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316320</v>
      </c>
      <c r="D26" s="316">
        <f t="shared" si="5"/>
        <v>52720</v>
      </c>
      <c r="E26" s="316">
        <f t="shared" si="0"/>
        <v>263600</v>
      </c>
      <c r="F26" s="314"/>
      <c r="G26" s="318">
        <f ca="1">DATA!$D$11/1000000</f>
        <v>1.8943513080000003</v>
      </c>
      <c r="H26" s="318">
        <f>C26*DATA!$D$5/1000000</f>
        <v>342.93043451484431</v>
      </c>
      <c r="I26" s="318">
        <f>(C26*DATA!$D$5*DATA!$D$7)/1000000</f>
        <v>7.715934776583997</v>
      </c>
      <c r="J26" s="316">
        <f t="shared" ca="1" si="1"/>
        <v>352.54072059942831</v>
      </c>
      <c r="K26" s="314"/>
      <c r="L26" s="316">
        <f>((D26*DATA!$D$23)/1000000)+((E26*DATA!$D$24)/1000000)</f>
        <v>333.08496000000002</v>
      </c>
      <c r="M26" s="316">
        <f t="shared" si="2"/>
        <v>333.08496000000002</v>
      </c>
      <c r="N26" s="316">
        <f t="shared" ca="1" si="6"/>
        <v>-19.455760599428288</v>
      </c>
      <c r="O26" s="315">
        <f>1/(1+'[93]Asumsi I'!$C$3)^(KKF!A26)</f>
        <v>0.1161067768903709</v>
      </c>
      <c r="P26" s="316">
        <f t="shared" ca="1" si="7"/>
        <v>-2.2589456551502889</v>
      </c>
      <c r="Q26" s="316">
        <f t="shared" ca="1" si="9"/>
        <v>259.09868589539792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316320</v>
      </c>
      <c r="D27" s="316">
        <f t="shared" si="5"/>
        <v>52720</v>
      </c>
      <c r="E27" s="316">
        <f t="shared" si="0"/>
        <v>263600</v>
      </c>
      <c r="F27" s="314"/>
      <c r="G27" s="318">
        <f ca="1">DATA!$D$11/1000000</f>
        <v>1.8943513080000003</v>
      </c>
      <c r="H27" s="318">
        <f>C27*DATA!$D$5/1000000</f>
        <v>342.93043451484431</v>
      </c>
      <c r="I27" s="318">
        <f>(C27*DATA!$D$5*DATA!$D$7)/1000000</f>
        <v>7.715934776583997</v>
      </c>
      <c r="J27" s="316">
        <f t="shared" ca="1" si="1"/>
        <v>352.54072059942831</v>
      </c>
      <c r="K27" s="314"/>
      <c r="L27" s="316">
        <f>((D27*DATA!$D$23)/1000000)+((E27*DATA!$D$24)/1000000)</f>
        <v>333.08496000000002</v>
      </c>
      <c r="M27" s="316">
        <f t="shared" si="2"/>
        <v>333.08496000000002</v>
      </c>
      <c r="N27" s="316">
        <f t="shared" ca="1" si="6"/>
        <v>-19.455760599428288</v>
      </c>
      <c r="O27" s="315">
        <f>1/(1+'[93]Asumsi I'!$C$3)^(KKF!A27)</f>
        <v>0.1036667650806883</v>
      </c>
      <c r="P27" s="316">
        <f t="shared" ca="1" si="7"/>
        <v>-2.0169157635270438</v>
      </c>
      <c r="Q27" s="316">
        <f t="shared" ca="1" si="9"/>
        <v>257.08177013187088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316320</v>
      </c>
      <c r="D28" s="316">
        <f t="shared" si="5"/>
        <v>52720</v>
      </c>
      <c r="E28" s="316">
        <f t="shared" si="0"/>
        <v>263600</v>
      </c>
      <c r="F28" s="314"/>
      <c r="G28" s="318">
        <f ca="1">DATA!$D$11/1000000</f>
        <v>1.8943513080000003</v>
      </c>
      <c r="H28" s="318">
        <f>C28*DATA!$D$5/1000000</f>
        <v>342.93043451484431</v>
      </c>
      <c r="I28" s="318">
        <f>(C28*DATA!$D$5*DATA!$D$7)/1000000</f>
        <v>7.715934776583997</v>
      </c>
      <c r="J28" s="316">
        <f t="shared" ca="1" si="1"/>
        <v>352.54072059942831</v>
      </c>
      <c r="K28" s="314"/>
      <c r="L28" s="316">
        <f>((D28*DATA!$D$23)/1000000)+((E28*DATA!$D$24)/1000000)</f>
        <v>333.08496000000002</v>
      </c>
      <c r="M28" s="316">
        <f t="shared" si="2"/>
        <v>333.08496000000002</v>
      </c>
      <c r="N28" s="316">
        <f t="shared" ca="1" si="6"/>
        <v>-19.455760599428288</v>
      </c>
      <c r="O28" s="315">
        <f>1/(1+'[93]Asumsi I'!$C$3)^(KKF!A28)</f>
        <v>9.2559611679185971E-2</v>
      </c>
      <c r="P28" s="316">
        <f t="shared" ca="1" si="7"/>
        <v>-1.8008176460062888</v>
      </c>
      <c r="Q28" s="316">
        <f t="shared" ca="1" si="9"/>
        <v>255.28095248586459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316320</v>
      </c>
      <c r="D29" s="316">
        <f t="shared" si="5"/>
        <v>52720</v>
      </c>
      <c r="E29" s="316">
        <f t="shared" si="0"/>
        <v>263600</v>
      </c>
      <c r="F29" s="314"/>
      <c r="G29" s="318">
        <f ca="1">DATA!$D$11/1000000</f>
        <v>1.8943513080000003</v>
      </c>
      <c r="H29" s="318">
        <f>C29*DATA!$D$5/1000000</f>
        <v>342.93043451484431</v>
      </c>
      <c r="I29" s="318">
        <f>(C29*DATA!$D$5*DATA!$D$7)/1000000</f>
        <v>7.715934776583997</v>
      </c>
      <c r="J29" s="316">
        <f t="shared" ca="1" si="1"/>
        <v>352.54072059942831</v>
      </c>
      <c r="K29" s="314"/>
      <c r="L29" s="316">
        <f>((D29*DATA!$D$23)/1000000)+((E29*DATA!$D$24)/1000000)</f>
        <v>333.08496000000002</v>
      </c>
      <c r="M29" s="316">
        <f t="shared" si="2"/>
        <v>333.08496000000002</v>
      </c>
      <c r="N29" s="316">
        <f t="shared" ca="1" si="6"/>
        <v>-19.455760599428288</v>
      </c>
      <c r="O29" s="315">
        <f>1/(1+'[93]Asumsi I'!$C$3)^(KKF!A29)</f>
        <v>8.2642510427844609E-2</v>
      </c>
      <c r="P29" s="316">
        <f t="shared" ca="1" si="7"/>
        <v>-1.6078728982199006</v>
      </c>
      <c r="Q29" s="316">
        <f t="shared" ca="1" si="9"/>
        <v>253.67307958764468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316320</v>
      </c>
      <c r="D30" s="316">
        <f t="shared" si="5"/>
        <v>52720</v>
      </c>
      <c r="E30" s="316">
        <f t="shared" si="0"/>
        <v>263600</v>
      </c>
      <c r="F30" s="314"/>
      <c r="G30" s="318">
        <f ca="1">DATA!$D$11/1000000</f>
        <v>1.8943513080000003</v>
      </c>
      <c r="H30" s="318">
        <f>C30*DATA!$D$5/1000000</f>
        <v>342.93043451484431</v>
      </c>
      <c r="I30" s="318">
        <f>(C30*DATA!$D$5*DATA!$D$7)/1000000</f>
        <v>7.715934776583997</v>
      </c>
      <c r="J30" s="316">
        <f t="shared" ca="1" si="1"/>
        <v>352.54072059942831</v>
      </c>
      <c r="K30" s="314"/>
      <c r="L30" s="316">
        <f>((D30*DATA!$D$23)/1000000)+((E30*DATA!$D$24)/1000000)</f>
        <v>333.08496000000002</v>
      </c>
      <c r="M30" s="316">
        <f t="shared" si="2"/>
        <v>333.08496000000002</v>
      </c>
      <c r="N30" s="316">
        <f t="shared" ca="1" si="6"/>
        <v>-19.455760599428288</v>
      </c>
      <c r="O30" s="315">
        <f>1/(1+'[93]Asumsi I'!$C$3)^(KKF!A30)</f>
        <v>7.3787955739146982E-2</v>
      </c>
      <c r="P30" s="316">
        <f t="shared" ca="1" si="7"/>
        <v>-1.4356008019820543</v>
      </c>
      <c r="Q30" s="316">
        <f t="shared" ca="1" si="9"/>
        <v>252.23747878566263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316320</v>
      </c>
      <c r="D31" s="316">
        <f t="shared" si="5"/>
        <v>52720</v>
      </c>
      <c r="E31" s="316">
        <f t="shared" si="0"/>
        <v>263600</v>
      </c>
      <c r="F31" s="314"/>
      <c r="G31" s="318">
        <f ca="1">DATA!$D$11/1000000</f>
        <v>1.8943513080000003</v>
      </c>
      <c r="H31" s="318">
        <f>C31*DATA!$D$5/1000000</f>
        <v>342.93043451484431</v>
      </c>
      <c r="I31" s="318">
        <f>(C31*DATA!$D$5*DATA!$D$7)/1000000</f>
        <v>7.715934776583997</v>
      </c>
      <c r="J31" s="316">
        <f t="shared" ca="1" si="1"/>
        <v>352.54072059942831</v>
      </c>
      <c r="K31" s="314"/>
      <c r="L31" s="316">
        <f>((D31*DATA!$D$23)/1000000)+((E31*DATA!$D$24)/1000000)</f>
        <v>333.08496000000002</v>
      </c>
      <c r="M31" s="316">
        <f t="shared" si="2"/>
        <v>333.08496000000002</v>
      </c>
      <c r="N31" s="316">
        <f t="shared" ca="1" si="6"/>
        <v>-19.455760599428288</v>
      </c>
      <c r="O31" s="315">
        <f>1/(1+'[93]Asumsi I'!$C$3)^(KKF!A31)</f>
        <v>6.5882103338524081E-2</v>
      </c>
      <c r="P31" s="316">
        <f t="shared" ca="1" si="7"/>
        <v>-1.2817864303411197</v>
      </c>
      <c r="Q31" s="316">
        <f ca="1">Q30+P31</f>
        <v>250.9556923553215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316320</v>
      </c>
      <c r="D32" s="316">
        <f t="shared" si="5"/>
        <v>52720</v>
      </c>
      <c r="E32" s="316">
        <f t="shared" si="0"/>
        <v>263600</v>
      </c>
      <c r="F32" s="314"/>
      <c r="G32" s="318">
        <f ca="1">DATA!$D$11/1000000</f>
        <v>1.8943513080000003</v>
      </c>
      <c r="H32" s="318">
        <f>C32*DATA!$D$5/1000000</f>
        <v>342.93043451484431</v>
      </c>
      <c r="I32" s="318">
        <f>(C32*DATA!$D$5*DATA!$D$7)/1000000</f>
        <v>7.715934776583997</v>
      </c>
      <c r="J32" s="316">
        <f t="shared" ca="1" si="1"/>
        <v>352.54072059942831</v>
      </c>
      <c r="K32" s="314"/>
      <c r="L32" s="316">
        <f>((D32*DATA!$D$23)/1000000)+((E32*DATA!$D$24)/1000000)</f>
        <v>333.08496000000002</v>
      </c>
      <c r="M32" s="316">
        <f t="shared" si="2"/>
        <v>333.08496000000002</v>
      </c>
      <c r="N32" s="316">
        <f t="shared" ca="1" si="6"/>
        <v>-19.455760599428288</v>
      </c>
      <c r="O32" s="315">
        <f>1/(1+'[93]Asumsi I'!$C$3)^(KKF!A32)</f>
        <v>5.8823306552253637E-2</v>
      </c>
      <c r="P32" s="316">
        <f t="shared" ca="1" si="7"/>
        <v>-1.1444521699474282</v>
      </c>
      <c r="Q32" s="316">
        <f ca="1">Q31+P32</f>
        <v>249.81124018537406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1" t="s">
        <v>1374</v>
      </c>
      <c r="G33" s="601"/>
      <c r="H33" s="601"/>
      <c r="I33" s="324"/>
      <c r="J33" s="325">
        <f ca="1">SUM(J7:J32)</f>
        <v>9143.8941778879907</v>
      </c>
      <c r="K33" s="601" t="s">
        <v>1375</v>
      </c>
      <c r="L33" s="601"/>
      <c r="M33" s="325">
        <f>SUM(M7:M32)</f>
        <v>9059.9056400000027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-16.980891660025549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0.99081479550681029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223.04575016551257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1.5146451987890108E-2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59"/>
  <sheetViews>
    <sheetView showGridLines="0" tabSelected="1" zoomScale="85" zoomScaleNormal="85" zoomScaleSheetLayoutView="70" workbookViewId="0">
      <pane ySplit="13" topLeftCell="A32" activePane="bottomLeft" state="frozen"/>
      <selection activeCell="H1093" sqref="H1093"/>
      <selection pane="bottomLeft" activeCell="J29" sqref="I29:J29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8" t="str">
        <f>DATA!D14</f>
        <v>UD BINTANG JAYA</v>
      </c>
      <c r="H6" s="608"/>
      <c r="I6" s="608"/>
      <c r="J6" s="608"/>
      <c r="K6" s="60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7" t="s">
        <v>0</v>
      </c>
      <c r="C11" s="629" t="s">
        <v>1</v>
      </c>
      <c r="D11" s="618" t="s">
        <v>42</v>
      </c>
      <c r="E11" s="618" t="s">
        <v>43</v>
      </c>
      <c r="F11" s="618" t="s">
        <v>2</v>
      </c>
      <c r="G11" s="632" t="s">
        <v>41</v>
      </c>
      <c r="H11" s="618" t="s">
        <v>3</v>
      </c>
      <c r="I11" s="618"/>
      <c r="J11" s="618"/>
      <c r="K11" s="61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8"/>
      <c r="C12" s="630"/>
      <c r="D12" s="622"/>
      <c r="E12" s="622"/>
      <c r="F12" s="622"/>
      <c r="G12" s="633"/>
      <c r="H12" s="620" t="s">
        <v>46</v>
      </c>
      <c r="I12" s="620" t="s">
        <v>5</v>
      </c>
      <c r="J12" s="622" t="s">
        <v>47</v>
      </c>
      <c r="K12" s="62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8"/>
      <c r="C13" s="631"/>
      <c r="D13" s="622"/>
      <c r="E13" s="622"/>
      <c r="F13" s="622"/>
      <c r="G13" s="634"/>
      <c r="H13" s="621"/>
      <c r="I13" s="621"/>
      <c r="J13" s="622"/>
      <c r="K13" s="62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0</v>
      </c>
      <c r="J18" s="361">
        <f t="shared" ref="J18" ca="1" si="10">IF(D18="JASA",G18*F18,0)</f>
        <v>0</v>
      </c>
      <c r="K18" s="362">
        <f t="shared" ref="K18" ca="1" si="11">SUM(H18:J18)</f>
        <v>0</v>
      </c>
    </row>
    <row r="19" spans="1:22">
      <c r="B19" s="366" t="s">
        <v>1614</v>
      </c>
      <c r="C19" s="367" t="s">
        <v>1621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" ca="1" si="12">IF(OR(D19="MDU",D19="MDU-KD"),(IF($O$3="RAB NON MDU","PLN KD",G19*F19)),0)</f>
        <v>0</v>
      </c>
      <c r="I19" s="361">
        <f t="shared" ref="I19" ca="1" si="13">IF(D19="HDW",G19*F19,0)</f>
        <v>0</v>
      </c>
      <c r="J19" s="361">
        <f t="shared" ref="J19" ca="1" si="14">IF(D19="JASA",G19*F19,0)</f>
        <v>0</v>
      </c>
      <c r="K19" s="362">
        <f t="shared" ref="K19" ca="1" si="15">SUM(H19:J19)</f>
        <v>0</v>
      </c>
    </row>
    <row r="20" spans="1:22">
      <c r="B20" s="366"/>
      <c r="C20" s="36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7" ca="1" si="16">IF(OR(D20="MDU",D20="MDU-KD"),(IF($O$3="RAB NON MDU","PLN KD",G20*F20)),0)</f>
        <v>0</v>
      </c>
      <c r="I20" s="361">
        <f t="shared" ref="I20:I27" ca="1" si="17">IF(D20="HDW",G20*F20,0)</f>
        <v>0</v>
      </c>
      <c r="J20" s="361">
        <f t="shared" ref="J20:J27" ca="1" si="18">IF(D20="JASA",G20*F20,0)</f>
        <v>0</v>
      </c>
      <c r="K20" s="362">
        <f t="shared" ref="K20:K27" ca="1" si="19">SUM(H20:J20)</f>
        <v>0</v>
      </c>
    </row>
    <row r="21" spans="1:22">
      <c r="B21" s="366">
        <v>1</v>
      </c>
      <c r="C21" s="109" t="s">
        <v>1458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368">
        <v>1</v>
      </c>
      <c r="G21" s="360">
        <f ca="1">IF(ISERROR(OFFSET('HARGA SATUAN'!$I$6,MATCH(RAB!C21,'HARGA SATUAN'!$C$7:$C$1492,0),0)),0,OFFSET('HARGA SATUAN'!$I$6,MATCH(RAB!C21,'HARGA SATUAN'!$C$7:$C$1492,0),0))</f>
        <v>63057400</v>
      </c>
      <c r="H21" s="361">
        <f t="shared" ca="1" si="16"/>
        <v>63057400</v>
      </c>
      <c r="I21" s="361">
        <f t="shared" ca="1" si="17"/>
        <v>0</v>
      </c>
      <c r="J21" s="361">
        <f t="shared" ca="1" si="18"/>
        <v>0</v>
      </c>
      <c r="K21" s="362">
        <f t="shared" ca="1" si="19"/>
        <v>63057400</v>
      </c>
    </row>
    <row r="22" spans="1:22" ht="26.25">
      <c r="B22" s="366">
        <v>2</v>
      </c>
      <c r="C22" s="503" t="s">
        <v>1625</v>
      </c>
      <c r="D22" s="504" t="s">
        <v>47</v>
      </c>
      <c r="E22" s="505" t="s">
        <v>14</v>
      </c>
      <c r="F22" s="505">
        <v>1</v>
      </c>
      <c r="G22" s="506">
        <v>398500</v>
      </c>
      <c r="H22" s="361">
        <f t="shared" si="16"/>
        <v>0</v>
      </c>
      <c r="I22" s="361">
        <f t="shared" si="17"/>
        <v>0</v>
      </c>
      <c r="J22" s="361">
        <f t="shared" si="18"/>
        <v>398500</v>
      </c>
      <c r="K22" s="362">
        <f t="shared" si="19"/>
        <v>398500</v>
      </c>
    </row>
    <row r="23" spans="1:22" ht="25.5">
      <c r="B23" s="366">
        <v>3</v>
      </c>
      <c r="C23" s="507" t="s">
        <v>1626</v>
      </c>
      <c r="D23" s="504" t="s">
        <v>47</v>
      </c>
      <c r="E23" s="505" t="s">
        <v>14</v>
      </c>
      <c r="F23" s="505">
        <v>1</v>
      </c>
      <c r="G23" s="506">
        <v>560800</v>
      </c>
      <c r="H23" s="361">
        <f t="shared" si="16"/>
        <v>0</v>
      </c>
      <c r="I23" s="361">
        <f t="shared" si="17"/>
        <v>0</v>
      </c>
      <c r="J23" s="361">
        <f t="shared" si="18"/>
        <v>560800</v>
      </c>
      <c r="K23" s="362">
        <f t="shared" si="19"/>
        <v>560800</v>
      </c>
    </row>
    <row r="24" spans="1:22">
      <c r="B24" s="366"/>
      <c r="C24" s="367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368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</row>
    <row r="25" spans="1:22">
      <c r="B25" s="366"/>
      <c r="C25" s="367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368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6"/>
        <v>0</v>
      </c>
      <c r="I25" s="361">
        <f t="shared" ca="1" si="17"/>
        <v>0</v>
      </c>
      <c r="J25" s="361">
        <f t="shared" ca="1" si="18"/>
        <v>0</v>
      </c>
      <c r="K25" s="362">
        <f t="shared" ca="1" si="19"/>
        <v>0</v>
      </c>
    </row>
    <row r="26" spans="1:22">
      <c r="B26" s="366"/>
      <c r="C26" s="367"/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368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6"/>
        <v>0</v>
      </c>
      <c r="I26" s="361">
        <f t="shared" ca="1" si="17"/>
        <v>0</v>
      </c>
      <c r="J26" s="361">
        <f t="shared" ca="1" si="18"/>
        <v>0</v>
      </c>
      <c r="K26" s="362">
        <f t="shared" ca="1" si="19"/>
        <v>0</v>
      </c>
    </row>
    <row r="27" spans="1:22">
      <c r="B27" s="493" t="s">
        <v>1615</v>
      </c>
      <c r="C27" s="496" t="s">
        <v>1617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</row>
    <row r="28" spans="1:22">
      <c r="B28" s="493" t="s">
        <v>1035</v>
      </c>
      <c r="C28" s="494" t="s">
        <v>1622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9"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33" ca="1" si="20">IF(OR(D28="MDU",D28="MDU-KD"),(IF($O$3="RAB NON MDU","PLN KD",G28*F28)),0)</f>
        <v>0</v>
      </c>
      <c r="I28" s="361">
        <f t="shared" ref="I28:I33" ca="1" si="21">IF(D28="HDW",G28*F28,0)</f>
        <v>0</v>
      </c>
      <c r="J28" s="361">
        <f t="shared" ref="J28:J33" ca="1" si="22">IF(D28="JASA",G28*F28,0)</f>
        <v>0</v>
      </c>
      <c r="K28" s="362">
        <f t="shared" ref="K28:K33" ca="1" si="23">SUM(H28:J28)</f>
        <v>0</v>
      </c>
    </row>
    <row r="29" spans="1:22" ht="30">
      <c r="B29" s="501">
        <v>1</v>
      </c>
      <c r="C29" s="109" t="s">
        <v>1196</v>
      </c>
      <c r="D29" s="358" t="s">
        <v>1619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9">
        <f>F28*1</f>
        <v>1</v>
      </c>
      <c r="G29" s="360">
        <f ca="1">IF(ISERROR(OFFSET('HARGA SATUAN'!$I$6,MATCH(RAB!C29,'HARGA SATUAN'!$C$7:$C$1492,0),0)),0,OFFSET('HARGA SATUAN'!$I$6,MATCH(RAB!C29,'HARGA SATUAN'!$C$7:$C$1492,0),0))</f>
        <v>1504200</v>
      </c>
      <c r="H29" s="361">
        <f t="shared" si="20"/>
        <v>0</v>
      </c>
      <c r="I29" s="361">
        <f t="shared" si="21"/>
        <v>0</v>
      </c>
      <c r="J29" s="361">
        <f t="shared" si="22"/>
        <v>0</v>
      </c>
      <c r="K29" s="362">
        <f t="shared" si="23"/>
        <v>0</v>
      </c>
    </row>
    <row r="30" spans="1:22">
      <c r="B30" s="501">
        <v>2</v>
      </c>
      <c r="C30" s="502" t="s">
        <v>521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499">
        <f>F28*1</f>
        <v>1</v>
      </c>
      <c r="G30" s="360">
        <f ca="1">IF(ISERROR(OFFSET('HARGA SATUAN'!$I$6,MATCH(RAB!C30,'HARGA SATUAN'!$C$7:$C$1492,0),0)),0,OFFSET('HARGA SATUAN'!$I$6,MATCH(RAB!C30,'HARGA SATUAN'!$C$7:$C$1492,0),0))</f>
        <v>14975400</v>
      </c>
      <c r="H30" s="361">
        <f t="shared" ca="1" si="20"/>
        <v>14975400</v>
      </c>
      <c r="I30" s="361">
        <f t="shared" ca="1" si="21"/>
        <v>0</v>
      </c>
      <c r="J30" s="361">
        <f t="shared" ca="1" si="22"/>
        <v>0</v>
      </c>
      <c r="K30" s="362">
        <f t="shared" ca="1" si="23"/>
        <v>14975400</v>
      </c>
    </row>
    <row r="31" spans="1:22">
      <c r="B31" s="501">
        <v>3</v>
      </c>
      <c r="C31" s="502" t="s">
        <v>1142</v>
      </c>
      <c r="D31" s="358" t="s">
        <v>1619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99">
        <f>F28*1</f>
        <v>1</v>
      </c>
      <c r="G31" s="360">
        <f ca="1">IF(ISERROR(OFFSET('HARGA SATUAN'!$I$6,MATCH(RAB!C31,'HARGA SATUAN'!$C$7:$C$1492,0),0)),0,OFFSET('HARGA SATUAN'!$I$6,MATCH(RAB!C31,'HARGA SATUAN'!$C$7:$C$1492,0),0))</f>
        <v>1113900</v>
      </c>
      <c r="H31" s="361">
        <f t="shared" si="20"/>
        <v>0</v>
      </c>
      <c r="I31" s="361">
        <f t="shared" si="21"/>
        <v>0</v>
      </c>
      <c r="J31" s="361">
        <f t="shared" si="22"/>
        <v>0</v>
      </c>
      <c r="K31" s="362">
        <f t="shared" si="23"/>
        <v>0</v>
      </c>
    </row>
    <row r="32" spans="1:22">
      <c r="B32" s="501">
        <v>4</v>
      </c>
      <c r="C32" s="109" t="s">
        <v>81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499">
        <v>44</v>
      </c>
      <c r="G32" s="360">
        <f ca="1">IF(ISERROR(OFFSET('HARGA SATUAN'!$I$6,MATCH(RAB!C32,'HARGA SATUAN'!$C$7:$C$1492,0),0)),0,OFFSET('HARGA SATUAN'!$I$6,MATCH(RAB!C32,'HARGA SATUAN'!$C$7:$C$1492,0),0))</f>
        <v>140200</v>
      </c>
      <c r="H32" s="361">
        <f t="shared" ca="1" si="20"/>
        <v>6168800</v>
      </c>
      <c r="I32" s="361">
        <f t="shared" ca="1" si="21"/>
        <v>0</v>
      </c>
      <c r="J32" s="361">
        <f t="shared" ca="1" si="22"/>
        <v>0</v>
      </c>
      <c r="K32" s="362">
        <f t="shared" ca="1" si="23"/>
        <v>6168800</v>
      </c>
    </row>
    <row r="33" spans="2:13">
      <c r="B33" s="501">
        <v>5</v>
      </c>
      <c r="C33" s="502" t="s">
        <v>799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9">
        <f>F28*1</f>
        <v>1</v>
      </c>
      <c r="G33" s="360">
        <f ca="1">IF(ISERROR(OFFSET('HARGA SATUAN'!$I$6,MATCH(RAB!C33,'HARGA SATUAN'!$C$7:$C$1492,0),0)),0,OFFSET('HARGA SATUAN'!$I$6,MATCH(RAB!C33,'HARGA SATUAN'!$C$7:$C$1492,0),0))</f>
        <v>106400</v>
      </c>
      <c r="H33" s="361">
        <f t="shared" ca="1" si="20"/>
        <v>0</v>
      </c>
      <c r="I33" s="361">
        <f t="shared" ca="1" si="21"/>
        <v>0</v>
      </c>
      <c r="J33" s="361">
        <f t="shared" ca="1" si="22"/>
        <v>106400</v>
      </c>
      <c r="K33" s="362">
        <f t="shared" ca="1" si="23"/>
        <v>106400</v>
      </c>
    </row>
    <row r="34" spans="2:13">
      <c r="B34" s="498">
        <v>6</v>
      </c>
      <c r="C34" s="500" t="s">
        <v>982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368">
        <v>1</v>
      </c>
      <c r="G34" s="360">
        <f ca="1">IF(ISERROR(OFFSET('HARGA SATUAN'!$I$6,MATCH(RAB!C34,'HARGA SATUAN'!$C$7:$C$1492,0),0)),0,OFFSET('HARGA SATUAN'!$I$6,MATCH(RAB!C34,'HARGA SATUAN'!$C$7:$C$1492,0),0))</f>
        <v>63840</v>
      </c>
      <c r="H34" s="361">
        <f t="shared" ref="H34" ca="1" si="24">IF(OR(D34="MDU",D34="MDU-KD"),(IF($O$3="RAB NON MDU","PLN KD",G34*F34)),0)</f>
        <v>0</v>
      </c>
      <c r="I34" s="361">
        <f t="shared" ref="I34" ca="1" si="25">IF(D34="HDW",G34*F34,0)</f>
        <v>0</v>
      </c>
      <c r="J34" s="361">
        <f t="shared" ref="J34" ca="1" si="26">IF(D34="JASA",G34*F34,0)</f>
        <v>63840</v>
      </c>
      <c r="K34" s="362">
        <f t="shared" ref="K34" ca="1" si="27">SUM(H34:J34)</f>
        <v>63840</v>
      </c>
    </row>
    <row r="35" spans="2:13">
      <c r="B35" s="498"/>
      <c r="C35" s="500"/>
      <c r="D35" s="358"/>
      <c r="E35" s="359"/>
      <c r="F35" s="368"/>
      <c r="G35" s="360"/>
      <c r="H35" s="361"/>
      <c r="I35" s="361"/>
      <c r="J35" s="361"/>
      <c r="K35" s="362"/>
    </row>
    <row r="36" spans="2:13">
      <c r="B36" s="366" t="s">
        <v>22</v>
      </c>
      <c r="C36" s="367" t="s">
        <v>1616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36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37" ca="1" si="28">IF(OR(D36="MDU",D36="MDU-KD"),(IF($O$3="RAB NON MDU","PLN KD",G36*F36)),0)</f>
        <v>0</v>
      </c>
      <c r="I36" s="361">
        <f t="shared" ref="I36:I37" ca="1" si="29">IF(D36="HDW",G36*F36,0)</f>
        <v>0</v>
      </c>
      <c r="J36" s="361">
        <f t="shared" ref="J36:J37" ca="1" si="30">IF(D36="JASA",G36*F36,0)</f>
        <v>0</v>
      </c>
      <c r="K36" s="362">
        <f t="shared" ref="K36:K37" ca="1" si="31">SUM(H36:J36)</f>
        <v>0</v>
      </c>
    </row>
    <row r="37" spans="2:13">
      <c r="B37" s="373"/>
      <c r="C37" s="372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8"/>
        <v>0</v>
      </c>
      <c r="I37" s="361">
        <f t="shared" ca="1" si="29"/>
        <v>0</v>
      </c>
      <c r="J37" s="361">
        <f t="shared" ca="1" si="30"/>
        <v>0</v>
      </c>
      <c r="K37" s="362">
        <f t="shared" ca="1" si="31"/>
        <v>0</v>
      </c>
    </row>
    <row r="38" spans="2:13">
      <c r="B38" s="374"/>
      <c r="C38" s="375" t="s">
        <v>475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ref="H38" ca="1" si="32">IF(OR(D38="MDU",D38="MDU-KD"),(IF($O$3="RAB NON MDU","PLN KD",G38*F38)),0)</f>
        <v>0</v>
      </c>
      <c r="I38" s="361">
        <f t="shared" ref="I38" ca="1" si="33">IF(D38="HDW",G38*F38,0)</f>
        <v>0</v>
      </c>
      <c r="J38" s="361">
        <f t="shared" ref="J38" ca="1" si="34">IF(D38="JASA",G38*F38,0)</f>
        <v>0</v>
      </c>
      <c r="K38" s="362">
        <f t="shared" ref="K38" ca="1" si="35">SUM(H38:J38)</f>
        <v>0</v>
      </c>
    </row>
    <row r="39" spans="2:13">
      <c r="B39" s="377">
        <v>1</v>
      </c>
      <c r="C39" s="378" t="s">
        <v>1091</v>
      </c>
      <c r="D39" s="379" t="str">
        <f ca="1">IF(ISERROR(OFFSET('HARGA SATUAN'!$D$6,MATCH(RAB!C39,'HARGA SATUAN'!$C$7:$C$1492,0),0)),"",OFFSET('HARGA SATUAN'!$D$6,MATCH(RAB!C39,'HARGA SATUAN'!$C$7:$C$1492,0),0))</f>
        <v>JASA</v>
      </c>
      <c r="E39" s="380" t="str">
        <f ca="1">IF(ISERROR(OFFSET('HARGA SATUAN'!$E$6,MATCH(RAB!C39,'HARGA SATUAN'!$C$7:$C$1492,0),0)),"",OFFSET('HARGA SATUAN'!$E$6,MATCH(RAB!C39,'HARGA SATUAN'!$C$7:$C$1492,0),0))</f>
        <v>Lot</v>
      </c>
      <c r="F39" s="381">
        <v>1</v>
      </c>
      <c r="G39" s="382">
        <f ca="1">IF(ISERROR(OFFSET('HARGA SATUAN'!$I$6,MATCH(RAB!C39,'HARGA SATUAN'!$C$7:$C$1492,0),0)),0,OFFSET('HARGA SATUAN'!$I$6,MATCH(RAB!C39,'HARGA SATUAN'!$C$7:$C$1492,0),0))</f>
        <v>2.5000000000000001E-2</v>
      </c>
      <c r="H39" s="383"/>
      <c r="I39" s="383"/>
      <c r="J39" s="383">
        <f ca="1">SUM(K15:K17)*G39</f>
        <v>0</v>
      </c>
      <c r="K39" s="384">
        <f ca="1">SUM(H39:J39)</f>
        <v>0</v>
      </c>
    </row>
    <row r="40" spans="2:13">
      <c r="B40" s="385"/>
      <c r="C40" s="386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IF(ISERROR(OFFSET('HARGA SATUAN'!$E$6,MATCH(RAB!C40,'HARGA SATUAN'!$C$7:$C$1492,0),0)),"",OFFSET('HARGA SATUAN'!$E$6,MATCH(RAB!C40,'HARGA SATUAN'!$C$7:$C$1492,0),0))</f>
        <v/>
      </c>
      <c r="F40" s="376"/>
      <c r="G40" s="360" t="str">
        <f ca="1">IF(ISERROR(OFFSET('HARGA SATUAN'!$I$6,MATCH(RAB!C40,'HARGA SATUAN'!$C$7:$C$1492,0),0)),"",OFFSET('HARGA SATUAN'!$I$6,MATCH(RAB!C40,'HARGA SATUAN'!$C$7:$C$1492,0),0))</f>
        <v/>
      </c>
      <c r="H40" s="361">
        <f ca="1">IF(OR(D40="MDU",D40="MDU-KD"),IF(G40="PLN",0,G40*F40),0)</f>
        <v>0</v>
      </c>
      <c r="I40" s="361">
        <f ca="1">IF(D40="HDW",IF(G40="PLN",0,G40*F40),0)</f>
        <v>0</v>
      </c>
      <c r="J40" s="361">
        <f ca="1">IF(D40="JASA",IF(G40="PLN",0,G40*F40),0)</f>
        <v>0</v>
      </c>
      <c r="K40" s="362">
        <f ca="1">SUM(H40:J40)</f>
        <v>0</v>
      </c>
    </row>
    <row r="41" spans="2:13" ht="15.75" thickBot="1">
      <c r="B41" s="387"/>
      <c r="C41" s="388"/>
      <c r="D41" s="389"/>
      <c r="E41" s="390"/>
      <c r="F41" s="390"/>
      <c r="G41" s="390"/>
      <c r="H41" s="391"/>
      <c r="I41" s="391"/>
      <c r="J41" s="391"/>
      <c r="K41" s="392"/>
    </row>
    <row r="42" spans="2:13">
      <c r="B42" s="393"/>
      <c r="C42" s="626" t="s">
        <v>1008</v>
      </c>
      <c r="D42" s="626"/>
      <c r="E42" s="626"/>
      <c r="F42" s="626"/>
      <c r="G42" s="394" t="s">
        <v>9</v>
      </c>
      <c r="H42" s="395">
        <f ca="1">SUM(H14:H40)</f>
        <v>84201600</v>
      </c>
      <c r="I42" s="395">
        <f ca="1">SUM(I14:I40)</f>
        <v>0</v>
      </c>
      <c r="J42" s="395">
        <f ca="1">SUM(J14:J40)</f>
        <v>1129540</v>
      </c>
      <c r="K42" s="395">
        <f ca="1">SUM(K14:K40)</f>
        <v>85331140</v>
      </c>
    </row>
    <row r="43" spans="2:13">
      <c r="B43" s="396"/>
      <c r="C43" s="609" t="s">
        <v>1457</v>
      </c>
      <c r="D43" s="609"/>
      <c r="E43" s="609"/>
      <c r="F43" s="609"/>
      <c r="G43" s="397" t="s">
        <v>9</v>
      </c>
      <c r="H43" s="398">
        <f ca="1">H42*0.11</f>
        <v>9262176</v>
      </c>
      <c r="I43" s="398">
        <f ca="1">I42*0.11</f>
        <v>0</v>
      </c>
      <c r="J43" s="398">
        <f ca="1">J42*0.11</f>
        <v>124249.4</v>
      </c>
      <c r="K43" s="398">
        <f ca="1">K42*0.11</f>
        <v>9386425.4000000004</v>
      </c>
    </row>
    <row r="44" spans="2:13" ht="15.75" thickBot="1">
      <c r="B44" s="396"/>
      <c r="C44" s="607" t="s">
        <v>463</v>
      </c>
      <c r="D44" s="607"/>
      <c r="E44" s="607"/>
      <c r="F44" s="607"/>
      <c r="G44" s="399" t="s">
        <v>9</v>
      </c>
      <c r="H44" s="400">
        <f ca="1">SUM(H42:H43)</f>
        <v>93463776</v>
      </c>
      <c r="I44" s="400">
        <f ca="1">SUM(I42:I43)</f>
        <v>0</v>
      </c>
      <c r="J44" s="399">
        <f ca="1">SUM(J42:J43)</f>
        <v>1253789.3999999999</v>
      </c>
      <c r="K44" s="399">
        <f ca="1">SUM(K42:K43)</f>
        <v>94717565.400000006</v>
      </c>
      <c r="M44" s="482"/>
    </row>
    <row r="45" spans="2:13">
      <c r="B45" s="610" t="str">
        <f ca="1">"Terbilang : "&amp;PROPER(IF(K44=0,"nol",IF(K44&lt;0,"minus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IF(--MID(TEXT(ABS(K44),"000000000000000"),1,3)=0,"",MID(TEXT(ABS(K44),"000000000000000"),1,1)&amp;" ratus "&amp;MID(TEXT(ABS(K44),"000000000000000"),2,1)&amp;" puluh "&amp;MID(TEXT(ABS(K44),"000000000000000"),3,1)&amp;" trilyun ")&amp; IF(--MID(TEXT(ABS(K44),"000000000000000"),4,3)=0,"",MID(TEXT(ABS(K44),"000000000000000"),4,1)&amp;" ratus "&amp;MID(TEXT(ABS(K44),"000000000000000"),5,1)&amp;" puluh "&amp;MID(TEXT(ABS(K44),"000000000000000"),6,1)&amp;" milyar ")&amp; IF(--MID(TEXT(ABS(K44),"000000000000000"),7,3)=0,"",MID(TEXT(ABS(K44),"000000000000000"),7,1)&amp;" ratus "&amp;MID(TEXT(ABS(K44),"000000000000000"),8,1)&amp;" puluh "&amp;MID(TEXT(ABS(K44),"000000000000000"),9,1)&amp;" juta ")&amp; IF(--MID(TEXT(ABS(K44),"000000000000000"),10,3)=0,"",IF(--MID(TEXT(ABS(K44),"000000000000000"),10,3)=1,"*",MID(TEXT(ABS(K44),"000000000000000"),10,1)&amp;" ratus "&amp;MID(TEXT(ABS(K44),"000000000000000"),11,1)&amp;" puluh ")&amp;MID(TEXT(ABS(K44),"000000000000000"),12,1)&amp;" ribu ")&amp; IF(--MID(TEXT(ABS(K44),"000000000000000"),13,3)=0,"",MID(TEXT(ABS(K44),"000000000000000"),13,1)&amp;" ratus "&amp;MID(TEXT(ABS(K44),"000000000000000"),14,1)&amp;" puluh "&amp;MID(TEXT(ABS(K44),"000000000000000"),15,1)),1,"satu"),2,"dua"),3,"tiga"),4,"empat"),5,"lima"),6,"enam"),7,"tujuh"),8,"delapan"),9,"sembilan"),"0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Empat Juta Tujuh Ratus Tujuh Belas Ribu Lima Ratus Enam Puluh Lima Rupiah</v>
      </c>
      <c r="C45" s="611"/>
      <c r="D45" s="611"/>
      <c r="E45" s="611"/>
      <c r="F45" s="611"/>
      <c r="G45" s="611"/>
      <c r="H45" s="611"/>
      <c r="I45" s="611"/>
      <c r="J45" s="611"/>
      <c r="K45" s="612"/>
    </row>
    <row r="46" spans="2:13">
      <c r="B46" s="613"/>
      <c r="C46" s="614"/>
      <c r="D46" s="614"/>
      <c r="E46" s="614"/>
      <c r="F46" s="614"/>
      <c r="G46" s="614"/>
      <c r="H46" s="614"/>
      <c r="I46" s="614"/>
      <c r="J46" s="614"/>
      <c r="K46" s="615"/>
    </row>
    <row r="47" spans="2:13" ht="15.75" thickBot="1">
      <c r="B47" s="401" t="str">
        <f>"Harga yang dipakai adalah "&amp;'HARGA SATUAN'!I5&amp;""</f>
        <v>Harga yang dipakai adalah RAB HSS 2023</v>
      </c>
      <c r="C47" s="402"/>
      <c r="D47" s="403"/>
      <c r="E47" s="403"/>
      <c r="F47" s="403"/>
      <c r="G47" s="404"/>
      <c r="H47" s="404"/>
      <c r="I47" s="404"/>
      <c r="J47" s="404"/>
      <c r="K47" s="405"/>
    </row>
    <row r="48" spans="2:13">
      <c r="C48" s="406"/>
      <c r="E48" s="408"/>
      <c r="F48" s="408"/>
      <c r="G48" s="408"/>
    </row>
    <row r="49" spans="3:11">
      <c r="C49" s="337"/>
      <c r="E49" s="408"/>
      <c r="F49" s="408"/>
      <c r="G49" s="408"/>
      <c r="H49" s="616"/>
      <c r="I49" s="616"/>
      <c r="J49" s="617"/>
      <c r="K49" s="617"/>
    </row>
    <row r="50" spans="3:11">
      <c r="C50" s="337"/>
      <c r="E50" s="408"/>
      <c r="F50" s="408"/>
      <c r="G50" s="408"/>
      <c r="H50" s="409"/>
      <c r="I50" s="606" t="s">
        <v>1610</v>
      </c>
      <c r="J50" s="606"/>
      <c r="K50" s="606"/>
    </row>
    <row r="51" spans="3:11">
      <c r="C51" s="337"/>
      <c r="E51" s="408"/>
      <c r="F51" s="408"/>
      <c r="G51" s="408"/>
      <c r="H51" s="409"/>
      <c r="I51" s="606" t="s">
        <v>1546</v>
      </c>
      <c r="J51" s="606"/>
      <c r="K51" s="606"/>
    </row>
    <row r="52" spans="3:11">
      <c r="C52" s="337"/>
      <c r="E52" s="408"/>
      <c r="F52" s="408"/>
      <c r="G52" s="408"/>
      <c r="H52" s="410"/>
      <c r="I52" s="411"/>
      <c r="J52" s="411"/>
      <c r="K52" s="411"/>
    </row>
    <row r="53" spans="3:11">
      <c r="C53" s="337"/>
      <c r="E53" s="408"/>
      <c r="F53" s="408"/>
      <c r="G53" s="408"/>
      <c r="H53" s="410"/>
      <c r="I53" s="410"/>
      <c r="J53" s="410"/>
      <c r="K53" s="410"/>
    </row>
    <row r="54" spans="3:11">
      <c r="C54" s="337"/>
      <c r="E54" s="408"/>
      <c r="F54" s="408"/>
      <c r="G54" s="408"/>
      <c r="H54" s="410"/>
      <c r="I54" s="410"/>
      <c r="J54" s="410"/>
      <c r="K54" s="410"/>
    </row>
    <row r="55" spans="3:11">
      <c r="C55" s="337"/>
      <c r="E55" s="408"/>
      <c r="F55" s="408"/>
      <c r="G55" s="408"/>
      <c r="H55" s="410"/>
      <c r="I55" s="410"/>
      <c r="J55" s="410"/>
      <c r="K55" s="410"/>
    </row>
    <row r="56" spans="3:11">
      <c r="C56" s="337"/>
      <c r="E56" s="408"/>
      <c r="F56" s="408"/>
      <c r="G56" s="408"/>
      <c r="H56" s="412"/>
      <c r="I56" s="606" t="s">
        <v>1547</v>
      </c>
      <c r="J56" s="606"/>
      <c r="K56" s="606"/>
    </row>
    <row r="57" spans="3:11">
      <c r="C57" s="406"/>
      <c r="E57" s="408"/>
      <c r="F57" s="408"/>
      <c r="G57" s="408"/>
      <c r="H57" s="410"/>
      <c r="I57" s="410"/>
      <c r="J57" s="410"/>
      <c r="K57" s="410"/>
    </row>
    <row r="58" spans="3:11">
      <c r="C58" s="406"/>
      <c r="E58" s="408"/>
      <c r="F58" s="408"/>
      <c r="G58" s="408"/>
      <c r="H58" s="410"/>
      <c r="I58" s="410"/>
      <c r="J58" s="410"/>
      <c r="K58" s="410"/>
    </row>
    <row r="59" spans="3:11">
      <c r="C59" s="406"/>
      <c r="E59" s="408"/>
      <c r="F59" s="408"/>
      <c r="G59" s="408"/>
      <c r="H59" s="410"/>
      <c r="I59" s="410"/>
      <c r="J59" s="410"/>
      <c r="K59" s="410"/>
    </row>
  </sheetData>
  <sheetProtection sort="0" autoFilter="0"/>
  <protectedRanges>
    <protectedRange sqref="B37 B28:B35" name="Range1_1"/>
    <protectedRange sqref="F14:F21 F24:F38" name="Range1_1_2_2"/>
    <protectedRange sqref="C37 C28:C31" name="Range1_1_1"/>
    <protectedRange sqref="C33:C35" name="Range1_1_3_2"/>
    <protectedRange sqref="C16" name="Range1_1_3"/>
    <protectedRange sqref="C32" name="Range1_1_3_1"/>
    <protectedRange sqref="C21" name="Range1_1_3_4"/>
    <protectedRange sqref="G22" name="Range1_3_7"/>
    <protectedRange sqref="G23" name="Range1_3_7_1"/>
  </protectedRanges>
  <mergeCells count="22">
    <mergeCell ref="O3:P4"/>
    <mergeCell ref="B4:K4"/>
    <mergeCell ref="C42:F42"/>
    <mergeCell ref="B11:B13"/>
    <mergeCell ref="C11:C13"/>
    <mergeCell ref="D11:D13"/>
    <mergeCell ref="E11:E13"/>
    <mergeCell ref="F11:F13"/>
    <mergeCell ref="G11:G13"/>
    <mergeCell ref="I12:I13"/>
    <mergeCell ref="I51:K51"/>
    <mergeCell ref="I56:K56"/>
    <mergeCell ref="C44:F44"/>
    <mergeCell ref="G6:K6"/>
    <mergeCell ref="I50:K50"/>
    <mergeCell ref="C43:F43"/>
    <mergeCell ref="B45:K46"/>
    <mergeCell ref="H49:K49"/>
    <mergeCell ref="H11:K11"/>
    <mergeCell ref="H12:H13"/>
    <mergeCell ref="J12:J13"/>
    <mergeCell ref="K12:K13"/>
  </mergeCells>
  <phoneticPr fontId="137" type="noConversion"/>
  <conditionalFormatting sqref="C15:C17 C24:C26">
    <cfRule type="cellIs" dxfId="8" priority="51" operator="equal">
      <formula>0</formula>
    </cfRule>
  </conditionalFormatting>
  <conditionalFormatting sqref="C19:C21">
    <cfRule type="cellIs" dxfId="7" priority="5" operator="equal">
      <formula>0</formula>
    </cfRule>
  </conditionalFormatting>
  <conditionalFormatting sqref="C29">
    <cfRule type="cellIs" dxfId="6" priority="7" operator="equal">
      <formula>0</formula>
    </cfRule>
  </conditionalFormatting>
  <conditionalFormatting sqref="C32">
    <cfRule type="cellIs" dxfId="5" priority="6" operator="equal">
      <formula>0</formula>
    </cfRule>
  </conditionalFormatting>
  <conditionalFormatting sqref="C36">
    <cfRule type="cellIs" dxfId="4" priority="45" operator="equal">
      <formula>0</formula>
    </cfRule>
  </conditionalFormatting>
  <conditionalFormatting sqref="C22:G23">
    <cfRule type="cellIs" dxfId="3" priority="1" operator="equal">
      <formula>0</formula>
    </cfRule>
  </conditionalFormatting>
  <conditionalFormatting sqref="E1:E3 G1:G13 E5:E13 H12:I12 O13 E14:K21 H22:K23 E24:K38 E39:G39 H39:K41 E40:H40 E41:F41">
    <cfRule type="cellIs" dxfId="2" priority="1094" stopIfTrue="1" operator="equal">
      <formula>0</formula>
    </cfRule>
  </conditionalFormatting>
  <conditionalFormatting sqref="G40:G65506 E45:E65506">
    <cfRule type="cellIs" dxfId="1" priority="228" stopIfTrue="1" operator="equal">
      <formula>0</formula>
    </cfRule>
  </conditionalFormatting>
  <conditionalFormatting sqref="S14:V17">
    <cfRule type="cellIs" dxfId="0" priority="24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H14:K4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22:D23" xr:uid="{BC73C810-300F-4ED2-86AB-43F5BCFC1982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85" zoomScaleNormal="115" zoomScaleSheetLayoutView="85" workbookViewId="0">
      <selection activeCell="S8" sqref="S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9" t="s">
        <v>1439</v>
      </c>
      <c r="X2" s="690"/>
      <c r="Y2" s="690"/>
      <c r="Z2" s="690"/>
      <c r="AA2" s="690"/>
      <c r="AB2" s="690"/>
      <c r="AC2" s="690"/>
      <c r="AD2" s="691"/>
    </row>
    <row r="3" spans="3:30">
      <c r="C3" s="238"/>
      <c r="W3" s="692"/>
      <c r="X3" s="693"/>
      <c r="Y3" s="693"/>
      <c r="Z3" s="693"/>
      <c r="AA3" s="693"/>
      <c r="AB3" s="693"/>
      <c r="AC3" s="693"/>
      <c r="AD3" s="69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238"/>
      <c r="W6" s="241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238"/>
      <c r="E7" s="488" t="s">
        <v>1623</v>
      </c>
      <c r="W7" s="241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238"/>
      <c r="W8" s="241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238"/>
      <c r="W9" s="241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238"/>
      <c r="W10" s="241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238"/>
      <c r="W11" s="241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238"/>
      <c r="W12" s="241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238"/>
      <c r="W13" s="241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238"/>
      <c r="W14" s="241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238"/>
      <c r="W15" s="241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238"/>
      <c r="W16" s="241">
        <v>11</v>
      </c>
      <c r="X16" s="638" t="s">
        <v>1455</v>
      </c>
      <c r="Y16" s="638"/>
      <c r="Z16" s="638"/>
      <c r="AA16" s="638"/>
      <c r="AB16" s="638"/>
      <c r="AC16" s="638"/>
      <c r="AD16" s="639"/>
    </row>
    <row r="17" spans="3:30">
      <c r="C17" s="238"/>
      <c r="S17" s="242"/>
      <c r="W17" s="241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243"/>
      <c r="D18" s="244"/>
      <c r="E18" s="244"/>
      <c r="W18" s="241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238"/>
      <c r="W19" s="245"/>
      <c r="X19" s="687"/>
      <c r="Y19" s="687"/>
      <c r="Z19" s="687"/>
      <c r="AA19" s="687"/>
      <c r="AB19" s="687"/>
      <c r="AC19" s="687"/>
      <c r="AD19" s="688"/>
    </row>
    <row r="20" spans="3:30">
      <c r="C20" s="238"/>
      <c r="W20" s="674" t="s">
        <v>992</v>
      </c>
      <c r="X20" s="675"/>
      <c r="Y20" s="675"/>
      <c r="Z20" s="675"/>
      <c r="AA20" s="675"/>
      <c r="AB20" s="675"/>
      <c r="AC20" s="675"/>
      <c r="AD20" s="676"/>
    </row>
    <row r="21" spans="3:30">
      <c r="C21" s="238"/>
      <c r="W21" s="677" t="s">
        <v>985</v>
      </c>
      <c r="X21" s="678"/>
      <c r="Y21" s="678"/>
      <c r="Z21" s="679"/>
      <c r="AA21" s="680" t="s">
        <v>986</v>
      </c>
      <c r="AB21" s="681"/>
      <c r="AC21" s="681"/>
      <c r="AD21" s="682"/>
    </row>
    <row r="22" spans="3:30">
      <c r="C22" s="238"/>
      <c r="W22" s="683"/>
      <c r="X22" s="684"/>
      <c r="Y22" s="490"/>
      <c r="Z22" s="491"/>
      <c r="AA22" s="685"/>
      <c r="AB22" s="686"/>
      <c r="AC22" s="248"/>
      <c r="AD22" s="249"/>
    </row>
    <row r="23" spans="3:30">
      <c r="C23" s="238"/>
      <c r="W23" s="683"/>
      <c r="X23" s="684"/>
      <c r="Y23" s="490"/>
      <c r="Z23" s="491"/>
      <c r="AA23" s="672"/>
      <c r="AB23" s="673"/>
      <c r="AC23" s="248"/>
      <c r="AD23" s="249"/>
    </row>
    <row r="24" spans="3:30">
      <c r="C24" s="238"/>
      <c r="W24" s="667"/>
      <c r="X24" s="669"/>
      <c r="Y24" s="246"/>
      <c r="Z24" s="247"/>
      <c r="AA24" s="670"/>
      <c r="AB24" s="671"/>
      <c r="AC24" s="248"/>
      <c r="AD24" s="249"/>
    </row>
    <row r="25" spans="3:30">
      <c r="C25" s="238"/>
      <c r="W25" s="667"/>
      <c r="X25" s="669"/>
      <c r="Y25" s="246"/>
      <c r="Z25" s="247"/>
      <c r="AA25" s="672"/>
      <c r="AB25" s="673"/>
      <c r="AC25" s="248"/>
      <c r="AD25" s="249"/>
    </row>
    <row r="26" spans="3:30">
      <c r="C26" s="238"/>
      <c r="W26" s="478"/>
      <c r="X26" s="479"/>
      <c r="Y26" s="246"/>
      <c r="Z26" s="247"/>
      <c r="AA26" s="672"/>
      <c r="AB26" s="673"/>
      <c r="AC26" s="248"/>
      <c r="AD26" s="249"/>
    </row>
    <row r="27" spans="3:30">
      <c r="C27" s="238"/>
      <c r="W27" s="478"/>
      <c r="X27" s="479"/>
      <c r="Y27" s="246"/>
      <c r="Z27" s="247"/>
      <c r="AA27" s="666"/>
      <c r="AB27" s="661"/>
      <c r="AC27" s="248"/>
      <c r="AD27" s="249"/>
    </row>
    <row r="28" spans="3:30">
      <c r="C28" s="238"/>
      <c r="W28" s="478"/>
      <c r="X28" s="479"/>
      <c r="Y28" s="246"/>
      <c r="Z28" s="247"/>
      <c r="AA28" s="666"/>
      <c r="AB28" s="661"/>
      <c r="AC28" s="248"/>
      <c r="AD28" s="249"/>
    </row>
    <row r="29" spans="3:30">
      <c r="C29" s="238"/>
      <c r="W29" s="478"/>
      <c r="X29" s="479"/>
      <c r="Y29" s="246"/>
      <c r="Z29" s="247"/>
      <c r="AA29" s="666"/>
      <c r="AB29" s="661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6"/>
      <c r="AB30" s="661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6"/>
      <c r="AB31" s="661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6"/>
      <c r="AB32" s="661"/>
      <c r="AC32" s="248"/>
      <c r="AD32" s="249"/>
    </row>
    <row r="33" spans="3:30">
      <c r="C33" s="238"/>
      <c r="W33" s="478"/>
      <c r="X33" s="479"/>
      <c r="Y33" s="246"/>
      <c r="Z33" s="247"/>
      <c r="AA33" s="666"/>
      <c r="AB33" s="661"/>
      <c r="AC33" s="248"/>
      <c r="AD33" s="249"/>
    </row>
    <row r="34" spans="3:30">
      <c r="C34" s="238"/>
      <c r="W34" s="478"/>
      <c r="X34" s="479"/>
      <c r="Y34" s="246"/>
      <c r="Z34" s="247"/>
      <c r="AA34" s="666"/>
      <c r="AB34" s="661"/>
      <c r="AC34" s="248"/>
      <c r="AD34" s="249"/>
    </row>
    <row r="35" spans="3:30">
      <c r="C35" s="238"/>
      <c r="W35" s="667"/>
      <c r="X35" s="668"/>
      <c r="Y35" s="246"/>
      <c r="Z35" s="247"/>
      <c r="AA35" s="666"/>
      <c r="AB35" s="661"/>
      <c r="AC35" s="248"/>
      <c r="AD35" s="249"/>
    </row>
    <row r="36" spans="3:30">
      <c r="C36" s="238"/>
      <c r="J36" s="497"/>
      <c r="W36" s="658"/>
      <c r="X36" s="659"/>
      <c r="Y36" s="246"/>
      <c r="Z36" s="251"/>
      <c r="AA36" s="660"/>
      <c r="AB36" s="661"/>
      <c r="AC36" s="248"/>
      <c r="AD36" s="249"/>
    </row>
    <row r="37" spans="3:30" ht="12.75" customHeight="1">
      <c r="C37" s="238"/>
      <c r="J37" s="497"/>
      <c r="W37" s="662"/>
      <c r="X37" s="663"/>
      <c r="Y37" s="246"/>
      <c r="Z37" s="251"/>
      <c r="AA37" s="664"/>
      <c r="AB37" s="665"/>
      <c r="AC37" s="252"/>
      <c r="AD37" s="253"/>
    </row>
    <row r="38" spans="3:30" ht="12.75" customHeight="1">
      <c r="C38" s="238"/>
      <c r="J38" s="497"/>
      <c r="W38" s="662"/>
      <c r="X38" s="663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497"/>
      <c r="W39" s="662"/>
      <c r="X39" s="663"/>
      <c r="Y39" s="254"/>
      <c r="Z39" s="257"/>
      <c r="AA39" s="654"/>
      <c r="AB39" s="655"/>
      <c r="AC39" s="252"/>
      <c r="AD39" s="253"/>
    </row>
    <row r="40" spans="3:30" ht="12" customHeight="1">
      <c r="C40" s="238"/>
      <c r="J40" s="497"/>
      <c r="W40" s="650"/>
      <c r="X40" s="65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2"/>
      <c r="X41" s="653"/>
      <c r="Y41" s="260"/>
      <c r="Z41" s="261"/>
      <c r="AA41" s="654"/>
      <c r="AB41" s="655"/>
      <c r="AC41" s="252"/>
      <c r="AD41" s="253"/>
    </row>
    <row r="42" spans="3:30" ht="12" customHeight="1">
      <c r="C42" s="238"/>
      <c r="W42" s="656" t="s">
        <v>1456</v>
      </c>
      <c r="X42" s="657"/>
      <c r="Y42" s="657"/>
      <c r="Z42" s="657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5" t="s">
        <v>11</v>
      </c>
      <c r="X44" s="636"/>
      <c r="Y44" s="638"/>
      <c r="Z44" s="638"/>
      <c r="AA44" s="638"/>
      <c r="AB44" s="638"/>
      <c r="AC44" s="638"/>
      <c r="AD44" s="63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5" t="s">
        <v>984</v>
      </c>
      <c r="X45" s="636"/>
      <c r="Y45" s="638">
        <v>1</v>
      </c>
      <c r="Z45" s="638"/>
      <c r="AA45" s="638"/>
      <c r="AB45" s="638" t="s">
        <v>12</v>
      </c>
      <c r="AC45" s="63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5" t="s">
        <v>15</v>
      </c>
      <c r="X46" s="636"/>
      <c r="Y46" s="649"/>
      <c r="Z46" s="649"/>
      <c r="AA46" s="649"/>
      <c r="AB46" s="638" t="s">
        <v>16</v>
      </c>
      <c r="AC46" s="63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3" t="s">
        <v>17</v>
      </c>
      <c r="X47" s="643"/>
      <c r="Y47" s="643"/>
      <c r="Z47" s="643"/>
      <c r="AA47" s="643"/>
      <c r="AB47" s="643"/>
      <c r="AC47" s="643"/>
      <c r="AD47" s="64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5" t="str">
        <f>RAB!G6</f>
        <v>UD BINTANG JAYA</v>
      </c>
      <c r="X48" s="645"/>
      <c r="Y48" s="645"/>
      <c r="Z48" s="645"/>
      <c r="AA48" s="645"/>
      <c r="AB48" s="645"/>
      <c r="AC48" s="645"/>
      <c r="AD48" s="64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5"/>
      <c r="X49" s="645"/>
      <c r="Y49" s="645"/>
      <c r="Z49" s="645"/>
      <c r="AA49" s="645"/>
      <c r="AB49" s="645"/>
      <c r="AC49" s="645"/>
      <c r="AD49" s="64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5"/>
      <c r="X50" s="645"/>
      <c r="Y50" s="645"/>
      <c r="Z50" s="645"/>
      <c r="AA50" s="645"/>
      <c r="AB50" s="645"/>
      <c r="AC50" s="645"/>
      <c r="AD50" s="64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7"/>
      <c r="X51" s="647"/>
      <c r="Y51" s="647"/>
      <c r="Z51" s="647"/>
      <c r="AA51" s="647"/>
      <c r="AB51" s="647"/>
      <c r="AC51" s="647"/>
      <c r="AD51" s="64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5" t="s">
        <v>18</v>
      </c>
      <c r="X52" s="636"/>
      <c r="Y52" s="638" t="s">
        <v>1549</v>
      </c>
      <c r="Z52" s="638"/>
      <c r="AA52" s="638"/>
      <c r="AB52" s="638"/>
      <c r="AC52" s="638"/>
      <c r="AD52" s="63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5" t="s">
        <v>19</v>
      </c>
      <c r="X53" s="636"/>
      <c r="Y53" s="638" t="s">
        <v>1549</v>
      </c>
      <c r="Z53" s="638"/>
      <c r="AA53" s="638"/>
      <c r="AB53" s="638"/>
      <c r="AC53" s="638"/>
      <c r="AD53" s="63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5" t="s">
        <v>20</v>
      </c>
      <c r="X54" s="636"/>
      <c r="Y54" s="637" t="s">
        <v>1550</v>
      </c>
      <c r="Z54" s="637"/>
      <c r="AA54" s="637"/>
      <c r="AB54" s="638"/>
      <c r="AC54" s="638"/>
      <c r="AD54" s="63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0" t="s">
        <v>21</v>
      </c>
      <c r="X55" s="641"/>
      <c r="Y55" s="637" t="s">
        <v>1551</v>
      </c>
      <c r="Z55" s="637"/>
      <c r="AA55" s="637"/>
      <c r="AB55" s="637"/>
      <c r="AC55" s="637"/>
      <c r="AD55" s="642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W44" sqref="W43:W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5" t="s">
        <v>1528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  <c r="AA4" s="696"/>
      <c r="AB4" s="696"/>
      <c r="AC4" s="697"/>
      <c r="AD4" s="217"/>
      <c r="AE4" s="216"/>
      <c r="AF4" s="216"/>
    </row>
    <row r="5" spans="2:32" ht="13.5" customHeight="1">
      <c r="B5" s="215"/>
      <c r="C5" s="215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  <c r="AA5" s="699"/>
      <c r="AB5" s="699"/>
      <c r="AC5" s="700"/>
      <c r="AD5" s="217"/>
      <c r="AE5" s="216"/>
      <c r="AF5" s="216"/>
    </row>
    <row r="6" spans="2:32" ht="12.75" customHeight="1">
      <c r="B6" s="215"/>
      <c r="C6" s="215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  <c r="AA6" s="699"/>
      <c r="AB6" s="699"/>
      <c r="AC6" s="700"/>
      <c r="AE6" s="216"/>
      <c r="AF6" s="216"/>
    </row>
    <row r="7" spans="2:32" ht="12.75" customHeight="1" thickBot="1">
      <c r="B7" s="215"/>
      <c r="C7" s="215"/>
      <c r="D7" s="701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  <c r="AA7" s="702"/>
      <c r="AB7" s="702"/>
      <c r="AC7" s="70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W18" sqref="W17:W18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9" t="s">
        <v>1527</v>
      </c>
      <c r="D3" s="699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699"/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04" t="str">
        <f>GAMBAR!E7</f>
        <v>KOORDINAT : -6.966696, 110.521996</v>
      </c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182"/>
      <c r="Y6" s="426"/>
      <c r="Z6" s="426"/>
      <c r="AA6" s="426"/>
      <c r="AB6" s="427"/>
      <c r="AC6" s="427"/>
    </row>
    <row r="7" spans="1:29" ht="18" customHeight="1">
      <c r="A7" s="181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2024-03-06T08:18:04Z</dcterms:modified>
</cp:coreProperties>
</file>