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372AE1F1-BDC3-40A6-92FB-A7CEB72C921A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8" i="11" l="1"/>
  <c r="G30" i="11"/>
  <c r="G31" i="11"/>
  <c r="D28" i="11"/>
  <c r="H28" i="11" s="1"/>
  <c r="E28" i="11"/>
  <c r="J29" i="11"/>
  <c r="D30" i="11"/>
  <c r="I30" i="11" s="1"/>
  <c r="E30" i="11"/>
  <c r="F27" i="11"/>
  <c r="F26" i="11"/>
  <c r="F25" i="11"/>
  <c r="F24" i="11"/>
  <c r="F38" i="11"/>
  <c r="F37" i="11"/>
  <c r="F36" i="11"/>
  <c r="F35" i="11"/>
  <c r="F34" i="11"/>
  <c r="F33" i="11"/>
  <c r="F32" i="11"/>
  <c r="J28" i="11" l="1"/>
  <c r="H30" i="11"/>
  <c r="I28" i="11"/>
  <c r="K28" i="11" s="1"/>
  <c r="J30" i="11"/>
  <c r="I29" i="11"/>
  <c r="H29" i="11"/>
  <c r="K29" i="11" s="1"/>
  <c r="G32" i="11"/>
  <c r="G33" i="11"/>
  <c r="G34" i="11"/>
  <c r="G35" i="11"/>
  <c r="G36" i="11"/>
  <c r="G37" i="11"/>
  <c r="G38" i="11"/>
  <c r="G39" i="11"/>
  <c r="G40" i="11"/>
  <c r="G41" i="11"/>
  <c r="G42" i="11"/>
  <c r="D31" i="1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39" i="11"/>
  <c r="J39" i="11" s="1"/>
  <c r="E39" i="11"/>
  <c r="D40" i="11"/>
  <c r="J40" i="11" s="1"/>
  <c r="E40" i="11"/>
  <c r="D41" i="11"/>
  <c r="I41" i="11" s="1"/>
  <c r="E41" i="11"/>
  <c r="D42" i="11"/>
  <c r="H42" i="11" s="1"/>
  <c r="E42" i="11"/>
  <c r="D18" i="11"/>
  <c r="H18" i="11" s="1"/>
  <c r="E18" i="11"/>
  <c r="G18" i="11"/>
  <c r="D19" i="11"/>
  <c r="J19" i="11" s="1"/>
  <c r="E19" i="11"/>
  <c r="G19" i="11"/>
  <c r="D20" i="11"/>
  <c r="J20" i="11" s="1"/>
  <c r="E20" i="11"/>
  <c r="G20" i="11"/>
  <c r="K30" i="11" l="1"/>
  <c r="H31" i="11"/>
  <c r="I31" i="11"/>
  <c r="J31" i="11"/>
  <c r="I36" i="11"/>
  <c r="I32" i="11"/>
  <c r="I38" i="11"/>
  <c r="H41" i="11"/>
  <c r="J34" i="11"/>
  <c r="H32" i="11"/>
  <c r="J38" i="11"/>
  <c r="H36" i="11"/>
  <c r="I34" i="11"/>
  <c r="I40" i="11"/>
  <c r="I39" i="11"/>
  <c r="I35" i="11"/>
  <c r="J42" i="11"/>
  <c r="H40" i="11"/>
  <c r="H39" i="11"/>
  <c r="J37" i="11"/>
  <c r="H35" i="11"/>
  <c r="J33" i="11"/>
  <c r="I42" i="11"/>
  <c r="J41" i="11"/>
  <c r="I37" i="11"/>
  <c r="J36" i="11"/>
  <c r="I33" i="11"/>
  <c r="J32" i="11"/>
  <c r="I19" i="11"/>
  <c r="H19" i="11"/>
  <c r="I20" i="11"/>
  <c r="H20" i="11"/>
  <c r="J18" i="11"/>
  <c r="I18" i="11"/>
  <c r="K31" i="11" l="1"/>
  <c r="K39" i="11"/>
  <c r="K34" i="11"/>
  <c r="K36" i="11"/>
  <c r="K33" i="11"/>
  <c r="K42" i="11"/>
  <c r="K40" i="11"/>
  <c r="K38" i="11"/>
  <c r="K37" i="11"/>
  <c r="K32" i="11"/>
  <c r="K41" i="11"/>
  <c r="K35" i="11"/>
  <c r="K20" i="11"/>
  <c r="K18" i="11"/>
  <c r="K19" i="11"/>
  <c r="D22" i="11" l="1"/>
  <c r="D23" i="11"/>
  <c r="D24" i="11"/>
  <c r="D25" i="11"/>
  <c r="D26" i="11"/>
  <c r="D27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D21" i="11"/>
  <c r="J21" i="11" s="1"/>
  <c r="E21" i="11"/>
  <c r="G21" i="11"/>
  <c r="H22" i="11"/>
  <c r="E22" i="11"/>
  <c r="G22" i="11"/>
  <c r="E23" i="11"/>
  <c r="G23" i="11"/>
  <c r="J24" i="11"/>
  <c r="E24" i="11"/>
  <c r="G24" i="11"/>
  <c r="J25" i="11"/>
  <c r="E25" i="11"/>
  <c r="G25" i="11"/>
  <c r="E26" i="11"/>
  <c r="G26" i="11"/>
  <c r="H27" i="11"/>
  <c r="E27" i="11"/>
  <c r="G27" i="11"/>
  <c r="D20" i="60"/>
  <c r="H23" i="11" l="1"/>
  <c r="H26" i="11"/>
  <c r="J27" i="11"/>
  <c r="J26" i="11"/>
  <c r="I24" i="11"/>
  <c r="H24" i="11"/>
  <c r="J23" i="11"/>
  <c r="J22" i="11"/>
  <c r="I22" i="11"/>
  <c r="I26" i="11"/>
  <c r="H25" i="11"/>
  <c r="H21" i="11"/>
  <c r="I25" i="11"/>
  <c r="I21" i="11"/>
  <c r="I27" i="11"/>
  <c r="I23" i="11"/>
  <c r="D14" i="11"/>
  <c r="J14" i="11" s="1"/>
  <c r="E14" i="11"/>
  <c r="G14" i="11"/>
  <c r="K19" i="60"/>
  <c r="D19" i="60"/>
  <c r="K22" i="11" l="1"/>
  <c r="K24" i="11"/>
  <c r="K26" i="11"/>
  <c r="K27" i="11"/>
  <c r="K23" i="11"/>
  <c r="K21" i="11"/>
  <c r="K2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3" i="11"/>
  <c r="D44" i="11"/>
  <c r="H44" i="11" s="1"/>
  <c r="E4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4" i="11"/>
  <c r="I4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6" i="11"/>
  <c r="H47" i="11" s="1"/>
  <c r="I46" i="11"/>
  <c r="I4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8" i="11"/>
  <c r="I48" i="11"/>
  <c r="F364" i="29"/>
  <c r="F69" i="39"/>
  <c r="F72" i="39"/>
  <c r="F367" i="29"/>
  <c r="J43" i="11"/>
  <c r="K4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46" i="11" l="1"/>
  <c r="K47" i="11" s="1"/>
  <c r="K48" i="11" s="1"/>
  <c r="B4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6" i="11"/>
  <c r="J4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<sst xmlns="http://schemas.openxmlformats.org/spreadsheetml/2006/main" count="4716" uniqueCount="1634">
  <si>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</si>
  <si>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</si>
  <si>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</si>
  <si>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</si>
  <si>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</si>
  <si>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</si>
  <si>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</si>
  <si>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</si>
  <si>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</si>
  <si>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</si>
  <si>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</si>
  <si>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</si>
  <si>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</si>
  <si>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</si>
  <si>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</si>
  <si>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</si>
  <si>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</si>
  <si>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</si>
  <si>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</si>
  <si>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</si>
  <si>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</si>
  <si>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</si>
  <si>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</si>
  <si>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</si>
  <si>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</si>
  <si>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</si>
  <si>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</si>
  <si>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</si>
  <si>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</si>
  <si>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</si>
  <si>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</si>
  <si>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</si>
  <si>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</si>
  <si>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</si>
  <si>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</si>
  <si>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</si>
  <si>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</si>
  <si>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</si>
  <si>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</si>
  <si>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</si>
  <si>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</si>
  <si>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</si>
  <si>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</si>
  <si>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</si>
  <si>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</si>
  <si>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</si>
  <si>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</si>
  <si>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</si>
  <si>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</si>
  <si>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</si>
  <si>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</si>
  <si>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</si>
  <si>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</si>
  <si>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</si>
  <si>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</si>
  <si>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</si>
  <si>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</si>
  <si>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</si>
  <si>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</si>
  <si>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</si>
  <si>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</si>
  <si>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</si>
  <si>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</si>
  <si>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</si>
  <si>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</si>
  <si>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</si>
  <si>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</si>
  <si>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</si>
  <si>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</si>
  <si>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</si>
  <si>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</si>
  <si>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</si>
  <si>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</si>
  <si>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</si>
  <si>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</si>
  <si>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</si>
  <si>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</si>
  <si>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</si>
  <si>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</si>
  <si>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</si>
  <si>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</si>
  <si>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</si>
  <si>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</si>
  <si>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</si>
  <si>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</si>
  <si>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</si>
  <si>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</si>
  <si>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</si>
  <si>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</si>
  <si>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</si>
  <si>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</si>
  <si>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</si>
  <si>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</si>
  <si>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</si>
  <si>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</si>
  <si>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</si>
  <si>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</si>
  <si>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</si>
  <si>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</si>
  <si>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</si>
  <si>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</si>
  <si>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</si>
  <si>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</si>
  <si>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</si>
  <si>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</si>
  <si>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</si>
  <si>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</si>
  <si>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</si>
  <si>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</si>
  <si>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</si>
  <si>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</si>
  <si>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</si>
  <si>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</si>
  <si>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</si>
  <si>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</si>
  <si>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</si>
  <si>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</si>
  <si>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</si>
  <si>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</si>
  <si>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</si>
  <si>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</si>
  <si>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</si>
  <si>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</si>
  <si>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</si>
  <si>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</si>
  <si>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</si>
  <si>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</si>
  <si>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</si>
  <si>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</si>
  <si>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</si>
  <si>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</si>
  <si>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</si>
  <si>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</si>
  <si>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</si>
  <si>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</si>
  <si>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</si>
  <si>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</si>
  <si>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</si>
  <si>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</si>
  <si>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</si>
  <si>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</si>
  <si>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</si>
  <si>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</si>
  <si>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</si>
  <si>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</si>
  <si>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</si>
  <si>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</si>
  <si>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</si>
  <si>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</si>
  <si>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</si>
  <si>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</si>
  <si>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</si>
  <si>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</si>
  <si>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</si>
  <si>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</si>
  <si>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</si>
  <si>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</si>
  <si>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</si>
  <si>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</si>
  <si>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</si>
  <si>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</si>
  <si>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</si>
  <si>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</si>
  <si>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</si>
  <si>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</si>
  <si>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</si>
  <si>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</si>
  <si>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</si>
  <si>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</si>
  <si>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</si>
  <si>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</si>
  <si>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</si>
  <si>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</si>
  <si>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</si>
  <si>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</si>
  <si>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</si>
  <si>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</si>
  <si>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</si>
  <si>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</si>
  <si>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</si>
  <si>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</si>
  <si>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</si>
  <si>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</si>
  <si>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</si>
  <si>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</si>
  <si>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</si>
  <si>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</si>
  <si>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</si>
  <si>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</si>
  <si>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</si>
  <si>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</si>
  <si>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</si>
  <si>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</si>
  <si>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</si>
  <si>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</si>
  <si>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</si>
  <si>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</si>
  <si>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</si>
  <si>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</si>
  <si>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</si>
  <si>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</si>
  <si>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</si>
  <si>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</si>
  <si>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</si>
  <si>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</si>
  <si>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</si>
  <si>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</si>
  <si>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</si>
  <si>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</si>
  <si>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</si>
  <si>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</si>
  <si>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</si>
  <si>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</si>
  <si>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</si>
  <si>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</si>
  <si>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</si>
  <si>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</si>
  <si>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</si>
  <si>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</si>
  <si>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</si>
  <si>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</si>
  <si>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</si>
  <si>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</si>
  <si>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</si>
  <si>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</si>
  <si>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</si>
  <si>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</si>
  <si>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</si>
  <si>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</si>
  <si>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</si>
  <si>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</si>
  <si>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</si>
  <si>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</si>
  <si>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</si>
  <si>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</si>
  <si>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</si>
  <si>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</si>
  <si>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</si>
  <si>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</si>
  <si>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</si>
  <si>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</si>
  <si>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</si>
  <si>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</si>
  <si>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</si>
  <si>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</si>
  <si>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</si>
  <si>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</si>
  <si>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</si>
  <si>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</si>
  <si>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</si>
  <si>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</si>
  <si>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</si>
  <si>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</si>
  <si>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</si>
  <si>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</si>
  <si>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</si>
  <si>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</si>
  <si>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</si>
  <si>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</si>
  <si>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</si>
  <si>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</si>
  <si>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</si>
  <si>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</si>
  <si>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</si>
  <si>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</si>
  <si>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</si>
  <si>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</si>
  <si>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</si>
  <si>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</si>
  <si>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</si>
  <si>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</si>
  <si>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</si>
  <si>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</si>
  <si>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</si>
  <si>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</si>
  <si>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</si>
  <si>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</si>
  <si>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</si>
  <si>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</si>
  <si>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</si>
  <si>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</si>
  <si>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</si>
  <si>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</si>
  <si>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</si>
  <si>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</si>
  <si>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</si>
  <si>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</si>
  <si>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</si>
  <si>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</si>
  <si>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</si>
  <si>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</si>
  <si>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</si>
  <si>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</si>
  <si>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</si>
  <si>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</si>
  <si>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</si>
  <si>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</si>
  <si>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</si>
  <si>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</si>
  <si>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</si>
  <si>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</si>
  <si>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</si>
  <si>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</si>
  <si>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</si>
  <si>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</si>
  <si>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</si>
  <si>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</si>
  <si>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</si>
  <si>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</si>
  <si>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</si>
  <si>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</si>
  <si>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</si>
  <si>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</si>
  <si>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</si>
  <si>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</si>
  <si>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</si>
  <si>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</si>
  <si>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</si>
  <si>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</si>
  <si>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</si>
  <si>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</si>
  <si>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</si>
  <si>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</si>
  <si>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</si>
  <si>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</si>
  <si>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</si>
  <si>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</si>
  <si>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</si>
  <si>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</si>
  <si>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</si>
  <si>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</si>
  <si>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</si>
  <si>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</si>
  <si>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</si>
  <si>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</si>
  <si>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</si>
  <si>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</si>
  <si>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</si>
  <si>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</si>
  <si>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</si>
  <si>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</si>
  <si>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</si>
  <si>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</si>
  <si>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</si>
  <si>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</si>
  <si>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</si>
  <si>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</si>
  <si>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</si>
  <si>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</si>
  <si>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</si>
  <si>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</si>
  <si>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</si>
  <si>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</si>
  <si>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</si>
  <si>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</si>
  <si>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</si>
  <si>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</si>
  <si>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</si>
  <si>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</si>
  <si>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</si>
  <si>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</si>
  <si>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</si>
  <si>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</si>
  <si>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</si>
  <si>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</si>
  <si>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</si>
  <si>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</si>
  <si>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</si>
  <si>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</si>
  <si>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</si>
  <si>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</si>
  <si>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</si>
  <si>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</si>
  <si>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</si>
  <si>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</si>
  <si>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</si>
  <si>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</si>
  <si>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</si>
  <si>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</si>
  <si>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</si>
  <si>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</si>
  <si>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</si>
  <si>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</si>
  <si>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</si>
  <si>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</si>
  <si>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</si>
  <si>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</si>
  <si>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</si>
  <si>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</si>
  <si>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</si>
  <si>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</si>
  <si>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</si>
  <si>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</si>
  <si>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</si>
  <si>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</si>
  <si>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</si>
  <si>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</si>
  <si>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</si>
  <si>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</si>
  <si>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</si>
  <si>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</si>
  <si>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</si>
  <si>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</si>
  <si>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</si>
  <si>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</si>
  <si>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</si>
  <si>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</si>
  <si>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</si>
  <si>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</si>
  <si>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</si>
  <si>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</si>
  <si>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</si>
  <si>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</si>
  <si>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</si>
  <si>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</si>
  <si>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</si>
  <si>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</si>
  <si>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</si>
  <si>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</si>
  <si>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</si>
  <si>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</si>
  <si>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</si>
  <si>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</si>
  <si>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</si>
  <si>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</si>
  <si>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</si>
  <si>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</si>
  <si>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</si>
  <si>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</si>
  <si>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</si>
  <si>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</si>
  <si>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</si>
  <si>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</si>
  <si>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</si>
  <si>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</si>
  <si>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</si>
  <si>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</si>
  <si>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</si>
  <si>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</si>
  <si>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</si>
  <si>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</si>
  <si>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</si>
  <si>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</si>
  <si>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</si>
  <si>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</si>
  <si>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</si>
  <si>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</si>
  <si>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</si>
  <si>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</si>
  <si>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</si>
  <si>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</si>
  <si>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</si>
  <si>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</si>
  <si>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</si>
  <si>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</si>
  <si>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</si>
  <si>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</si>
  <si>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</si>
  <si>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</si>
  <si>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</si>
  <si>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</si>
  <si>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</si>
  <si>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</si>
  <si>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</si>
  <si>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</si>
  <si>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</si>
  <si>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</si>
  <si>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</si>
  <si>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</si>
  <si>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</si>
  <si>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</si>
  <si>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</si>
  <si>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</si>
  <si>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</si>
  <si>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</si>
  <si>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</si>
  <si>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</si>
  <si>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</si>
  <si>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</si>
  <si>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</si>
  <si>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</si>
  <si>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</si>
  <si>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</si>
  <si>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</si>
  <si>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</si>
  <si>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</si>
  <si>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</si>
  <si>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</si>
  <si>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</si>
  <si>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</si>
  <si>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</si>
  <si>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</si>
  <si>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</si>
  <si>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</si>
  <si>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</si>
  <si>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</si>
  <si>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</si>
  <si>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</si>
  <si>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</si>
  <si>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</si>
  <si>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</si>
  <si>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</si>
  <si>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</si>
  <si>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</si>
  <si>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</si>
  <si>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</si>
  <si>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</si>
  <si>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</si>
  <si>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</si>
  <si>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</si>
  <si>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</si>
  <si>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</si>
  <si>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</si>
  <si>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</si>
  <si>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</si>
  <si>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</si>
  <si>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</si>
  <si>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</si>
  <si>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</si>
  <si>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</si>
  <si>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</si>
  <si>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</si>
  <si>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</si>
  <si>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</si>
  <si>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</si>
  <si>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</si>
  <si>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</si>
  <si>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</si>
  <si>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</si>
  <si>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</si>
  <si>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</si>
  <si>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</si>
  <si>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</si>
  <si>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</si>
  <si>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</si>
  <si>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</si>
  <si>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</si>
  <si>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</si>
  <si>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</si>
  <si>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</si>
  <si>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</si>
  <si>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</si>
  <si>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</si>
  <si>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</si>
  <si>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</si>
  <si>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</si>
  <si>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</si>
  <si>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</si>
  <si>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</si>
  <si>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</si>
  <si>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</si>
  <si>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</si>
  <si>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</si>
  <si>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</si>
  <si>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</si>
  <si>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</si>
  <si>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</si>
  <si>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</si>
  <si>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</si>
  <si>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</si>
  <si>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</si>
  <si>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</si>
  <si>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</si>
  <si>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</si>
  <si>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</si>
  <si>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</si>
  <si>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</si>
  <si>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</si>
  <si>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</si>
  <si>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</si>
  <si>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</si>
  <si>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</si>
  <si>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</si>
  <si>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</si>
  <si>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</si>
  <si>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</si>
  <si>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</si>
  <si>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</si>
  <si>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</si>
  <si>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</si>
  <si>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</si>
  <si>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</si>
  <si>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</si>
  <si>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</si>
  <si>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</si>
  <si>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</si>
  <si>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</si>
  <si>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</si>
  <si>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</si>
  <si>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</si>
  <si>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</si>
  <si>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</si>
  <si>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</si>
  <si>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</si>
  <si>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</si>
  <si>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</si>
  <si>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</si>
  <si>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</si>
  <si>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</si>
  <si>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</si>
  <si>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</si>
  <si>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</si>
  <si>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</si>
  <si>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</si>
  <si>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</si>
  <si>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</si>
  <si>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</si>
  <si>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</si>
  <si>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</si>
  <si>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</si>
  <si>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</si>
  <si>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</si>
  <si>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</si>
  <si>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</si>
  <si>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</si>
  <si>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</si>
  <si>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</si>
  <si>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</si>
  <si>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</si>
  <si>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</si>
  <si>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</si>
  <si>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</si>
  <si>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</si>
  <si>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</si>
  <si>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</si>
  <si>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</si>
  <si>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</si>
  <si>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</si>
  <si>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</si>
  <si>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</si>
  <si>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</si>
  <si>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</si>
  <si>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</si>
  <si>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</si>
  <si>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</si>
  <si>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</si>
  <si>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</si>
  <si>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</si>
  <si>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</si>
  <si>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</si>
  <si>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</si>
  <si>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</si>
  <si>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</si>
  <si>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</si>
  <si>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</si>
  <si>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</si>
  <si>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</si>
  <si>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</si>
  <si>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</si>
  <si>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</si>
  <si>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</si>
  <si>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</si>
  <si>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</si>
  <si>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</si>
  <si>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</si>
  <si>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</si>
  <si>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</si>
  <si>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</si>
  <si>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</si>
  <si>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</si>
  <si>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</si>
  <si>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</si>
  <si>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</si>
  <si>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</si>
  <si>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</si>
  <si>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</si>
  <si>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</si>
  <si>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</si>
  <si>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</si>
  <si>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</si>
  <si>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</si>
  <si>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</si>
  <si>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</si>
  <si>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</si>
  <si>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</si>
  <si>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</si>
  <si>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</si>
  <si>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</si>
  <si>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</si>
  <si>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</si>
  <si>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</si>
  <si>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</si>
  <si>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</si>
  <si>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</si>
  <si>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</si>
  <si>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</si>
  <si>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</si>
  <si>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</si>
  <si>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</si>
  <si>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</si>
  <si>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</si>
  <si>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</si>
  <si>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</si>
  <si>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</si>
  <si>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</si>
  <si>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</si>
  <si>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</si>
  <si>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</si>
  <si>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</si>
  <si>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</si>
  <si>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</si>
  <si>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</si>
  <si>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</si>
  <si>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</si>
  <si>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</si>
  <si>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</si>
  <si>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</si>
  <si>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</si>
  <si>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</si>
  <si>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</si>
  <si>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</si>
  <si>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</si>
  <si>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</si>
  <si>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</si>
  <si>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</si>
  <si>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</si>
  <si>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</si>
  <si>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</si>
  <si>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</si>
  <si>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</si>
  <si>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</si>
  <si>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</si>
  <si>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</si>
  <si>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</si>
  <si>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</si>
  <si>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</si>
  <si>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</si>
  <si>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</si>
  <si>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</si>
  <si>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</si>
  <si>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</si>
  <si>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</si>
  <si>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</si>
  <si>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</si>
  <si>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</si>
  <si>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</si>
  <si>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</si>
  <si>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</si>
  <si>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</si>
  <si>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</si>
  <si>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</si>
  <si>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</si>
  <si>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</si>
  <si>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</si>
  <si>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</si>
  <si>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</si>
  <si>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</si>
  <si>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</si>
  <si>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</si>
  <si>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</si>
  <si>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</si>
  <si>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</si>
  <si>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</si>
  <si>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</si>
  <si>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</si>
  <si>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</si>
  <si>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</si>
  <si>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</si>
  <si>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</si>
  <si>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</si>
  <si>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</si>
  <si>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</si>
  <si>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</si>
  <si>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</si>
  <si>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</si>
  <si>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</si>
  <si>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</si>
  <si>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</si>
  <si>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</si>
  <si>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</si>
  <si>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</si>
  <si>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</si>
  <si>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</si>
  <si>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</si>
  <si>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</si>
  <si>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</si>
  <si>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</si>
  <si>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</si>
  <si>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</si>
  <si>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</si>
  <si>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</si>
  <si>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</si>
  <si>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</si>
  <si>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</si>
  <si>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</si>
  <si>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</si>
  <si>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</si>
  <si>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</si>
  <si>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</si>
  <si>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</si>
  <si>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</si>
  <si>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</si>
  <si>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</si>
  <si>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</si>
  <si>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</si>
  <si>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</si>
  <si>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</si>
  <si>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</si>
  <si>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</si>
  <si>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</si>
  <si>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</si>
  <si>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</si>
  <si>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</si>
  <si>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</si>
  <si>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</si>
  <si>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</si>
  <si>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</si>
  <si>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</si>
  <si>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</si>
  <si>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</si>
  <si>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</si>
  <si>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</si>
  <si>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</si>
  <si>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</si>
  <si>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</si>
  <si>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</si>
  <si>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</si>
  <si>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</si>
  <si>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</si>
  <si>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</si>
  <si>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</si>
  <si>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</si>
  <si>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</si>
  <si>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</si>
  <si>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</si>
  <si>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</si>
  <si>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</si>
  <si>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</si>
  <si>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</si>
  <si>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</si>
  <si>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</si>
  <si>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</si>
  <si>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</si>
  <si>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</si>
  <si>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</si>
  <si>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</si>
  <si>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</si>
  <si>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</si>
  <si>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</si>
  <si>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</si>
  <si>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</si>
  <si>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</si>
  <si>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</si>
  <si>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</si>
  <si>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</si>
  <si>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</si>
  <si>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</si>
  <si>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</si>
  <si>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</si>
  <si>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</si>
  <si>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</si>
  <si>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</si>
  <si>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</si>
  <si>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</si>
  <si>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</si>
  <si>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</si>
  <si>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</si>
  <si>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</si>
  <si>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</si>
  <si>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</si>
  <si>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</si>
  <si>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</si>
  <si>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</si>
  <si>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</si>
  <si>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</si>
  <si>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</si>
  <si>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</si>
  <si>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</si>
  <si>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</si>
  <si>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</si>
  <si>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</si>
  <si>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</si>
  <si>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</si>
  <si>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</si>
  <si>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</si>
  <si>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</si>
  <si>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</si>
  <si>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</si>
  <si>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</si>
  <si>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</si>
  <si>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</si>
  <si>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</si>
  <si>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</si>
  <si>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</si>
  <si>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</si>
  <si>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</si>
  <si>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</si>
  <si>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</si>
  <si>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</si>
  <si>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</si>
  <si>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</si>
  <si>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</si>
  <si>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</si>
  <si>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</si>
  <si>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</si>
  <si>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</si>
  <si>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</si>
  <si>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</si>
  <si>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</si>
  <si>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</si>
  <si>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</si>
  <si>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</si>
  <si>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</si>
  <si>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</si>
  <si>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</si>
  <si>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</si>
  <si>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</si>
  <si>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</si>
  <si>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</si>
  <si>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</si>
  <si>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</si>
  <si>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</si>
  <si>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</si>
  <si>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</si>
  <si>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</si>
  <si>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</si>
  <si>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</si>
  <si>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</si>
  <si>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</si>
  <si>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</si>
  <si>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</si>
  <si>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</si>
  <si>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</si>
  <si>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</si>
  <si>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</si>
  <si>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</si>
  <si>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</si>
  <si>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</si>
  <si>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</si>
  <si>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</si>
  <si>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</si>
  <si>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</si>
  <si>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</si>
  <si>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</si>
  <si>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</si>
  <si>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</si>
  <si>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</si>
  <si>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</si>
  <si>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</si>
  <si>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</si>
  <si>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</si>
  <si>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</si>
  <si>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</si>
  <si>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</si>
  <si>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</si>
  <si>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</si>
  <si>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</si>
  <si>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</si>
  <si>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</si>
  <si>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</si>
  <si>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</si>
  <si>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</si>
  <si>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</si>
  <si>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</si>
  <si>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</si>
  <si>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</si>
  <si>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</si>
  <si>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</si>
  <si>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</si>
  <si>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</si>
  <si>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</si>
  <si>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</si>
  <si>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</si>
  <si>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</si>
  <si>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</si>
  <si>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</si>
  <si>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</si>
  <si>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</si>
  <si>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</si>
  <si>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</si>
  <si>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</si>
  <si>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</si>
  <si>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</si>
  <si>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</si>
  <si>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</si>
  <si>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</si>
  <si>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</si>
  <si>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</si>
  <si>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</si>
  <si>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</si>
  <si>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</si>
  <si>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</si>
  <si>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</si>
  <si>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</si>
  <si>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</si>
  <si>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</si>
  <si>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</si>
  <si>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</si>
  <si>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</si>
  <si>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</si>
  <si>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</si>
  <si>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</si>
  <si>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</si>
  <si>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</si>
  <si>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</si>
  <si>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</si>
  <si>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</si>
  <si>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</si>
  <si>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</si>
  <si>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</si>
  <si>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</si>
  <si>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</si>
  <si>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</si>
  <si>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</si>
  <si>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</si>
  <si>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</si>
  <si>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</si>
  <si>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</si>
  <si>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</si>
  <si>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</si>
  <si>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</si>
  <si>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</si>
  <si>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</si>
  <si>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</si>
  <si>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</si>
  <si>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</si>
  <si>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</si>
  <si>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</si>
  <si>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</si>
  <si>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</si>
  <si>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</si>
  <si>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</si>
  <si>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</si>
  <si>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</si>
  <si>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</si>
  <si>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</si>
  <si>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</si>
  <si>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</si>
  <si>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</si>
  <si>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</si>
  <si>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</si>
  <si>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</si>
  <si>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</si>
  <si>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</si>
  <si>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</si>
  <si>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</si>
  <si>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</si>
  <si>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</si>
  <si>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</si>
  <si>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</si>
  <si>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</si>
  <si>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</si>
  <si>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</si>
  <si>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</si>
  <si>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</si>
  <si>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</si>
  <si>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</si>
  <si>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</si>
  <si>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</si>
  <si>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</si>
  <si>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</si>
  <si>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</si>
  <si>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</si>
  <si>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</si>
  <si>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</si>
  <si>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</si>
  <si>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</si>
  <si>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</si>
  <si>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</si>
  <si>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</si>
  <si>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</si>
  <si>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</si>
  <si>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</si>
  <si>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</si>
  <si>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</si>
  <si>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</si>
  <si>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</si>
  <si>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</si>
  <si>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</si>
  <si>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</si>
  <si>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</si>
  <si>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</si>
  <si>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</si>
  <si>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</si>
  <si>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</si>
  <si>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</si>
  <si>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</si>
  <si>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</si>
  <si>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</si>
  <si>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</si>
  <si>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</si>
  <si>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</si>
  <si>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</si>
  <si>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</si>
  <si>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</si>
  <si>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</si>
  <si>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</si>
  <si>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</si>
  <si>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</si>
  <si>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</si>
  <si>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</si>
  <si>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</si>
  <si>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</si>
  <si>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</si>
  <si>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</si>
  <si>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</si>
  <si>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</si>
  <si>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</si>
  <si>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</si>
  <si>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</si>
  <si>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</si>
  <si>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</si>
  <si>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</si>
  <si>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</si>
  <si>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</si>
  <si>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</si>
  <si>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</si>
  <si>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</si>
  <si>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</si>
  <si>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</si>
  <si>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</si>
  <si>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</si>
  <si>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</si>
  <si>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</si>
  <si>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</si>
  <si>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</si>
  <si>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</si>
  <si>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</si>
  <si>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</si>
  <si>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</si>
  <si>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</si>
  <si>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</si>
  <si>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</si>
  <si>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</si>
  <si>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</si>
  <si>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</si>
  <si>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</si>
  <si>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</si>
  <si>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</si>
  <si>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</si>
  <si>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</si>
  <si>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</si>
  <si>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</si>
  <si>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</si>
  <si>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</si>
  <si>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</si>
  <si>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</si>
  <si>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</si>
  <si>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</si>
  <si>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</si>
  <si>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</si>
  <si>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</si>
  <si>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</si>
  <si>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</si>
  <si>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</si>
  <si>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</si>
  <si>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</si>
  <si>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</si>
  <si>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</si>
  <si>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</si>
  <si>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</si>
  <si>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</si>
  <si>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</si>
  <si>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</si>
  <si>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</si>
  <si>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</si>
  <si>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</si>
  <si>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</si>
  <si>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</si>
  <si>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</si>
  <si>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</si>
  <si>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</si>
  <si>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</si>
  <si>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</si>
  <si>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</si>
  <si>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</si>
  <si>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</si>
  <si>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</si>
  <si>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</si>
  <si>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</si>
  <si>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</si>
  <si>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</si>
  <si>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</si>
  <si>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</si>
  <si>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</si>
  <si>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</si>
  <si>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</si>
  <si>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</si>
  <si>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</si>
  <si>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</si>
  <si>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</si>
  <si>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</si>
  <si>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</si>
  <si>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</si>
  <si>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</si>
  <si>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</si>
  <si>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</si>
  <si>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</si>
  <si>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</si>
  <si>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</si>
  <si>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</si>
  <si>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</si>
  <si>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</si>
  <si>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</si>
  <si>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</si>
  <si>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</si>
  <si>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</si>
  <si>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</si>
  <si>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</si>
  <si>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</si>
  <si>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</si>
  <si>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</si>
  <si>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</si>
  <si>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</si>
  <si>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</si>
  <si>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</si>
  <si>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</si>
  <si>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</si>
  <si>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</si>
  <si>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</si>
  <si>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</si>
  <si>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</si>
  <si>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</si>
  <si>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</si>
  <si>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</si>
  <si>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</si>
  <si>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</si>
  <si>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</si>
  <si>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</si>
  <si>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</si>
  <si>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</si>
  <si>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</si>
  <si>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</si>
  <si>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</si>
  <si>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</si>
  <si>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</si>
  <si>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</si>
  <si>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</si>
  <si>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</si>
  <si>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</si>
  <si>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</si>
  <si>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</si>
  <si>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</si>
  <si>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</si>
  <si>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</si>
  <si>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</si>
  <si>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</si>
  <si>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</si>
  <si>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</si>
  <si>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</si>
  <si>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</si>
  <si>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</si>
  <si>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</si>
  <si>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</si>
  <si>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</si>
  <si>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</si>
  <si>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</si>
  <si>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</si>
  <si>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</si>
  <si>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</si>
  <si>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</si>
  <si>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</si>
  <si>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</si>
  <si>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</si>
  <si>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</si>
  <si>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</si>
  <si>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</si>
  <si>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</si>
  <si>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</si>
  <si>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</si>
  <si>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</si>
  <si>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</si>
  <si>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</si>
  <si>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</si>
  <si>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</si>
  <si>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</si>
  <si>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</si>
  <si>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</si>
  <si>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</si>
  <si>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</si>
  <si>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</si>
  <si>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</si>
  <si>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</si>
  <si>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</si>
  <si>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</si>
  <si>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</si>
  <si>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</si>
  <si>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</si>
  <si>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</si>
  <si>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</si>
  <si>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</si>
  <si>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</si>
  <si>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</si>
  <si>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</si>
  <si>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</si>
  <si>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</si>
  <si>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</si>
  <si>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</si>
  <si>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</si>
  <si>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</si>
  <si>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</si>
  <si>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</si>
  <si>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</si>
  <si>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</si>
  <si>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</si>
  <si>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</si>
  <si>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</si>
  <si>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</si>
  <si>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</si>
  <si>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</si>
  <si>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</si>
  <si>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</si>
  <si>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</si>
  <si>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</si>
  <si>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</si>
  <si>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</si>
  <si>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</si>
  <si>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</si>
  <si>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</si>
  <si>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</si>
  <si>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</si>
  <si>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</si>
  <si>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</si>
  <si>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</si>
  <si>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</si>
  <si>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</si>
  <si>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</si>
  <si>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</si>
  <si>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</si>
  <si>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</si>
  <si>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</si>
  <si>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</si>
  <si>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</si>
  <si>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</si>
  <si>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</si>
  <si>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</si>
  <si>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</si>
  <si>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</si>
  <si>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</si>
  <si>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</si>
  <si>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</si>
  <si>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</si>
  <si>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</si>
  <si>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</si>
  <si>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</si>
  <si>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</si>
  <si>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</si>
  <si>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</si>
  <si>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</si>
  <si>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</si>
  <si>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</si>
  <si>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</si>
  <si>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</si>
  <si>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</si>
  <si>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</si>
  <si>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</si>
  <si>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</si>
  <si>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</si>
  <si>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</si>
  <si>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</si>
  <si>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</si>
  <si>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</si>
  <si>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</si>
  <si>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</si>
  <si>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</si>
  <si>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</si>
  <si>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</si>
  <si>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</si>
  <si>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</si>
  <si>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</si>
  <si>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</si>
  <si>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</si>
  <si>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</si>
  <si>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</si>
  <si>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</si>
  <si>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</si>
  <si>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</si>
  <si>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</si>
  <si>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</si>
  <si>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</si>
  <si>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</si>
  <si>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</si>
  <si>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</si>
  <si>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</si>
  <si>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</si>
  <si>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</si>
  <si>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</si>
  <si>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</si>
  <si>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</si>
  <si>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</si>
  <si>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</si>
  <si>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</si>
  <si>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</si>
  <si>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</si>
  <si>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</si>
  <si>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</si>
  <si>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</si>
  <si>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</si>
  <si>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</si>
  <si>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</si>
  <si>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</si>
  <si>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</si>
  <si>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</si>
  <si>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</si>
  <si>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</si>
  <si>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</si>
  <si>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</si>
  <si>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</si>
  <si>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</si>
  <si>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</si>
  <si>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</si>
  <si>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</si>
  <si>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</si>
  <si>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</si>
  <si>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</si>
  <si>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</si>
  <si>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</si>
  <si>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</si>
  <si>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</si>
  <si>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</si>
  <si>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</si>
  <si>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</si>
  <si>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</si>
  <si>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</si>
  <si>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</si>
  <si>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</si>
  <si>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</si>
  <si>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</si>
  <si>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</si>
  <si>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</si>
  <si>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</si>
  <si>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</si>
  <si>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</si>
  <si>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</si>
  <si>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</si>
  <si>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</si>
  <si>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</si>
  <si>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</si>
  <si>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</si>
  <si>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</si>
  <si>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</si>
  <si>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</si>
  <si>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</si>
  <si>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</si>
  <si>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</si>
  <si>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</si>
  <si>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</si>
  <si>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</si>
  <si>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</si>
  <si>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</si>
  <si>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</si>
  <si>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</si>
  <si>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</si>
  <si>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</si>
  <si>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</si>
  <si>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</si>
  <si>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</si>
  <si>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</si>
  <si>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</si>
  <si>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</si>
  <si>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</si>
  <si>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</si>
  <si>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</si>
  <si>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</si>
  <si>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</si>
  <si>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</si>
  <si>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</si>
  <si>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</si>
  <si>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</si>
  <si>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</si>
  <si>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</si>
  <si>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</si>
  <si>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</si>
  <si>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</si>
  <si>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</si>
  <si>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</si>
  <si>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</si>
  <si>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</si>
  <si>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</si>
  <si>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</si>
  <si>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</si>
  <si>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</si>
  <si>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</si>
  <si>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</si>
  <si>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</si>
  <si>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</si>
  <si>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</si>
  <si>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</si>
  <si>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</si>
  <si>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</si>
  <si>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</si>
  <si>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</si>
  <si>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</si>
  <si>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</si>
  <si>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</si>
  <si>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</si>
  <si>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</si>
  <si>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</si>
  <si>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</si>
  <si>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</si>
  <si>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</si>
  <si>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</si>
  <si>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</si>
  <si>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</si>
  <si>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</si>
  <si>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</si>
  <si>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</si>
  <si>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</si>
  <si>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</si>
  <si>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</si>
  <si>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</si>
  <si>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</si>
  <si>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</si>
  <si>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</si>
  <si>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</si>
  <si>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</si>
  <si>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</si>
  <si>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</si>
  <si>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</si>
  <si>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</si>
  <si>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</si>
  <si>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</si>
  <si>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</si>
  <si>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</si>
  <si>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</si>
  <si>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</si>
  <si>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</si>
  <si>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</si>
  <si>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</si>
  <si>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</si>
  <si>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</si>
  <si>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</si>
  <si>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</si>
  <si>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</si>
  <si>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</si>
  <si>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</si>
  <si>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</si>
  <si>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</si>
  <si>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</si>
  <si>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</si>
  <si>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</si>
  <si>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</si>
  <si>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</si>
  <si>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</si>
  <si>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</si>
  <si>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</si>
  <si>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</si>
  <si>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</si>
  <si>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</si>
  <si>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</si>
  <si>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</si>
  <si>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</si>
  <si>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</si>
  <si>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</si>
  <si>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</si>
  <si>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</si>
  <si>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</si>
  <si>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</si>
  <si>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</si>
  <si>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</si>
  <si>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</si>
  <si>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</si>
  <si>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</si>
  <si>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</si>
  <si>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</si>
  <si>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</si>
  <si>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</si>
  <si>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</si>
  <si>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</si>
  <si>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</si>
  <si>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</si>
  <si>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</si>
  <si>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</si>
  <si>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</si>
  <si>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</si>
  <si>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</si>
  <si>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</si>
  <si>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</si>
  <si>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</si>
  <si>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</si>
  <si>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</si>
  <si>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</si>
  <si>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</si>
  <si>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</si>
  <si>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</si>
  <si>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</si>
  <si>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</si>
  <si>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</si>
  <si>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</si>
  <si>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</si>
  <si>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</si>
  <si>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</si>
  <si>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</si>
  <si>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</si>
  <si>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</si>
  <si>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</si>
  <si>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</si>
  <si>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</si>
  <si>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</si>
  <si>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</si>
  <si>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</si>
  <si>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</si>
  <si>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</si>
  <si>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</si>
  <si>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</si>
  <si>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</si>
  <si>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</si>
  <si>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</si>
  <si>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</si>
  <si>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</si>
  <si>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</si>
  <si>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</si>
  <si>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</si>
  <si>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</si>
  <si>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</si>
  <si>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</si>
  <si>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</si>
  <si>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</si>
  <si>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</si>
  <si>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</si>
  <si>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</si>
  <si>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</si>
  <si>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</si>
  <si>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</si>
  <si>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</si>
  <si>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</si>
  <si>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</si>
  <si>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</si>
  <si>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</si>
  <si>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</si>
  <si>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</si>
  <si>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Pemasangan APP 1 Fasa Di Bangunan</t>
  </si>
  <si>
    <t>Daya 11.000 VA</t>
  </si>
  <si>
    <t>CJ5-T</t>
  </si>
  <si>
    <t>C12-200</t>
  </si>
  <si>
    <t>CA1</t>
  </si>
  <si>
    <t>CG105</t>
  </si>
  <si>
    <t>B2</t>
  </si>
  <si>
    <t>KONSTRUKSI JARINGAN</t>
  </si>
  <si>
    <t>UKURAN TRAFO : 55/70</t>
  </si>
  <si>
    <t>KOORDINAT : -6.998023, 110.716522</t>
  </si>
  <si>
    <t>XL SUKODONO</t>
  </si>
  <si>
    <t>Smart Box Langsung Daya 13.9 kVA MCCB 63 A</t>
  </si>
  <si>
    <t>DS SUKODONO, KEC KEBONAGUNG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</si>
</sst>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7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20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" fillId="0" borderId="21" xfId="1652" applyFont="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58</xdr:row>
      <xdr:rowOff>81642</xdr:rowOff>
    </xdr:from>
    <xdr:to>
      <xdr:col>12</xdr:col>
      <xdr:colOff>41108</xdr:colOff>
      <xdr:row>61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248479</xdr:colOff>
      <xdr:row>28</xdr:row>
      <xdr:rowOff>24848</xdr:rowOff>
    </xdr:from>
    <xdr:to>
      <xdr:col>9</xdr:col>
      <xdr:colOff>367862</xdr:colOff>
      <xdr:row>28</xdr:row>
      <xdr:rowOff>39413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445548" y="4294676"/>
          <a:ext cx="2898055" cy="1456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349493</xdr:colOff>
      <xdr:row>26</xdr:row>
      <xdr:rowOff>57665</xdr:rowOff>
    </xdr:from>
    <xdr:to>
      <xdr:col>5</xdr:col>
      <xdr:colOff>54391</xdr:colOff>
      <xdr:row>27</xdr:row>
      <xdr:rowOff>10687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1425258" y="4136606"/>
          <a:ext cx="85898" cy="1099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434890</xdr:colOff>
      <xdr:row>23</xdr:row>
      <xdr:rowOff>395</xdr:rowOff>
    </xdr:from>
    <xdr:to>
      <xdr:col>3</xdr:col>
      <xdr:colOff>295889</xdr:colOff>
      <xdr:row>24</xdr:row>
      <xdr:rowOff>148230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631959" y="3514792"/>
          <a:ext cx="353671" cy="29892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9</xdr:col>
      <xdr:colOff>127552</xdr:colOff>
      <xdr:row>26</xdr:row>
      <xdr:rowOff>64128</xdr:rowOff>
    </xdr:from>
    <xdr:to>
      <xdr:col>9</xdr:col>
      <xdr:colOff>215918</xdr:colOff>
      <xdr:row>27</xdr:row>
      <xdr:rowOff>10110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108317" y="4143069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11359</xdr:colOff>
      <xdr:row>26</xdr:row>
      <xdr:rowOff>54664</xdr:rowOff>
    </xdr:from>
    <xdr:to>
      <xdr:col>7</xdr:col>
      <xdr:colOff>99725</xdr:colOff>
      <xdr:row>27</xdr:row>
      <xdr:rowOff>3959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230124" y="4133605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65690</xdr:colOff>
      <xdr:row>26</xdr:row>
      <xdr:rowOff>31417</xdr:rowOff>
    </xdr:from>
    <xdr:to>
      <xdr:col>3</xdr:col>
      <xdr:colOff>154056</xdr:colOff>
      <xdr:row>26</xdr:row>
      <xdr:rowOff>129798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760455" y="4110358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375488</xdr:colOff>
      <xdr:row>26</xdr:row>
      <xdr:rowOff>139791</xdr:rowOff>
    </xdr:from>
    <xdr:to>
      <xdr:col>9</xdr:col>
      <xdr:colOff>140493</xdr:colOff>
      <xdr:row>26</xdr:row>
      <xdr:rowOff>146981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endCxn id="195" idx="3"/>
        </xdr:cNvCxnSpPr>
      </xdr:nvCxnSpPr>
      <xdr:spPr>
        <a:xfrm>
          <a:off x="1446229" y="4107446"/>
          <a:ext cx="1670005" cy="719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109873</xdr:colOff>
      <xdr:row>26</xdr:row>
      <xdr:rowOff>129798</xdr:rowOff>
    </xdr:from>
    <xdr:to>
      <xdr:col>4</xdr:col>
      <xdr:colOff>377376</xdr:colOff>
      <xdr:row>26</xdr:row>
      <xdr:rowOff>133666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0F8BE4A-A9AF-49EF-95BF-CC80CEC2F5D9}"/>
            </a:ext>
          </a:extLst>
        </xdr:cNvPr>
        <xdr:cNvCxnSpPr>
          <a:endCxn id="24" idx="4"/>
        </xdr:cNvCxnSpPr>
      </xdr:nvCxnSpPr>
      <xdr:spPr>
        <a:xfrm flipH="1" flipV="1">
          <a:off x="799614" y="4097453"/>
          <a:ext cx="648503" cy="386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16278</xdr:colOff>
      <xdr:row>26</xdr:row>
      <xdr:rowOff>49984</xdr:rowOff>
    </xdr:from>
    <xdr:to>
      <xdr:col>8</xdr:col>
      <xdr:colOff>351296</xdr:colOff>
      <xdr:row>27</xdr:row>
      <xdr:rowOff>87399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21447630">
          <a:off x="2617017" y="397594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3</xdr:col>
      <xdr:colOff>289949</xdr:colOff>
      <xdr:row>26</xdr:row>
      <xdr:rowOff>58493</xdr:rowOff>
    </xdr:from>
    <xdr:to>
      <xdr:col>4</xdr:col>
      <xdr:colOff>241739</xdr:colOff>
      <xdr:row>27</xdr:row>
      <xdr:rowOff>99220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7EA8915-4CC9-4477-AEE1-6018C6025FC9}"/>
            </a:ext>
          </a:extLst>
        </xdr:cNvPr>
        <xdr:cNvSpPr/>
      </xdr:nvSpPr>
      <xdr:spPr>
        <a:xfrm rot="21299299">
          <a:off x="979690" y="4026148"/>
          <a:ext cx="332790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109873</xdr:colOff>
      <xdr:row>24</xdr:row>
      <xdr:rowOff>148230</xdr:rowOff>
    </xdr:from>
    <xdr:to>
      <xdr:col>3</xdr:col>
      <xdr:colOff>119054</xdr:colOff>
      <xdr:row>26</xdr:row>
      <xdr:rowOff>31417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2"/>
          <a:endCxn id="24" idx="0"/>
        </xdr:cNvCxnSpPr>
      </xdr:nvCxnSpPr>
      <xdr:spPr>
        <a:xfrm flipH="1">
          <a:off x="799614" y="3813713"/>
          <a:ext cx="9181" cy="18535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354724</xdr:colOff>
      <xdr:row>27</xdr:row>
      <xdr:rowOff>65690</xdr:rowOff>
    </xdr:from>
    <xdr:to>
      <xdr:col>3</xdr:col>
      <xdr:colOff>359008</xdr:colOff>
      <xdr:row>29</xdr:row>
      <xdr:rowOff>65690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5DF7B2F-2010-44C5-8686-15056FB61D2A}"/>
            </a:ext>
          </a:extLst>
        </xdr:cNvPr>
        <xdr:cNvSpPr/>
      </xdr:nvSpPr>
      <xdr:spPr>
        <a:xfrm>
          <a:off x="551793" y="4184431"/>
          <a:ext cx="496956" cy="30217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272143</xdr:colOff>
      <xdr:row>9</xdr:row>
      <xdr:rowOff>136072</xdr:rowOff>
    </xdr:from>
    <xdr:to>
      <xdr:col>19</xdr:col>
      <xdr:colOff>48962</xdr:colOff>
      <xdr:row>49</xdr:row>
      <xdr:rowOff>15863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DE08F2-4AB7-02CE-D1F6-7BA9D3AF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2" y="1755322"/>
          <a:ext cx="9573961" cy="64112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2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6600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SUMIFS(RAB!$F$14:$F$42,RAB!$C$14:$C$42,C714)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SUMIFS(RAB!$F$14:$F$42,RAB!$C$14:$C$42,C715)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SUMIFS(RAB!$F$14:$F$42,RAB!$C$14:$C$42,C716)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SUMIFS(RAB!$F$14:$F$42,RAB!$C$14:$C$42,C717)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SUMIFS(RAB!$F$14:$F$42,RAB!$C$14:$C$42,C718)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SUMIFS(RAB!$F$14:$F$42,RAB!$C$14:$C$42,C719)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SUMIFS(RAB!$F$14:$F$42,RAB!$C$14:$C$42,C720)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SUMIFS(RAB!$F$14:$F$42,RAB!$C$14:$C$42,C721)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SUMIFS(RAB!$F$14:$F$42,RAB!$C$14:$C$42,C722)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SUMIFS(RAB!$F$14:$F$42,RAB!$C$14:$C$42,C723)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SUMIFS(RAB!$F$14:$F$42,RAB!$C$14:$C$42,C724)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SUMIFS(RAB!$F$14:$F$42,RAB!$C$14:$C$42,C725)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SUMIFS(RAB!$F$14:$F$42,RAB!$C$14:$C$42,C726)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SUMIFS(RAB!$F$14:$F$42,RAB!$C$14:$C$42,C727)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SUMIFS(RAB!$F$14:$F$42,RAB!$C$14:$C$42,C728)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SUMIFS(RAB!$F$14:$F$42,RAB!$C$14:$C$42,C729)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SUMIFS(RAB!$F$14:$F$42,RAB!$C$14:$C$42,C730)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SUMIFS(RAB!$F$14:$F$42,RAB!$C$14:$C$42,C731)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SUMIFS(RAB!$F$14:$F$42,RAB!$C$14:$C$42,C732)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SUMIFS(RAB!$F$14:$F$42,RAB!$C$14:$C$42,C733)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SUMIFS(RAB!$F$14:$F$42,RAB!$C$14:$C$42,C734)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SUMIFS(RAB!$F$14:$F$42,RAB!$C$14:$C$42,C735)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SUMIFS(RAB!$F$14:$F$42,RAB!$C$14:$C$42,C736)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SUMIFS(RAB!$F$14:$F$42,RAB!$C$14:$C$42,C737)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SUMIFS(RAB!$F$14:$F$42,RAB!$C$14:$C$42,C738)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SUMIFS(RAB!$F$14:$F$42,RAB!$C$14:$C$42,C739)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SUMIFS(RAB!$F$14:$F$42,RAB!$C$14:$C$42,C740)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SUMIFS(RAB!$F$14:$F$42,RAB!$C$14:$C$42,C741)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SUMIFS(RAB!$F$14:$F$42,RAB!$C$14:$C$42,C742)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SUMIFS(RAB!$F$14:$F$42,RAB!$C$14:$C$42,C743)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SUMIFS(RAB!$F$14:$F$42,RAB!$C$14:$C$42,C744)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SUMIFS(RAB!$F$14:$F$42,RAB!$C$14:$C$42,C745)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SUMIFS(RAB!$F$14:$F$42,RAB!$C$14:$C$42,C746)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SUMIFS(RAB!$F$14:$F$42,RAB!$C$14:$C$42,C747)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SUMIFS(RAB!$F$14:$F$42,RAB!$C$14:$C$42,C748)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SUMIFS(RAB!$F$14:$F$42,RAB!$C$14:$C$42,C749)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SUMIFS(RAB!$F$14:$F$42,RAB!$C$14:$C$42,C750)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SUMIFS(RAB!$F$14:$F$42,RAB!$C$14:$C$42,C751)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SUMIFS(RAB!$F$14:$F$42,RAB!$C$14:$C$42,C752)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SUMIFS(RAB!$F$14:$F$42,RAB!$C$14:$C$42,C753)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SUMIFS(RAB!$F$14:$F$42,RAB!$C$14:$C$42,C754)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SUMIFS(RAB!$F$14:$F$42,RAB!$C$14:$C$42,C755)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SUMIFS(RAB!$F$14:$F$42,RAB!$C$14:$C$42,C756)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SUMIFS(RAB!$F$14:$F$42,RAB!$C$14:$C$42,C757)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SUMIFS(RAB!$F$14:$F$42,RAB!$C$14:$C$42,C758)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SUMIFS(RAB!$F$14:$F$42,RAB!$C$14:$C$42,C759)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SUMIFS(RAB!$F$14:$F$42,RAB!$C$14:$C$42,C760)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SUMIFS(RAB!$F$14:$F$42,RAB!$C$14:$C$42,C761)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SUMIFS(RAB!$F$14:$F$42,RAB!$C$14:$C$42,C762)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SUMIFS(RAB!$F$14:$F$42,RAB!$C$14:$C$42,C763)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SUMIFS(RAB!$F$14:$F$42,RAB!$C$14:$C$42,C764)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SUMIFS(RAB!$F$14:$F$42,RAB!$C$14:$C$42,C765)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SUMIFS(RAB!$F$14:$F$42,RAB!$C$14:$C$42,C766)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SUMIFS(RAB!$F$14:$F$42,RAB!$C$14:$C$42,C767)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SUMIFS(RAB!$F$14:$F$42,RAB!$C$14:$C$42,C768)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SUMIFS(RAB!$F$14:$F$42,RAB!$C$14:$C$42,C769)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SUMIFS(RAB!$F$14:$F$42,RAB!$C$14:$C$42,C770)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SUMIFS(RAB!$F$14:$F$42,RAB!$C$14:$C$42,C771)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SUMIFS(RAB!$F$14:$F$42,RAB!$C$14:$C$42,C772)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SUMIFS(RAB!$F$14:$F$42,RAB!$C$14:$C$42,C773)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SUMIFS(RAB!$F$14:$F$42,RAB!$C$14:$C$42,C774)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SUMIFS(RAB!$F$14:$F$42,RAB!$C$14:$C$42,C775)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SUMIFS(RAB!$F$14:$F$42,RAB!$C$14:$C$42,C776)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SUMIFS(RAB!$F$14:$F$42,RAB!$C$14:$C$42,C777)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SUMIFS(RAB!$F$14:$F$42,RAB!$C$14:$C$42,C778)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SUMIFS(RAB!$F$14:$F$42,RAB!$C$14:$C$42,C779)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SUMIFS(RAB!$F$14:$F$42,RAB!$C$14:$C$42,C780)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SUMIFS(RAB!$F$14:$F$42,RAB!$C$14:$C$42,C781)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SUMIFS(RAB!$F$14:$F$42,RAB!$C$14:$C$42,C782)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SUMIFS(RAB!$F$14:$F$42,RAB!$C$14:$C$42,C783)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SUMIFS(RAB!$F$14:$F$42,RAB!$C$14:$C$42,C784)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SUMIFS(RAB!$F$14:$F$42,RAB!$C$14:$C$42,C785)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SUMIFS(RAB!$F$14:$F$42,RAB!$C$14:$C$42,C786)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SUMIFS(RAB!$F$14:$F$42,RAB!$C$14:$C$42,C787)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SUMIFS(RAB!$F$14:$F$42,RAB!$C$14:$C$42,C788)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SUMIFS(RAB!$F$14:$F$42,RAB!$C$14:$C$42,C789)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SUMIFS(RAB!$F$14:$F$42,RAB!$C$14:$C$42,C790)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SUMIFS(RAB!$F$14:$F$42,RAB!$C$14:$C$42,C791)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SUMIFS(RAB!$F$14:$F$42,RAB!$C$14:$C$42,C792)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SUMIFS(RAB!$F$14:$F$42,RAB!$C$14:$C$42,C793)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SUMIFS(RAB!$F$14:$F$42,RAB!$C$14:$C$42,C794)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SUMIFS(RAB!$F$14:$F$42,RAB!$C$14:$C$42,C795)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SUMIFS(RAB!$F$14:$F$42,RAB!$C$14:$C$42,C796)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SUMIFS(RAB!$F$14:$F$42,RAB!$C$14:$C$42,C797)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SUMIFS(RAB!$F$14:$F$42,RAB!$C$14:$C$42,C798)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SUMIFS(RAB!$F$14:$F$42,RAB!$C$14:$C$42,C799)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SUMIFS(RAB!$F$14:$F$42,RAB!$C$14:$C$42,C800)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SUMIFS(RAB!$F$14:$F$42,RAB!$C$14:$C$42,C801)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SUMIFS(RAB!$F$14:$F$42,RAB!$C$14:$C$42,C802)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SUMIFS(RAB!$F$14:$F$42,RAB!$C$14:$C$42,C803)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SUMIFS(RAB!$F$14:$F$42,RAB!$C$14:$C$42,C804)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SUMIFS(RAB!$F$14:$F$42,RAB!$C$14:$C$42,C805)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SUMIFS(RAB!$F$14:$F$42,RAB!$C$14:$C$42,C806)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SUMIFS(RAB!$F$14:$F$42,RAB!$C$14:$C$42,C807)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SUMIFS(RAB!$F$14:$F$42,RAB!$C$14:$C$42,C808)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SUMIFS(RAB!$F$14:$F$42,RAB!$C$14:$C$42,C809)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SUMIFS(RAB!$F$14:$F$42,RAB!$C$14:$C$42,C810)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SUMIFS(RAB!$F$14:$F$42,RAB!$C$14:$C$42,C811)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SUMIFS(RAB!$F$14:$F$42,RAB!$C$14:$C$42,C812)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SUMIFS(RAB!$F$14:$F$42,RAB!$C$14:$C$42,C813)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SUMIFS(RAB!$F$14:$F$42,RAB!$C$14:$C$42,C814)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SUMIFS(RAB!$F$14:$F$42,RAB!$C$14:$C$42,C815)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SUMIFS(RAB!$F$14:$F$42,RAB!$C$14:$C$42,C816)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SUMIFS(RAB!$F$14:$F$42,RAB!$C$14:$C$42,C817)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SUMIFS(RAB!$F$14:$F$42,RAB!$C$14:$C$42,C818)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SUMIFS(RAB!$F$14:$F$42,RAB!$C$14:$C$42,C819)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SUMIFS(RAB!$F$14:$F$42,RAB!$C$14:$C$42,C820)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SUMIFS(RAB!$F$14:$F$42,RAB!$C$14:$C$42,C821)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SUMIFS(RAB!$F$14:$F$42,RAB!$C$14:$C$42,C822)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SUMIFS(RAB!$F$14:$F$42,RAB!$C$14:$C$42,C823)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SUMIFS(RAB!$F$14:$F$42,RAB!$C$14:$C$42,C824)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SUMIFS(RAB!$F$14:$F$42,RAB!$C$14:$C$42,C825)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SUMIFS(RAB!$F$14:$F$42,RAB!$C$14:$C$42,C826)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SUMIFS(RAB!$F$14:$F$42,RAB!$C$14:$C$42,C827)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SUMIFS(RAB!$F$14:$F$42,RAB!$C$14:$C$42,C828)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SUMIFS(RAB!$F$14:$F$42,RAB!$C$14:$C$42,C829)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SUMIFS(RAB!$F$14:$F$42,RAB!$C$14:$C$42,C830)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SUMIFS(RAB!$F$14:$F$42,RAB!$C$14:$C$42,C831)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SUMIFS(RAB!$F$14:$F$42,RAB!$C$14:$C$42,C832)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SUMIFS(RAB!$F$14:$F$42,RAB!$C$14:$C$42,C833)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SUMIFS(RAB!$F$14:$F$42,RAB!$C$14:$C$42,C834)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SUMIFS(RAB!$F$14:$F$42,RAB!$C$14:$C$42,C835)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SUMIFS(RAB!$F$14:$F$42,RAB!$C$14:$C$42,C836)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SUMIFS(RAB!$F$14:$F$42,RAB!$C$14:$C$42,C837)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SUMIFS(RAB!$F$14:$F$42,RAB!$C$14:$C$42,C838)</f>
        <v>35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SUMIFS(RAB!$F$14:$F$42,RAB!$C$14:$C$42,C839)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SUMIFS(RAB!$F$14:$F$42,RAB!$C$14:$C$42,C840)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SUMIFS(RAB!$F$14:$F$42,RAB!$C$14:$C$42,C841)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SUMIFS(RAB!$F$14:$F$42,RAB!$C$14:$C$42,C842)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SUMIFS(RAB!$F$14:$F$42,RAB!$C$14:$C$42,C843)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SUMIFS(RAB!$F$14:$F$42,RAB!$C$14:$C$42,C844)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SUMIFS(RAB!$F$14:$F$42,RAB!$C$14:$C$42,C845)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SUMIFS(RAB!$F$14:$F$42,RAB!$C$14:$C$42,C846)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SUMIFS(RAB!$F$14:$F$42,RAB!$C$14:$C$42,C847)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SUMIFS(RAB!$F$14:$F$42,RAB!$C$14:$C$42,C848)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SUMIFS(RAB!$F$14:$F$42,RAB!$C$14:$C$42,C849)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SUMIFS(RAB!$F$14:$F$42,RAB!$C$14:$C$42,C850)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SUMIFS(RAB!$F$14:$F$42,RAB!$C$14:$C$42,C851)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SUMIFS(RAB!$F$14:$F$42,RAB!$C$14:$C$42,C852)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SUMIFS(RAB!$F$14:$F$42,RAB!$C$14:$C$42,C853)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SUMIFS(RAB!$F$14:$F$42,RAB!$C$14:$C$42,C854)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SUMIFS(RAB!$F$14:$F$42,RAB!$C$14:$C$42,C855)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SUMIFS(RAB!$F$14:$F$42,RAB!$C$14:$C$42,C856)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SUMIFS(RAB!$F$14:$F$42,RAB!$C$14:$C$42,C857)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SUMIFS(RAB!$F$14:$F$42,RAB!$C$14:$C$42,C858)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SUMIFS(RAB!$F$14:$F$42,RAB!$C$14:$C$42,C859)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SUMIFS(RAB!$F$14:$F$42,RAB!$C$14:$C$42,C860)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SUMIFS(RAB!$F$14:$F$42,RAB!$C$14:$C$42,C861)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SUMIFS(RAB!$F$14:$F$42,RAB!$C$14:$C$42,C862)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SUMIFS(RAB!$F$14:$F$42,RAB!$C$14:$C$42,C863)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SUMIFS(RAB!$F$14:$F$42,RAB!$C$14:$C$42,C864)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SUMIFS(RAB!$F$14:$F$42,RAB!$C$14:$C$42,C865)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SUMIFS(RAB!$F$14:$F$42,RAB!$C$14:$C$42,C866)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SUMIFS(RAB!$F$14:$F$42,RAB!$C$14:$C$42,C867)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SUMIFS(RAB!$F$14:$F$42,RAB!$C$14:$C$42,C868)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SUMIFS(RAB!$F$14:$F$42,RAB!$C$14:$C$42,C869)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SUMIFS(RAB!$F$14:$F$42,RAB!$C$14:$C$42,C870)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SUMIFS(RAB!$F$14:$F$42,RAB!$C$14:$C$42,C871)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SUMIFS(RAB!$F$14:$F$42,RAB!$C$14:$C$42,C872)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SUMIFS(RAB!$F$14:$F$42,RAB!$C$14:$C$42,C873)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SUMIFS(RAB!$F$14:$F$42,RAB!$C$14:$C$42,C874)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SUMIFS(RAB!$F$14:$F$42,RAB!$C$14:$C$42,C875)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SUMIFS(RAB!$F$14:$F$42,RAB!$C$14:$C$42,C876)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SUMIFS(RAB!$F$14:$F$42,RAB!$C$14:$C$42,C877)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SUMIFS(RAB!$F$14:$F$42,RAB!$C$14:$C$42,C878)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SUMIFS(RAB!$F$14:$F$42,RAB!$C$14:$C$42,C879)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SUMIFS(RAB!$F$14:$F$42,RAB!$C$14:$C$42,C880)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SUMIFS(RAB!$F$14:$F$42,RAB!$C$14:$C$42,C881)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SUMIFS(RAB!$F$14:$F$42,RAB!$C$14:$C$42,C882)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SUMIFS(RAB!$F$14:$F$42,RAB!$C$14:$C$42,C883)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SUMIFS(RAB!$F$14:$F$42,RAB!$C$14:$C$42,C884)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SUMIFS(RAB!$F$14:$F$42,RAB!$C$14:$C$42,C885)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SUMIFS(RAB!$F$14:$F$42,RAB!$C$14:$C$42,C886)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SUMIFS(RAB!$F$14:$F$42,RAB!$C$14:$C$42,C887)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SUMIFS(RAB!$F$14:$F$42,RAB!$C$14:$C$42,C888)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SUMIFS(RAB!$F$14:$F$42,RAB!$C$14:$C$42,C889)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SUMIFS(RAB!$F$14:$F$42,RAB!$C$14:$C$42,C890)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SUMIFS(RAB!$F$14:$F$42,RAB!$C$14:$C$42,C891)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SUMIFS(RAB!$F$14:$F$42,RAB!$C$14:$C$42,C892)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SUMIFS(RAB!$F$14:$F$42,RAB!$C$14:$C$42,C893)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SUMIFS(RAB!$F$14:$F$42,RAB!$C$14:$C$42,C894)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SUMIFS(RAB!$F$14:$F$42,RAB!$C$14:$C$42,C895)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SUMIFS(RAB!$F$14:$F$42,RAB!$C$14:$C$42,C896)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SUMIFS(RAB!$F$14:$F$42,RAB!$C$14:$C$42,C897)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SUMIFS(RAB!$F$14:$F$42,RAB!$C$14:$C$42,C898)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SUMIFS(RAB!$F$14:$F$42,RAB!$C$14:$C$42,C899)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SUMIFS(RAB!$F$14:$F$42,RAB!$C$14:$C$42,C900)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SUMIFS(RAB!$F$14:$F$42,RAB!$C$14:$C$42,C901)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SUMIFS(RAB!$F$14:$F$42,RAB!$C$14:$C$42,C902)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SUMIFS(RAB!$F$14:$F$42,RAB!$C$14:$C$42,C903)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SUMIFS(RAB!$F$14:$F$42,RAB!$C$14:$C$42,C904)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SUMIFS(RAB!$F$14:$F$42,RAB!$C$14:$C$42,C905)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SUMIFS(RAB!$F$14:$F$42,RAB!$C$14:$C$42,C906)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SUMIFS(RAB!$F$14:$F$42,RAB!$C$14:$C$42,C907)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SUMIFS(RAB!$F$14:$F$42,RAB!$C$14:$C$42,C908)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SUMIFS(RAB!$F$14:$F$42,RAB!$C$14:$C$42,C909)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SUMIFS(RAB!$F$14:$F$42,RAB!$C$14:$C$42,C910)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SUMIFS(RAB!$F$14:$F$42,RAB!$C$14:$C$42,C911)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SUMIFS(RAB!$F$14:$F$42,RAB!$C$14:$C$42,C912)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SUMIFS(RAB!$F$14:$F$42,RAB!$C$14:$C$42,C913)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SUMIFS(RAB!$F$14:$F$42,RAB!$C$14:$C$42,C914)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SUMIFS(RAB!$F$14:$F$42,RAB!$C$14:$C$42,C915)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SUMIFS(RAB!$F$14:$F$42,RAB!$C$14:$C$42,C916)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SUMIFS(RAB!$F$14:$F$42,RAB!$C$14:$C$42,C917)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SUMIFS(RAB!$F$14:$F$42,RAB!$C$14:$C$42,C918)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SUMIFS(RAB!$F$14:$F$42,RAB!$C$14:$C$42,C919)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SUMIFS(RAB!$F$14:$F$42,RAB!$C$14:$C$42,C920)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SUMIFS(RAB!$F$14:$F$42,RAB!$C$14:$C$42,C921)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SUMIFS(RAB!$F$14:$F$42,RAB!$C$14:$C$42,C922)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SUMIFS(RAB!$F$14:$F$42,RAB!$C$14:$C$42,C923)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SUMIFS(RAB!$F$14:$F$42,RAB!$C$14:$C$42,C924)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SUMIFS(RAB!$F$14:$F$42,RAB!$C$14:$C$42,C925)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SUMIFS(RAB!$F$14:$F$42,RAB!$C$14:$C$42,C926)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SUMIFS(RAB!$F$14:$F$42,RAB!$C$14:$C$42,C927)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SUMIFS(RAB!$F$14:$F$42,RAB!$C$14:$C$42,C928)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SUMIFS(RAB!$F$14:$F$42,RAB!$C$14:$C$42,C929)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SUMIFS(RAB!$F$14:$F$42,RAB!$C$14:$C$42,C930)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SUMIFS(RAB!$F$14:$F$42,RAB!$C$14:$C$42,C931)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SUMIFS(RAB!$F$14:$F$42,RAB!$C$14:$C$42,C932)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SUMIFS(RAB!$F$14:$F$42,RAB!$C$14:$C$42,C933)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SUMIFS(RAB!$F$14:$F$42,RAB!$C$14:$C$42,C934)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SUMIFS(RAB!$F$14:$F$42,RAB!$C$14:$C$42,C935)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SUMIFS(RAB!$F$14:$F$42,RAB!$C$14:$C$42,C936)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SUMIFS(RAB!$F$14:$F$42,RAB!$C$14:$C$42,C937)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SUMIFS(RAB!$F$14:$F$42,RAB!$C$14:$C$42,C938)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SUMIFS(RAB!$F$14:$F$42,RAB!$C$14:$C$42,C939)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SUMIFS(RAB!$F$14:$F$42,RAB!$C$14:$C$42,C940)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SUMIFS(RAB!$F$14:$F$42,RAB!$C$14:$C$42,C941)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SUMIFS(RAB!$F$14:$F$42,RAB!$C$14:$C$42,C942)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SUMIFS(RAB!$F$14:$F$42,RAB!$C$14:$C$42,C943)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SUMIFS(RAB!$F$14:$F$42,RAB!$C$14:$C$42,C944)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SUMIFS(RAB!$F$14:$F$42,RAB!$C$14:$C$42,C945)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SUMIFS(RAB!$F$14:$F$42,RAB!$C$14:$C$42,C946)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SUMIFS(RAB!$F$14:$F$42,RAB!$C$14:$C$42,C947)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SUMIFS(RAB!$F$14:$F$42,RAB!$C$14:$C$42,C948)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SUMIFS(RAB!$F$14:$F$42,RAB!$C$14:$C$42,C949)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SUMIFS(RAB!$F$14:$F$42,RAB!$C$14:$C$42,C950)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SUMIFS(RAB!$F$14:$F$42,RAB!$C$14:$C$42,C951)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SUMIFS(RAB!$F$14:$F$42,RAB!$C$14:$C$42,C952)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SUMIFS(RAB!$F$14:$F$42,RAB!$C$14:$C$42,C953)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SUMIFS(RAB!$F$14:$F$42,RAB!$C$14:$C$42,C954)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SUMIFS(RAB!$F$14:$F$42,RAB!$C$14:$C$42,C955)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SUMIFS(RAB!$F$14:$F$42,RAB!$C$14:$C$42,C956)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SUMIFS(RAB!$F$14:$F$42,RAB!$C$14:$C$42,C957)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SUMIFS(RAB!$F$14:$F$42,RAB!$C$14:$C$42,C958)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SUMIFS(RAB!$F$14:$F$42,RAB!$C$14:$C$42,C959)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SUMIFS(RAB!$F$14:$F$42,RAB!$C$14:$C$42,C960)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SUMIFS(RAB!$F$14:$F$42,RAB!$C$14:$C$42,C961)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SUMIFS(RAB!$F$14:$F$42,RAB!$C$14:$C$42,C962)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SUMIFS(RAB!$F$14:$F$42,RAB!$C$14:$C$42,C963)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SUMIFS(RAB!$F$14:$F$42,RAB!$C$14:$C$42,C964)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SUMIFS(RAB!$F$14:$F$42,RAB!$C$14:$C$42,C965)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SUMIFS(RAB!$F$14:$F$42,RAB!$C$14:$C$42,C966)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SUMIFS(RAB!$F$14:$F$42,RAB!$C$14:$C$42,C967)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SUMIFS(RAB!$F$14:$F$42,RAB!$C$14:$C$42,C968)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SUMIFS(RAB!$F$14:$F$42,RAB!$C$14:$C$42,C969)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SUMIFS(RAB!$F$14:$F$42,RAB!$C$14:$C$42,C970)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SUMIFS(RAB!$F$14:$F$42,RAB!$C$14:$C$42,C971)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SUMIFS(RAB!$F$14:$F$42,RAB!$C$14:$C$42,C972)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SUMIFS(RAB!$F$14:$F$42,RAB!$C$14:$C$42,C973)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SUMIFS(RAB!$F$14:$F$42,RAB!$C$14:$C$42,C974)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SUMIFS(RAB!$F$14:$F$42,RAB!$C$14:$C$42,C975)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SUMIFS(RAB!$F$14:$F$42,RAB!$C$14:$C$42,C976)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SUMIFS(RAB!$F$14:$F$42,RAB!$C$14:$C$42,C977)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SUMIFS(RAB!$F$14:$F$42,RAB!$C$14:$C$42,C978)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SUMIFS(RAB!$F$14:$F$42,RAB!$C$14:$C$42,C979)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SUMIFS(RAB!$F$14:$F$42,RAB!$C$14:$C$42,C980)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SUMIFS(RAB!$F$14:$F$42,RAB!$C$14:$C$42,C981)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SUMIFS(RAB!$F$14:$F$42,RAB!$C$14:$C$42,C982)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SUMIFS(RAB!$F$14:$F$42,RAB!$C$14:$C$42,C983)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SUMIFS(RAB!$F$14:$F$42,RAB!$C$14:$C$42,C984)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SUMIFS(RAB!$F$14:$F$42,RAB!$C$14:$C$42,C985)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SUMIFS(RAB!$F$14:$F$42,RAB!$C$14:$C$42,C986)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SUMIFS(RAB!$F$14:$F$42,RAB!$C$14:$C$42,C987)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SUMIFS(RAB!$F$14:$F$42,RAB!$C$14:$C$42,C988)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SUMIFS(RAB!$F$14:$F$42,RAB!$C$14:$C$42,C989)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SUMIFS(RAB!$F$14:$F$42,RAB!$C$14:$C$42,C990)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SUMIFS(RAB!$F$14:$F$42,RAB!$C$14:$C$42,C991)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SUMIFS(RAB!$F$14:$F$42,RAB!$C$14:$C$42,C992)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SUMIFS(RAB!$F$14:$F$42,RAB!$C$14:$C$42,C993)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SUMIFS(RAB!$F$14:$F$42,RAB!$C$14:$C$42,C994)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SUMIFS(RAB!$F$14:$F$42,RAB!$C$14:$C$42,C995)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SUMIFS(RAB!$F$14:$F$42,RAB!$C$14:$C$42,C996)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SUMIFS(RAB!$F$14:$F$42,RAB!$C$14:$C$42,C997)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SUMIFS(RAB!$F$14:$F$42,RAB!$C$14:$C$42,C998)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SUMIFS(RAB!$F$14:$F$42,RAB!$C$14:$C$42,C999)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SUMIFS(RAB!$F$14:$F$42,RAB!$C$14:$C$42,C1000)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SUMIFS(RAB!$F$14:$F$42,RAB!$C$14:$C$42,C1001)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SUMIFS(RAB!$F$14:$F$42,RAB!$C$14:$C$42,C1002)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SUMIFS(RAB!$F$14:$F$42,RAB!$C$14:$C$42,C1003)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SUMIFS(RAB!$F$14:$F$42,RAB!$C$14:$C$42,C1004)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SUMIFS(RAB!$F$14:$F$42,RAB!$C$14:$C$42,C1005)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SUMIFS(RAB!$F$14:$F$42,RAB!$C$14:$C$42,C1006)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SUMIFS(RAB!$F$14:$F$42,RAB!$C$14:$C$42,C1007)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SUMIFS(RAB!$F$14:$F$42,RAB!$C$14:$C$42,C1008)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SUMIFS(RAB!$F$14:$F$42,RAB!$C$14:$C$42,C1009)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SUMIFS(RAB!$F$14:$F$42,RAB!$C$14:$C$42,C1010)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SUMIFS(RAB!$F$14:$F$42,RAB!$C$14:$C$42,C1011)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SUMIFS(RAB!$F$14:$F$42,RAB!$C$14:$C$42,C1012)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SUMIFS(RAB!$F$14:$F$42,RAB!$C$14:$C$42,C1013)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SUMIFS(RAB!$F$14:$F$42,RAB!$C$14:$C$42,C1014)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SUMIFS(RAB!$F$14:$F$42,RAB!$C$14:$C$42,C1015)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SUMIFS(RAB!$F$14:$F$42,RAB!$C$14:$C$42,C1016)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SUMIFS(RAB!$F$14:$F$42,RAB!$C$14:$C$42,C1017)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SUMIFS(RAB!$F$14:$F$42,RAB!$C$14:$C$42,C1018)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SUMIFS(RAB!$F$14:$F$42,RAB!$C$14:$C$42,C1019)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SUMIFS(RAB!$F$14:$F$42,RAB!$C$14:$C$42,C1020)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SUMIFS(RAB!$F$14:$F$42,RAB!$C$14:$C$42,C1021)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SUMIFS(RAB!$F$14:$F$42,RAB!$C$14:$C$42,C1022)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SUMIFS(RAB!$F$14:$F$42,RAB!$C$14:$C$42,C1023)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SUMIFS(RAB!$F$14:$F$42,RAB!$C$14:$C$42,C1024)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SUMIFS(RAB!$F$14:$F$42,RAB!$C$14:$C$42,C1025)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SUMIFS(RAB!$F$14:$F$42,RAB!$C$14:$C$42,C1026)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SUMIFS(RAB!$F$14:$F$42,RAB!$C$14:$C$42,C1027)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SUMIFS(RAB!$F$14:$F$42,RAB!$C$14:$C$42,C1028)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SUMIFS(RAB!$F$14:$F$42,RAB!$C$14:$C$42,C1029)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SUMIFS(RAB!$F$14:$F$42,RAB!$C$14:$C$42,C1030)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SUMIFS(RAB!$F$14:$F$42,RAB!$C$14:$C$42,C1031)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SUMIFS(RAB!$F$14:$F$42,RAB!$C$14:$C$42,C1032)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SUMIFS(RAB!$F$14:$F$42,RAB!$C$14:$C$42,C1033)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SUMIFS(RAB!$F$14:$F$42,RAB!$C$14:$C$42,C1034)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SUMIFS(RAB!$F$14:$F$42,RAB!$C$14:$C$42,C1035)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SUMIFS(RAB!$F$14:$F$42,RAB!$C$14:$C$42,C1036)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SUMIFS(RAB!$F$14:$F$42,RAB!$C$14:$C$42,C1037)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SUMIFS(RAB!$F$14:$F$42,RAB!$C$14:$C$42,C1038)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SUMIFS(RAB!$F$14:$F$42,RAB!$C$14:$C$42,C1039)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SUMIFS(RAB!$F$14:$F$42,RAB!$C$14:$C$42,C1040)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SUMIFS(RAB!$F$14:$F$42,RAB!$C$14:$C$42,C1041)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SUMIFS(RAB!$F$14:$F$42,RAB!$C$14:$C$42,C1042)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SUMIFS(RAB!$F$14:$F$42,RAB!$C$14:$C$42,C1043)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SUMIFS(RAB!$F$14:$F$42,RAB!$C$14:$C$42,C1044)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SUMIFS(RAB!$F$14:$F$42,RAB!$C$14:$C$42,C1045)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SUMIFS(RAB!$F$14:$F$42,RAB!$C$14:$C$42,C1046)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SUMIFS(RAB!$F$14:$F$42,RAB!$C$14:$C$42,C1047)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SUMIFS(RAB!$F$14:$F$42,RAB!$C$14:$C$42,C1048)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SUMIFS(RAB!$F$14:$F$42,RAB!$C$14:$C$42,C1049)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SUMIFS(RAB!$F$14:$F$42,RAB!$C$14:$C$42,C1050)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SUMIFS(RAB!$F$14:$F$42,RAB!$C$14:$C$42,C1051)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SUMIFS(RAB!$F$14:$F$42,RAB!$C$14:$C$42,C1052)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SUMIFS(RAB!$F$14:$F$42,RAB!$C$14:$C$42,C1053)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SUMIFS(RAB!$F$14:$F$42,RAB!$C$14:$C$42,C1054)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SUMIFS(RAB!$F$14:$F$42,RAB!$C$14:$C$42,C1055)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SUMIFS(RAB!$F$14:$F$42,RAB!$C$14:$C$42,C1056)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SUMIFS(RAB!$F$14:$F$42,RAB!$C$14:$C$42,C1057)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SUMIFS(RAB!$F$14:$F$42,RAB!$C$14:$C$42,C1058)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SUMIFS(RAB!$F$14:$F$42,RAB!$C$14:$C$42,C1059)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SUMIFS(RAB!$F$14:$F$42,RAB!$C$14:$C$42,C1060)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SUMIFS(RAB!$F$14:$F$42,RAB!$C$14:$C$42,C1061)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SUMIFS(RAB!$F$14:$F$42,RAB!$C$14:$C$42,C1062)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SUMIFS(RAB!$F$14:$F$42,RAB!$C$14:$C$42,C1063)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SUMIFS(RAB!$F$14:$F$42,RAB!$C$14:$C$42,C1064)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SUMIFS(RAB!$F$14:$F$42,RAB!$C$14:$C$42,C1065)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SUMIFS(RAB!$F$14:$F$42,RAB!$C$14:$C$42,C1066)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SUMIFS(RAB!$F$14:$F$42,RAB!$C$14:$C$42,C1067)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SUMIFS(RAB!$F$14:$F$42,RAB!$C$14:$C$42,C1068)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SUMIFS(RAB!$F$14:$F$42,RAB!$C$14:$C$42,C1069)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SUMIFS(RAB!$F$14:$F$42,RAB!$C$14:$C$42,C1070)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SUMIFS(RAB!$F$14:$F$42,RAB!$C$14:$C$42,C1071)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SUMIFS(RAB!$F$14:$F$42,RAB!$C$14:$C$42,C1072)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SUMIFS(RAB!$F$14:$F$42,RAB!$C$14:$C$42,C1073)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SUMIFS(RAB!$F$14:$F$42,RAB!$C$14:$C$42,C1074)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SUMIFS(RAB!$F$14:$F$42,RAB!$C$14:$C$42,C1075)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SUMIFS(RAB!$F$14:$F$42,RAB!$C$14:$C$42,C1076)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SUMIFS(RAB!$F$14:$F$42,RAB!$C$14:$C$42,C1077)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SUMIFS(RAB!$F$14:$F$42,RAB!$C$14:$C$42,C1078)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SUMIFS(RAB!$F$14:$F$42,RAB!$C$14:$C$42,C1079)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SUMIFS(RAB!$F$14:$F$42,RAB!$C$14:$C$42,C1080)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SUMIFS(RAB!$F$14:$F$42,RAB!$C$14:$C$42,C1081)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SUMIFS(RAB!$F$14:$F$42,RAB!$C$14:$C$42,C1082)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SUMIFS(RAB!$F$14:$F$42,RAB!$C$14:$C$42,C1083)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SUMIFS(RAB!$F$14:$F$42,RAB!$C$14:$C$42,C1084)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SUMIFS(RAB!$F$14:$F$42,RAB!$C$14:$C$42,C1085)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SUMIFS(RAB!$F$14:$F$42,RAB!$C$14:$C$42,C1086)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SUMIFS(RAB!$F$14:$F$42,RAB!$C$14:$C$42,C1087)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SUMIFS(RAB!$F$14:$F$42,RAB!$C$14:$C$42,C1088)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SUMIFS(RAB!$F$14:$F$42,RAB!$C$14:$C$42,C1089)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SUMIFS(RAB!$F$14:$F$42,RAB!$C$14:$C$42,C1090)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SUMIFS(RAB!$F$14:$F$42,RAB!$C$14:$C$42,C1091)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SUMIFS(RAB!$F$14:$F$42,RAB!$C$14:$C$42,C1092)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SUMIFS(RAB!$F$14:$F$42,RAB!$C$14:$C$42,C1093)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SUMIFS(RAB!$F$14:$F$42,RAB!$C$14:$C$42,C1094)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SUMIFS(RAB!$F$14:$F$42,RAB!$C$14:$C$42,C1095)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SUMIFS(RAB!$F$14:$F$42,RAB!$C$14:$C$42,C1096)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SUMIFS(RAB!$F$14:$F$42,RAB!$C$14:$C$42,C1097)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SUMIFS(RAB!$F$14:$F$42,RAB!$C$14:$C$42,C1098)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SUMIFS(RAB!$F$14:$F$42,RAB!$C$14:$C$42,C1099)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SUMIFS(RAB!$F$14:$F$42,RAB!$C$14:$C$42,C1100)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SUMIFS(RAB!$F$14:$F$42,RAB!$C$14:$C$42,C1101)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SUMIFS(RAB!$F$14:$F$42,RAB!$C$14:$C$42,C1102)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SUMIFS(RAB!$F$14:$F$42,RAB!$C$14:$C$42,C1103)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SUMIFS(RAB!$F$14:$F$42,RAB!$C$14:$C$42,C1104)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SUMIFS(RAB!$F$14:$F$42,RAB!$C$14:$C$42,C1105)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SUMIFS(RAB!$F$14:$F$42,RAB!$C$14:$C$42,C1106)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SUMIFS(RAB!$F$14:$F$42,RAB!$C$14:$C$42,C1107)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SUMIFS(RAB!$F$14:$F$42,RAB!$C$14:$C$42,C1108)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SUMIFS(RAB!$F$14:$F$42,RAB!$C$14:$C$42,C1109)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SUMIFS(RAB!$F$14:$F$42,RAB!$C$14:$C$42,C1110)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SUMIFS(RAB!$F$14:$F$42,RAB!$C$14:$C$42,C1111)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SUMIFS(RAB!$F$14:$F$42,RAB!$C$14:$C$42,C1112)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SUMIFS(RAB!$F$14:$F$42,RAB!$C$14:$C$42,C1113)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SUMIFS(RAB!$F$14:$F$42,RAB!$C$14:$C$42,C1114)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SUMIFS(RAB!$F$14:$F$42,RAB!$C$14:$C$42,C1115)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SUMIFS(RAB!$F$14:$F$42,RAB!$C$14:$C$42,C1116)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SUMIFS(RAB!$F$14:$F$42,RAB!$C$14:$C$42,C1117)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SUMIFS(RAB!$F$14:$F$42,RAB!$C$14:$C$42,C1118)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SUMIFS(RAB!$F$14:$F$42,RAB!$C$14:$C$42,C1119)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SUMIFS(RAB!$F$14:$F$42,RAB!$C$14:$C$42,C1120)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SUMIFS(RAB!$F$14:$F$42,RAB!$C$14:$C$42,C1121)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SUMIFS(RAB!$F$14:$F$42,RAB!$C$14:$C$42,C1122)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SUMIFS(RAB!$F$14:$F$42,RAB!$C$14:$C$42,C1123)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SUMIFS(RAB!$F$14:$F$42,RAB!$C$14:$C$42,C1124)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SUMIFS(RAB!$F$14:$F$42,RAB!$C$14:$C$42,C1125)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SUMIFS(RAB!$F$14:$F$42,RAB!$C$14:$C$42,C1126)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SUMIFS(RAB!$F$14:$F$42,RAB!$C$14:$C$42,C1127)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SUMIFS(RAB!$F$14:$F$42,RAB!$C$14:$C$42,C1128)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SUMIFS(RAB!$F$14:$F$42,RAB!$C$14:$C$42,C1129)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SUMIFS(RAB!$F$14:$F$42,RAB!$C$14:$C$42,C1130)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SUMIFS(RAB!$F$14:$F$42,RAB!$C$14:$C$42,C1131)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SUMIFS(RAB!$F$14:$F$42,RAB!$C$14:$C$42,C1132)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SUMIFS(RAB!$F$14:$F$42,RAB!$C$14:$C$42,C1133)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SUMIFS(RAB!$F$14:$F$42,RAB!$C$14:$C$42,C1134)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SUMIFS(RAB!$F$14:$F$42,RAB!$C$14:$C$42,C1135)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SUMIFS(RAB!$F$14:$F$42,RAB!$C$14:$C$42,C1136)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SUMIFS(RAB!$F$14:$F$42,RAB!$C$14:$C$42,C1137)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SUMIFS(RAB!$F$14:$F$42,RAB!$C$14:$C$42,C1138)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SUMIFS(RAB!$F$14:$F$42,RAB!$C$14:$C$42,C1139)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SUMIFS(RAB!$F$14:$F$42,RAB!$C$14:$C$42,C1140)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SUMIFS(RAB!$F$14:$F$42,RAB!$C$14:$C$42,C1141)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SUMIFS(RAB!$F$14:$F$42,RAB!$C$14:$C$42,C1142)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SUMIFS(RAB!$F$14:$F$42,RAB!$C$14:$C$42,C1143)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SUMIFS(RAB!$F$14:$F$42,RAB!$C$14:$C$42,C1144)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SUMIFS(RAB!$F$14:$F$42,RAB!$C$14:$C$42,C1145)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SUMIFS(RAB!$F$14:$F$42,RAB!$C$14:$C$42,C1146)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SUMIFS(RAB!$F$14:$F$42,RAB!$C$14:$C$42,C1147)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SUMIFS(RAB!$F$14:$F$42,RAB!$C$14:$C$42,C1148)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SUMIFS(RAB!$F$14:$F$42,RAB!$C$14:$C$42,C1149)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SUMIFS(RAB!$F$14:$F$42,RAB!$C$14:$C$42,C1150)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SUMIFS(RAB!$F$14:$F$42,RAB!$C$14:$C$42,C1151)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SUMIFS(RAB!$F$14:$F$42,RAB!$C$14:$C$42,C1152)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SUMIFS(RAB!$F$14:$F$42,RAB!$C$14:$C$42,C1153)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SUMIFS(RAB!$F$14:$F$42,RAB!$C$14:$C$42,C1154)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SUMIFS(RAB!$F$14:$F$42,RAB!$C$14:$C$42,C1155)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SUMIFS(RAB!$F$14:$F$42,RAB!$C$14:$C$42,C1156)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SUMIFS(RAB!$F$14:$F$42,RAB!$C$14:$C$42,C1157)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SUMIFS(RAB!$F$14:$F$42,RAB!$C$14:$C$42,C1158)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SUMIFS(RAB!$F$14:$F$42,RAB!$C$14:$C$42,C1159)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SUMIFS(RAB!$F$14:$F$42,RAB!$C$14:$C$42,C1160)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SUMIFS(RAB!$F$14:$F$42,RAB!$C$14:$C$42,C1161)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SUMIFS(RAB!$F$14:$F$42,RAB!$C$14:$C$42,C1162)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SUMIFS(RAB!$F$14:$F$42,RAB!$C$14:$C$42,C1163)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SUMIFS(RAB!$F$14:$F$42,RAB!$C$14:$C$42,C1164)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SUMIFS(RAB!$F$14:$F$42,RAB!$C$14:$C$42,C1165)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SUMIFS(RAB!$F$14:$F$42,RAB!$C$14:$C$42,C1166)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SUMIFS(RAB!$F$14:$F$42,RAB!$C$14:$C$42,C1167)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SUMIFS(RAB!$F$14:$F$42,RAB!$C$14:$C$42,C1168)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SUMIFS(RAB!$F$14:$F$42,RAB!$C$14:$C$42,C1169)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SUMIFS(RAB!$F$14:$F$42,RAB!$C$14:$C$42,C1170)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SUMIFS(RAB!$F$14:$F$42,RAB!$C$14:$C$42,C1171)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SUMIFS(RAB!$F$14:$F$42,RAB!$C$14:$C$42,C1172)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SUMIFS(RAB!$F$14:$F$42,RAB!$C$14:$C$42,C1173)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SUMIFS(RAB!$F$14:$F$42,RAB!$C$14:$C$42,C1174)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SUMIFS(RAB!$F$14:$F$42,RAB!$C$14:$C$42,C1175)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SUMIFS(RAB!$F$14:$F$42,RAB!$C$14:$C$42,C1176)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SUMIFS(RAB!$F$14:$F$42,RAB!$C$14:$C$42,C1177)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SUMIFS(RAB!$F$14:$F$42,RAB!$C$14:$C$42,C1178)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SUMIFS(RAB!$F$14:$F$42,RAB!$C$14:$C$42,C1179)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SUMIFS(RAB!$F$14:$F$42,RAB!$C$14:$C$42,C1180)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SUMIFS(RAB!$F$14:$F$42,RAB!$C$14:$C$42,C1181)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SUMIFS(RAB!$F$14:$F$42,RAB!$C$14:$C$42,C1182)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SUMIFS(RAB!$F$14:$F$42,RAB!$C$14:$C$42,C1183)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SUMIFS(RAB!$F$14:$F$42,RAB!$C$14:$C$42,C1184)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SUMIFS(RAB!$F$14:$F$42,RAB!$C$14:$C$42,C1185)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SUMIFS(RAB!$F$14:$F$42,RAB!$C$14:$C$42,C1186)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SUMIFS(RAB!$F$14:$F$42,RAB!$C$14:$C$42,C1187)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SUMIFS(RAB!$F$14:$F$42,RAB!$C$14:$C$42,C1188)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SUMIFS(RAB!$F$14:$F$42,RAB!$C$14:$C$42,C1189)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SUMIFS(RAB!$F$14:$F$42,RAB!$C$14:$C$42,C1190)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SUMIFS(RAB!$F$14:$F$42,RAB!$C$14:$C$42,C1191)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SUMIFS(RAB!$F$14:$F$42,RAB!$C$14:$C$42,C1192)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SUMIFS(RAB!$F$14:$F$42,RAB!$C$14:$C$42,C1193)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SUMIFS(RAB!$F$14:$F$42,RAB!$C$14:$C$42,C1194)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SUMIFS(RAB!$F$14:$F$42,RAB!$C$14:$C$42,C1195)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SUMIFS(RAB!$F$14:$F$42,RAB!$C$14:$C$42,C1196)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SUMIFS(RAB!$F$14:$F$42,RAB!$C$14:$C$42,C1197)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SUMIFS(RAB!$F$14:$F$42,RAB!$C$14:$C$42,C1198)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SUMIFS(RAB!$F$14:$F$42,RAB!$C$14:$C$42,C1199)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SUMIFS(RAB!$F$14:$F$42,RAB!$C$14:$C$42,C1200)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SUMIFS(RAB!$F$14:$F$42,RAB!$C$14:$C$42,C1201)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SUMIFS(RAB!$F$14:$F$42,RAB!$C$14:$C$42,C1202)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SUMIFS(RAB!$F$14:$F$42,RAB!$C$14:$C$42,C1203)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SUMIFS(RAB!$F$14:$F$42,RAB!$C$14:$C$42,C1204)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SUMIFS(RAB!$F$14:$F$42,RAB!$C$14:$C$42,C1205)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SUMIFS(RAB!$F$14:$F$42,RAB!$C$14:$C$42,C1206)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SUMIFS(RAB!$F$14:$F$42,RAB!$C$14:$C$42,C1207)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SUMIFS(RAB!$F$14:$F$42,RAB!$C$14:$C$42,C1208)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SUMIFS(RAB!$F$14:$F$42,RAB!$C$14:$C$42,C1209)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SUMIFS(RAB!$F$14:$F$42,RAB!$C$14:$C$42,C1210)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SUMIFS(RAB!$F$14:$F$42,RAB!$C$14:$C$42,C1211)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SUMIFS(RAB!$F$14:$F$42,RAB!$C$14:$C$42,C1212)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SUMIFS(RAB!$F$14:$F$42,RAB!$C$14:$C$42,C1213)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SUMIFS(RAB!$F$14:$F$42,RAB!$C$14:$C$42,C1214)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SUMIFS(RAB!$F$14:$F$42,RAB!$C$14:$C$42,C1215)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SUMIFS(RAB!$F$14:$F$42,RAB!$C$14:$C$42,C1216)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SUMIFS(RAB!$F$14:$F$42,RAB!$C$14:$C$42,C1217)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SUMIFS(RAB!$F$14:$F$42,RAB!$C$14:$C$42,C1218)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SUMIFS(RAB!$F$14:$F$42,RAB!$C$14:$C$42,C1219)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SUMIFS(RAB!$F$14:$F$42,RAB!$C$14:$C$42,C1220)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SUMIFS(RAB!$F$14:$F$42,RAB!$C$14:$C$42,C1221)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SUMIFS(RAB!$F$14:$F$42,RAB!$C$14:$C$42,C1222)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SUMIFS(RAB!$F$14:$F$42,RAB!$C$14:$C$42,C1223)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SUMIFS(RAB!$F$14:$F$42,RAB!$C$14:$C$42,C1224)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SUMIFS(RAB!$F$14:$F$42,RAB!$C$14:$C$42,C1225)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SUMIFS(RAB!$F$14:$F$42,RAB!$C$14:$C$42,C1226)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SUMIFS(RAB!$F$14:$F$42,RAB!$C$14:$C$42,C1227)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SUMIFS(RAB!$F$14:$F$42,RAB!$C$14:$C$42,C1228)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SUMIFS(RAB!$F$14:$F$42,RAB!$C$14:$C$42,C1229)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SUMIFS(RAB!$F$14:$F$42,RAB!$C$14:$C$42,C1230)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SUMIFS(RAB!$F$14:$F$42,RAB!$C$14:$C$42,C1231)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SUMIFS(RAB!$F$14:$F$42,RAB!$C$14:$C$42,C1232)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SUMIFS(RAB!$F$14:$F$42,RAB!$C$14:$C$42,C1233)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SUMIFS(RAB!$F$14:$F$42,RAB!$C$14:$C$42,C1234)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SUMIFS(RAB!$F$14:$F$42,RAB!$C$14:$C$42,C1235)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SUMIFS(RAB!$F$14:$F$42,RAB!$C$14:$C$42,C1236)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SUMIFS(RAB!$F$14:$F$42,RAB!$C$14:$C$42,C1237)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SUMIFS(RAB!$F$14:$F$42,RAB!$C$14:$C$42,C1238)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SUMIFS(RAB!$F$14:$F$42,RAB!$C$14:$C$42,C1239)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SUMIFS(RAB!$F$14:$F$42,RAB!$C$14:$C$42,C1240)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SUMIFS(RAB!$F$14:$F$42,RAB!$C$14:$C$42,C1241)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SUMIFS(RAB!$F$14:$F$42,RAB!$C$14:$C$42,C1242)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SUMIFS(RAB!$F$14:$F$42,RAB!$C$14:$C$42,C1243)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SUMIFS(RAB!$F$14:$F$42,RAB!$C$14:$C$42,C1244)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SUMIFS(RAB!$F$14:$F$42,RAB!$C$14:$C$42,C1245)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SUMIFS(RAB!$F$14:$F$42,RAB!$C$14:$C$42,C1246)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SUMIFS(RAB!$F$14:$F$42,RAB!$C$14:$C$42,C1247)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SUMIFS(RAB!$F$14:$F$42,RAB!$C$14:$C$42,C1248)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SUMIFS(RAB!$F$14:$F$42,RAB!$C$14:$C$42,C1249)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SUMIFS(RAB!$F$14:$F$42,RAB!$C$14:$C$42,C1250)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SUMIFS(RAB!$F$14:$F$42,RAB!$C$14:$C$42,C1251)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SUMIFS(RAB!$F$14:$F$42,RAB!$C$14:$C$42,C1252)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SUMIFS(RAB!$F$14:$F$42,RAB!$C$14:$C$42,C1253)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SUMIFS(RAB!$F$14:$F$42,RAB!$C$14:$C$42,C1254)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SUMIFS(RAB!$F$14:$F$42,RAB!$C$14:$C$42,C1255)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SUMIFS(RAB!$F$14:$F$42,RAB!$C$14:$C$42,C1256)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SUMIFS(RAB!$F$14:$F$42,RAB!$C$14:$C$42,C1257)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SUMIFS(RAB!$F$14:$F$42,RAB!$C$14:$C$42,C1258)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SUMIFS(RAB!$F$14:$F$42,RAB!$C$14:$C$42,C1259)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SUMIFS(RAB!$F$14:$F$42,RAB!$C$14:$C$42,C1260)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SUMIFS(RAB!$F$14:$F$42,RAB!$C$14:$C$42,C1261)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SUMIFS(RAB!$F$14:$F$42,RAB!$C$14:$C$42,C1262)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SUMIFS(RAB!$F$14:$F$42,RAB!$C$14:$C$42,C1263)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SUMIFS(RAB!$F$14:$F$42,RAB!$C$14:$C$42,C1264)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SUMIFS(RAB!$F$14:$F$42,RAB!$C$14:$C$42,C1265)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SUMIFS(RAB!$F$14:$F$42,RAB!$C$14:$C$42,C1266)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SUMIFS(RAB!$F$14:$F$42,RAB!$C$14:$C$42,C1267)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SUMIFS(RAB!$F$14:$F$42,RAB!$C$14:$C$42,C1268)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SUMIFS(RAB!$F$14:$F$42,RAB!$C$14:$C$42,C1269)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SUMIFS(RAB!$F$14:$F$42,RAB!$C$14:$C$42,C1270)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SUMIFS(RAB!$F$14:$F$42,RAB!$C$14:$C$42,C1271)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SUMIFS(RAB!$F$14:$F$42,RAB!$C$14:$C$42,C1272)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SUMIFS(RAB!$F$14:$F$42,RAB!$C$14:$C$42,C1273)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SUMIFS(RAB!$F$14:$F$42,RAB!$C$14:$C$42,C1274)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SUMIFS(RAB!$F$14:$F$42,RAB!$C$14:$C$42,C1275)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SUMIFS(RAB!$F$14:$F$42,RAB!$C$14:$C$42,C1276)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SUMIFS(RAB!$F$14:$F$42,RAB!$C$14:$C$42,C1277)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SUMIFS(RAB!$F$14:$F$42,RAB!$C$14:$C$42,C1278)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SUMIFS(RAB!$F$14:$F$42,RAB!$C$14:$C$42,C1279)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SUMIFS(RAB!$F$14:$F$42,RAB!$C$14:$C$42,C1280)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SUMIFS(RAB!$F$14:$F$42,RAB!$C$14:$C$42,C1281)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SUMIFS(RAB!$F$14:$F$42,RAB!$C$14:$C$42,C1282)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SUMIFS(RAB!$F$14:$F$42,RAB!$C$14:$C$42,C1283)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SUMIFS(RAB!$F$14:$F$42,RAB!$C$14:$C$42,C1284)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SUMIFS(RAB!$F$14:$F$42,RAB!$C$14:$C$42,C1285)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SUMIFS(RAB!$F$14:$F$42,RAB!$C$14:$C$42,C1286)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SUMIFS(RAB!$F$14:$F$42,RAB!$C$14:$C$42,C1287)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SUMIFS(RAB!$F$14:$F$42,RAB!$C$14:$C$42,C1288)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SUMIFS(RAB!$F$14:$F$42,RAB!$C$14:$C$42,C1289)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SUMIFS(RAB!$F$14:$F$42,RAB!$C$14:$C$42,C1290)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SUMIFS(RAB!$F$14:$F$42,RAB!$C$14:$C$42,C1291)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SUMIFS(RAB!$F$14:$F$42,RAB!$C$14:$C$42,C1292)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SUMIFS(RAB!$F$14:$F$42,RAB!$C$14:$C$42,C1293)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SUMIFS(RAB!$F$14:$F$42,RAB!$C$14:$C$42,C1294)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SUMIFS(RAB!$F$14:$F$42,RAB!$C$14:$C$42,C1295)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SUMIFS(RAB!$F$14:$F$42,RAB!$C$14:$C$42,C1296)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SUMIFS(RAB!$F$14:$F$42,RAB!$C$14:$C$42,C1297)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SUMIFS(RAB!$F$14:$F$42,RAB!$C$14:$C$42,C1298)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SUMIFS(RAB!$F$14:$F$42,RAB!$C$14:$C$42,C1299)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SUMIFS(RAB!$F$14:$F$42,RAB!$C$14:$C$42,C1300)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SUMIFS(RAB!$F$14:$F$42,RAB!$C$14:$C$42,C1301)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SUMIFS(RAB!$F$14:$F$42,RAB!$C$14:$C$42,C1302)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SUMIFS(RAB!$F$14:$F$42,RAB!$C$14:$C$42,C1303)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SUMIFS(RAB!$F$14:$F$42,RAB!$C$14:$C$42,C1304)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SUMIFS(RAB!$F$14:$F$42,RAB!$C$14:$C$42,C1305)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SUMIFS(RAB!$F$14:$F$42,RAB!$C$14:$C$42,C1306)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SUMIFS(RAB!$F$14:$F$42,RAB!$C$14:$C$42,C1307)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SUMIFS(RAB!$F$14:$F$42,RAB!$C$14:$C$42,C1308)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SUMIFS(RAB!$F$14:$F$42,RAB!$C$14:$C$42,C1309)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SUMIFS(RAB!$F$14:$F$42,RAB!$C$14:$C$42,C1310)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SUMIFS(RAB!$F$14:$F$42,RAB!$C$14:$C$42,C1311)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SUMIFS(RAB!$F$14:$F$42,RAB!$C$14:$C$42,C1312)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SUMIFS(RAB!$F$14:$F$42,RAB!$C$14:$C$42,C1313)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SUMIFS(RAB!$F$14:$F$42,RAB!$C$14:$C$42,C1314)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SUMIFS(RAB!$F$14:$F$42,RAB!$C$14:$C$42,C1315)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SUMIFS(RAB!$F$14:$F$42,RAB!$C$14:$C$42,C1316)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SUMIFS(RAB!$F$14:$F$42,RAB!$C$14:$C$42,C1317)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SUMIFS(RAB!$F$14:$F$42,RAB!$C$14:$C$42,C1318)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SUMIFS(RAB!$F$14:$F$42,RAB!$C$14:$C$42,C1319)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SUMIFS(RAB!$F$14:$F$42,RAB!$C$14:$C$42,C1320)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1127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XL SUKODONO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SUKODONO, KEC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SUMIFS(RAB!$F$14:$F$42,RAB!$C$14:$C$42,'REKAP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SUMIFS(RAB!$F$14:$F$42,RAB!$C$14:$C$42,'REKAP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SUMIFS(RAB!$F$14:$F$42,RAB!$C$14:$C$42,'REKAP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SUMIFS(RAB!$F$14:$F$42,RAB!$C$14:$C$42,'REKAP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SUMIFS(RAB!$F$14:$F$42,RAB!$C$14:$C$42,'REKAP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SUMIFS(RAB!$F$14:$F$42,RAB!$C$14:$C$42,'REKAP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SUMIFS(RAB!$F$14:$F$42,RAB!$C$14:$C$42,'REKAP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SUMIFS(RAB!$F$14:$F$42,RAB!$C$14:$C$42,'REKAP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SUMIFS(RAB!$F$14:$F$42,RAB!$C$14:$C$42,'REKAP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SUMIFS(RAB!$F$14:$F$42,RAB!$C$14:$C$42,'REKAP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SUMIFS(RAB!$F$14:$F$42,RAB!$C$14:$C$42,'REKAP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SUMIFS(RAB!$F$14:$F$42,RAB!$C$14:$C$42,'REKAP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SUMIFS(RAB!$F$14:$F$42,RAB!$C$14:$C$42,'REKAP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SUMIFS(RAB!$F$14:$F$42,RAB!$C$14:$C$42,'REKAP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SUMIFS(RAB!$F$14:$F$42,RAB!$C$14:$C$42,'REKAP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SUMIFS(RAB!$F$14:$F$42,RAB!$C$14:$C$42,'REKAP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SUMIFS(RAB!$F$14:$F$42,RAB!$C$14:$C$42,'REKAP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SUMIFS(RAB!$F$14:$F$42,RAB!$C$14:$C$42,'REKAP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SUMIFS(RAB!$F$14:$F$42,RAB!$C$14:$C$42,'REKAP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SUMIFS(RAB!$F$14:$F$42,RAB!$C$14:$C$42,'REKAP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1034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XL SUKODONO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SUKODONO, KEC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42">
        <f t="shared" ca="1" si="1"/>
        <v>231000</v>
      </c>
      <c r="I18" s="42">
        <f t="shared" ca="1" si="2"/>
        <v>0</v>
      </c>
      <c r="J18" s="42">
        <f t="shared" ca="1" si="3"/>
        <v>0</v>
      </c>
      <c r="K18" s="43">
        <f t="shared" ca="1" si="0"/>
        <v>231000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2010750</v>
      </c>
      <c r="I168" s="55">
        <f ca="1">SUM(I14:I167)</f>
        <v>0</v>
      </c>
      <c r="J168" s="55">
        <f ca="1">SUM(J14:J167)</f>
        <v>0</v>
      </c>
      <c r="K168" s="55">
        <f ca="1">SUM(K14:K167)</f>
        <v>2010750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201075</v>
      </c>
      <c r="I169" s="60">
        <f ca="1">I168*0.1</f>
        <v>0</v>
      </c>
      <c r="J169" s="60">
        <f ca="1">J168*0.1</f>
        <v>0</v>
      </c>
      <c r="K169" s="60">
        <f ca="1">K168*0.1</f>
        <v>201075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2211825</v>
      </c>
      <c r="I170" s="78">
        <f ca="1">SUM(I168:I169)</f>
        <v>0</v>
      </c>
      <c r="J170" s="61">
        <f ca="1">SUM(J168:J169)</f>
        <v>0</v>
      </c>
      <c r="K170" s="61">
        <f ca="1">SUM(K168:K169)</f>
        <v>2211825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SUMIFS(RAB!$F$14:$F$42,RAB!$C$14:$C$42,C224)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SUMIFS(RAB!$F$14:$F$42,RAB!$C$14:$C$42,C225)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SUMIFS(RAB!$F$14:$F$42,RAB!$C$14:$C$42,C226)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SUMIFS(RAB!$F$14:$F$42,RAB!$C$14:$C$42,C227)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SUMIFS(RAB!$F$14:$F$42,RAB!$C$14:$C$42,C228)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SUMIFS(RAB!$F$14:$F$42,RAB!$C$14:$C$42,C229)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SUMIFS(RAB!$F$14:$F$42,RAB!$C$14:$C$42,C230)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SUMIFS(RAB!$F$14:$F$42,RAB!$C$14:$C$42,C231)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SUMIFS(RAB!$F$14:$F$42,RAB!$C$14:$C$42,C232)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SUMIFS(RAB!$F$14:$F$42,RAB!$C$14:$C$42,C233)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SUMIFS(RAB!$F$14:$F$42,RAB!$C$14:$C$42,C234)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SUMIFS(RAB!$F$14:$F$42,RAB!$C$14:$C$42,C235)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SUMIFS(RAB!$F$14:$F$42,RAB!$C$14:$C$42,C236)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SUMIFS(RAB!$F$14:$F$42,RAB!$C$14:$C$42,C237)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SUMIFS(RAB!$F$14:$F$42,RAB!$C$14:$C$42,C238)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SUMIFS(RAB!$F$14:$F$42,RAB!$C$14:$C$42,C239)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SUMIFS(RAB!$F$14:$F$42,RAB!$C$14:$C$42,C240)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SUMIFS(RAB!$F$14:$F$42,RAB!$C$14:$C$42,C241)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SUMIFS(RAB!$F$14:$F$42,RAB!$C$14:$C$42,C242)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SUMIFS(RAB!$F$14:$F$42,RAB!$C$14:$C$42,C243)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SUMIFS(RAB!$F$14:$F$42,RAB!$C$14:$C$42,C244)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SUMIFS(RAB!$F$14:$F$42,RAB!$C$14:$C$42,C245)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SUMIFS(RAB!$F$14:$F$42,RAB!$C$14:$C$42,C246)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SUMIFS(RAB!$F$14:$F$42,RAB!$C$14:$C$42,C247)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SUMIFS(RAB!$F$14:$F$42,RAB!$C$14:$C$42,C248)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SUMIFS(RAB!$F$14:$F$42,RAB!$C$14:$C$42,C249)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SUMIFS(RAB!$F$14:$F$42,RAB!$C$14:$C$42,C250)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SUMIFS(RAB!$F$14:$F$42,RAB!$C$14:$C$42,C251)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SUMIFS(RAB!$F$14:$F$42,RAB!$C$14:$C$42,C252)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SUMIFS(RAB!$F$14:$F$42,RAB!$C$14:$C$42,C253)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SUMIFS(RAB!$F$14:$F$42,RAB!$C$14:$C$42,C254)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SUMIFS(RAB!$F$14:$F$42,RAB!$C$14:$C$42,C255)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SUMIFS(RAB!$F$14:$F$42,RAB!$C$14:$C$42,C256)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SUMIFS(RAB!$F$14:$F$42,RAB!$C$14:$C$42,C257)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SUMIFS(RAB!$F$14:$F$42,RAB!$C$14:$C$42,C258)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SUMIFS(RAB!$F$14:$F$42,RAB!$C$14:$C$42,C259)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SUMIFS(RAB!$F$14:$F$42,RAB!$C$14:$C$42,C260)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SUMIFS(RAB!$F$14:$F$42,RAB!$C$14:$C$42,C261)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SUMIFS(RAB!$F$14:$F$42,RAB!$C$14:$C$42,C262)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SUMIFS(RAB!$F$14:$F$42,RAB!$C$14:$C$42,C263)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SUMIFS(RAB!$F$14:$F$42,RAB!$C$14:$C$42,C264)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SUMIFS(RAB!$F$14:$F$42,RAB!$C$14:$C$42,C265)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SUMIFS(RAB!$F$14:$F$42,RAB!$C$14:$C$42,C266)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SUMIFS(RAB!$F$14:$F$42,RAB!$C$14:$C$42,C267)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SUMIFS(RAB!$F$14:$F$42,RAB!$C$14:$C$42,C268)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SUMIFS(RAB!$F$14:$F$42,RAB!$C$14:$C$42,C269)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SUMIFS(RAB!$F$14:$F$42,RAB!$C$14:$C$42,C270)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SUMIFS(RAB!$F$14:$F$42,RAB!$C$14:$C$42,C271)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SUMIFS(RAB!$F$14:$F$42,RAB!$C$14:$C$42,C272)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SUMIFS(RAB!$F$14:$F$42,RAB!$C$14:$C$42,C273)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SUMIFS(RAB!$F$14:$F$42,RAB!$C$14:$C$42,C274)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SUMIFS(RAB!$F$14:$F$42,RAB!$C$14:$C$42,C275)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SUMIFS(RAB!$F$14:$F$42,RAB!$C$14:$C$42,C276)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SUMIFS(RAB!$F$14:$F$42,RAB!$C$14:$C$42,C277)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SUMIFS(RAB!$F$14:$F$42,RAB!$C$14:$C$42,C278)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SUMIFS(RAB!$F$14:$F$42,RAB!$C$14:$C$42,C279)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SUMIFS(RAB!$F$14:$F$42,RAB!$C$14:$C$42,C280)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SUMIFS(RAB!$F$14:$F$42,RAB!$C$14:$C$42,C281)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SUMIFS(RAB!$F$14:$F$42,RAB!$C$14:$C$42,C282)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SUMIFS(RAB!$F$14:$F$42,RAB!$C$14:$C$42,C283)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SUMIFS(RAB!$F$14:$F$42,RAB!$C$14:$C$42,C284)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SUMIFS(RAB!$F$14:$F$42,RAB!$C$14:$C$42,C285)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SUMIFS(RAB!$F$14:$F$42,RAB!$C$14:$C$42,C286)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SUMIFS(RAB!$F$14:$F$42,RAB!$C$14:$C$42,C287)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SUMIFS(RAB!$F$14:$F$42,RAB!$C$14:$C$42,C288)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SUMIFS(RAB!$F$14:$F$42,RAB!$C$14:$C$42,C289)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SUMIFS(RAB!$F$14:$F$42,RAB!$C$14:$C$42,C290)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SUMIFS(RAB!$F$14:$F$42,RAB!$C$14:$C$42,C291)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SUMIFS(RAB!$F$14:$F$42,RAB!$C$14:$C$42,C292)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SUMIFS(RAB!$F$14:$F$42,RAB!$C$14:$C$42,C293)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SUMIFS(RAB!$F$14:$F$42,RAB!$C$14:$C$42,C294)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SUMIFS(RAB!$F$14:$F$42,RAB!$C$14:$C$42,C295)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SUMIFS(RAB!$F$14:$F$42,RAB!$C$14:$C$42,C296)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SUMIFS(RAB!$F$14:$F$42,RAB!$C$14:$C$42,C297)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SUMIFS(RAB!$F$14:$F$42,RAB!$C$14:$C$42,C298)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SUMIFS(RAB!$F$14:$F$42,RAB!$C$14:$C$42,C299)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SUMIFS(RAB!$F$14:$F$42,RAB!$C$14:$C$42,C300)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SUMIFS(RAB!$F$14:$F$42,RAB!$C$14:$C$42,C301)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SUMIFS(RAB!$F$14:$F$42,RAB!$C$14:$C$42,C302)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SUMIFS(RAB!$F$14:$F$42,RAB!$C$14:$C$42,C303)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SUMIFS(RAB!$F$14:$F$42,RAB!$C$14:$C$42,C304)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SUMIFS(RAB!$F$14:$F$42,RAB!$C$14:$C$42,C305)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SUMIFS(RAB!$F$14:$F$42,RAB!$C$14:$C$42,C306)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SUMIFS(RAB!$F$14:$F$42,RAB!$C$14:$C$42,C307)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SUMIFS(RAB!$F$14:$F$42,RAB!$C$14:$C$42,C308)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SUMIFS(RAB!$F$14:$F$42,RAB!$C$14:$C$42,C309)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SUMIFS(RAB!$F$14:$F$42,RAB!$C$14:$C$42,C310)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SUMIFS(RAB!$F$14:$F$42,RAB!$C$14:$C$42,C311)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SUMIFS(RAB!$F$14:$F$42,RAB!$C$14:$C$42,C312)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SUMIFS(RAB!$F$14:$F$42,RAB!$C$14:$C$42,C313)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SUMIFS(RAB!$F$14:$F$42,RAB!$C$14:$C$42,C314)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SUMIFS(RAB!$F$14:$F$42,RAB!$C$14:$C$42,C315)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SUMIFS(RAB!$F$14:$F$42,RAB!$C$14:$C$42,C316)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SUMIFS(RAB!$F$14:$F$42,RAB!$C$14:$C$42,C317)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SUMIFS(RAB!$F$14:$F$42,RAB!$C$14:$C$42,C318)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SUMIFS(RAB!$F$14:$F$42,RAB!$C$14:$C$42,C319)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SUMIFS(RAB!$F$14:$F$42,RAB!$C$14:$C$42,C320)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SUMIFS(RAB!$F$14:$F$42,RAB!$C$14:$C$42,C321)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SUMIFS(RAB!$F$14:$F$42,RAB!$C$14:$C$42,C322)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SUMIFS(RAB!$F$14:$F$42,RAB!$C$14:$C$42,C323)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SUMIFS(RAB!$F$14:$F$42,RAB!$C$14:$C$42,C324)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SUMIFS(RAB!$F$14:$F$42,RAB!$C$14:$C$42,C325)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SUMIFS(RAB!$F$14:$F$42,RAB!$C$14:$C$42,C326)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SUMIFS(RAB!$F$14:$F$42,RAB!$C$14:$C$42,C327)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SUMIFS(RAB!$F$14:$F$42,RAB!$C$14:$C$42,C328)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SUMIFS(RAB!$F$14:$F$42,RAB!$C$14:$C$42,C329)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SUMIFS(RAB!$F$14:$F$42,RAB!$C$14:$C$42,C330)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SUMIFS(RAB!$F$14:$F$42,RAB!$C$14:$C$42,C331)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SUMIFS(RAB!$F$14:$F$42,RAB!$C$14:$C$42,C332)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SUMIFS(RAB!$F$14:$F$42,RAB!$C$14:$C$42,C333)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SUMIFS(RAB!$F$14:$F$42,RAB!$C$14:$C$42,C334)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SUMIFS(RAB!$F$14:$F$42,RAB!$C$14:$C$42,C335)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SUMIFS(RAB!$F$14:$F$42,RAB!$C$14:$C$42,C336)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SUMIFS(RAB!$F$14:$F$42,RAB!$C$14:$C$42,C337)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SUMIFS(RAB!$F$14:$F$42,RAB!$C$14:$C$42,C338)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SUMIFS(RAB!$F$14:$F$42,RAB!$C$14:$C$42,C339)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SUMIFS(RAB!$F$14:$F$42,RAB!$C$14:$C$42,C340)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SUMIFS(RAB!$F$14:$F$42,RAB!$C$14:$C$42,C341)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SUMIFS(RAB!$F$14:$F$42,RAB!$C$14:$C$42,C342)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SUMIFS(RAB!$F$14:$F$42,RAB!$C$14:$C$42,C343)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SUMIFS(RAB!$F$14:$F$42,RAB!$C$14:$C$42,C344)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SUMIFS(RAB!$F$14:$F$42,RAB!$C$14:$C$42,C345)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SUMIFS(RAB!$F$14:$F$42,RAB!$C$14:$C$42,C346)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SUMIFS(RAB!$F$14:$F$42,RAB!$C$14:$C$42,C347)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SUMIFS(RAB!$F$14:$F$42,RAB!$C$14:$C$42,C348)</f>
        <v>35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SUMIFS(RAB!$F$14:$F$42,RAB!$C$14:$C$42,C349)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SUMIFS(RAB!$F$14:$F$42,RAB!$C$14:$C$42,C350)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SUMIFS(RAB!$F$14:$F$42,RAB!$C$14:$C$42,C351)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SUMIFS(RAB!$F$14:$F$42,RAB!$C$14:$C$42,C352)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SUMIFS(RAB!$F$14:$F$42,RAB!$C$14:$C$42,C353)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SUMIFS(RAB!$F$14:$F$42,RAB!$C$14:$C$42,C354)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SUMIFS(RAB!$F$14:$F$42,RAB!$C$14:$C$42,C355)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SUMIFS(RAB!$F$14:$F$42,RAB!$C$14:$C$42,C356)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SUMIFS(RAB!$F$14:$F$42,RAB!$C$14:$C$42,C357)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SUMIFS(RAB!$F$14:$F$42,RAB!$C$14:$C$42,C358)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SUMIFS(RAB!$F$14:$F$42,RAB!$C$14:$C$42,C359)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SUMIFS(RAB!$F$14:$F$42,RAB!$C$14:$C$42,C360)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SUMIFS(RAB!$F$14:$F$42,RAB!$C$14:$C$42,C361)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SUMIFS(RAB!$F$14:$F$42,RAB!$C$14:$C$42,C362)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SUMIFS(RAB!$F$14:$F$42,RAB!$C$14:$C$42,C363)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SUMIFS(RAB!$F$14:$F$42,RAB!$C$14:$C$42,C364)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SUMIFS(RAB!$F$14:$F$42,RAB!$C$14:$C$42,C365)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SUMIFS(RAB!$F$14:$F$42,RAB!$C$14:$C$42,C366)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SUMIFS(RAB!$F$14:$F$42,RAB!$C$14:$C$42,C367)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SUMIFS(RAB!$F$14:$F$42,RAB!$C$14:$C$42,C368)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SUMIFS(RAB!$F$14:$F$42,RAB!$C$14:$C$42,C369)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SUMIFS(RAB!$F$14:$F$42,RAB!$C$14:$C$42,C370)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SUMIFS(RAB!$F$14:$F$42,RAB!$C$14:$C$42,C371)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SUMIFS(RAB!$F$14:$F$42,RAB!$C$14:$C$42,C372)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SUMIFS(RAB!$F$14:$F$42,RAB!$C$14:$C$42,C373)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5" activePane="bottomRight" state="frozen"/>
      <selection activeCell="D209" sqref="D209"/>
      <selection pane="topRight" activeCell="D209" sqref="D209"/>
      <selection pane="bottomLeft" activeCell="D209" sqref="D209"/>
      <selection pane="bottomRight" activeCell="C88" sqref="C8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1609</v>
      </c>
      <c r="G4" s="108" t="s">
        <v>1608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442"/>
      <c r="G4" s="442"/>
      <c r="H4" s="443"/>
      <c r="I4" s="551" t="s">
        <v>1533</v>
      </c>
      <c r="J4" s="552"/>
      <c r="K4" s="552"/>
      <c r="L4" s="553"/>
    </row>
    <row r="5" spans="1:12" ht="34.5" customHeight="1">
      <c r="A5" s="204"/>
      <c r="B5" s="445" t="s">
        <v>1379</v>
      </c>
      <c r="C5" s="277" t="s">
        <v>9</v>
      </c>
      <c r="D5" s="583" t="str">
        <f>DATA!D14</f>
        <v>XL SUKODONO</v>
      </c>
      <c r="E5" s="584"/>
      <c r="F5" s="208"/>
      <c r="G5" s="208"/>
      <c r="I5" s="446" t="s">
        <v>1379</v>
      </c>
      <c r="J5" s="277" t="s">
        <v>9</v>
      </c>
      <c r="K5" s="554" t="str">
        <f>D5</f>
        <v>XL SUKODONO</v>
      </c>
      <c r="L5" s="555"/>
    </row>
    <row r="6" spans="1:12" ht="31.5" customHeight="1">
      <c r="A6" s="204"/>
      <c r="B6" s="445" t="s">
        <v>1529</v>
      </c>
      <c r="C6" s="277" t="s">
        <v>9</v>
      </c>
      <c r="D6" s="592">
        <f>DATA!D17*1000</f>
        <v>11000</v>
      </c>
      <c r="E6" s="593"/>
      <c r="F6" s="208"/>
      <c r="G6" s="208"/>
      <c r="I6" s="446" t="s">
        <v>1530</v>
      </c>
      <c r="J6" s="277" t="s">
        <v>9</v>
      </c>
      <c r="K6" s="556">
        <f>DATA!D20*1000</f>
        <v>13900</v>
      </c>
      <c r="L6" s="557"/>
    </row>
    <row r="7" spans="1:12" ht="30.75" customHeight="1">
      <c r="A7" s="204"/>
      <c r="B7" s="445" t="s">
        <v>1441</v>
      </c>
      <c r="C7" s="277" t="s">
        <v>9</v>
      </c>
      <c r="D7" s="590">
        <f>DATA!D18</f>
        <v>1</v>
      </c>
      <c r="E7" s="591"/>
      <c r="F7" s="444" t="s">
        <v>1453</v>
      </c>
      <c r="I7" s="446" t="s">
        <v>1441</v>
      </c>
      <c r="J7" s="277" t="s">
        <v>9</v>
      </c>
      <c r="K7" s="558">
        <f>DATA!D21</f>
        <v>3</v>
      </c>
      <c r="L7" s="559"/>
    </row>
    <row r="8" spans="1:12" ht="51" customHeight="1">
      <c r="A8" s="204"/>
      <c r="B8" s="445" t="s">
        <v>1442</v>
      </c>
      <c r="C8" s="277" t="s">
        <v>9</v>
      </c>
      <c r="D8" s="590">
        <f>DATA!D19</f>
        <v>220</v>
      </c>
      <c r="E8" s="591"/>
      <c r="F8" s="444" t="s">
        <v>1453</v>
      </c>
      <c r="G8" s="439">
        <v>220</v>
      </c>
      <c r="I8" s="446" t="s">
        <v>1442</v>
      </c>
      <c r="J8" s="277" t="s">
        <v>9</v>
      </c>
      <c r="K8" s="558">
        <f>DATA!D22</f>
        <v>380</v>
      </c>
      <c r="L8" s="559"/>
    </row>
    <row r="9" spans="1:12" ht="30" customHeight="1" thickBot="1">
      <c r="A9" s="204"/>
      <c r="B9" s="451" t="s">
        <v>1541</v>
      </c>
      <c r="C9" s="441" t="s">
        <v>9</v>
      </c>
      <c r="D9" s="585">
        <f>IF(D7=1,D6/(380/3^0.5),(D6/(380*3^0.5)))</f>
        <v>50.138312850678027</v>
      </c>
      <c r="E9" s="586"/>
      <c r="F9" s="207"/>
      <c r="G9" s="440">
        <v>380</v>
      </c>
      <c r="I9" s="452" t="s">
        <v>1541</v>
      </c>
      <c r="J9" s="441" t="s">
        <v>9</v>
      </c>
      <c r="K9" s="562">
        <f>IF(K7=1,K6/(380/3^0.5),(K6/(380*3^0.5)))</f>
        <v>21.118865109831049</v>
      </c>
      <c r="L9" s="56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4"/>
      <c r="E12" s="595"/>
      <c r="F12" s="208"/>
      <c r="G12" s="208"/>
      <c r="I12" s="468" t="s">
        <v>1534</v>
      </c>
      <c r="J12" s="469" t="s">
        <v>9</v>
      </c>
      <c r="K12" s="594"/>
      <c r="L12" s="595"/>
    </row>
    <row r="13" spans="1:12" ht="31.5" customHeight="1">
      <c r="A13" s="204"/>
      <c r="B13" s="476" t="s">
        <v>1380</v>
      </c>
      <c r="C13" s="456" t="s">
        <v>9</v>
      </c>
      <c r="D13" s="560"/>
      <c r="E13" s="561"/>
      <c r="F13" s="208"/>
      <c r="G13" s="208"/>
      <c r="I13" s="470" t="s">
        <v>1380</v>
      </c>
      <c r="J13" s="456" t="s">
        <v>9</v>
      </c>
      <c r="K13" s="560"/>
      <c r="L13" s="561"/>
    </row>
    <row r="14" spans="1:12" ht="30.75" customHeight="1">
      <c r="A14" s="204"/>
      <c r="B14" s="476" t="s">
        <v>1535</v>
      </c>
      <c r="C14" s="456" t="s">
        <v>9</v>
      </c>
      <c r="D14" s="564"/>
      <c r="E14" s="565"/>
      <c r="F14" s="444" t="s">
        <v>1453</v>
      </c>
      <c r="G14" s="448">
        <v>50</v>
      </c>
      <c r="I14" s="470" t="s">
        <v>1535</v>
      </c>
      <c r="J14" s="456" t="s">
        <v>9</v>
      </c>
      <c r="K14" s="566"/>
      <c r="L14" s="56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68">
        <v>0</v>
      </c>
      <c r="E16" s="569"/>
      <c r="F16" s="444"/>
      <c r="G16" s="448">
        <v>160</v>
      </c>
      <c r="I16" s="470" t="s">
        <v>1537</v>
      </c>
      <c r="J16" s="456" t="s">
        <v>9</v>
      </c>
      <c r="K16" s="572">
        <f>K9</f>
        <v>21.118865109831049</v>
      </c>
      <c r="L16" s="573"/>
    </row>
    <row r="17" spans="1:12" ht="34.5" customHeight="1">
      <c r="A17" s="204"/>
      <c r="B17" s="476" t="s">
        <v>1538</v>
      </c>
      <c r="C17" s="456" t="s">
        <v>9</v>
      </c>
      <c r="D17" s="570">
        <f>IF(D15=1,D14/(20/3^0.5),(D14/(20*3^0.5)))</f>
        <v>0</v>
      </c>
      <c r="E17" s="571"/>
      <c r="F17" s="444" t="s">
        <v>1453</v>
      </c>
      <c r="G17" s="449">
        <v>200</v>
      </c>
      <c r="I17" s="470" t="s">
        <v>1538</v>
      </c>
      <c r="J17" s="456" t="s">
        <v>9</v>
      </c>
      <c r="K17" s="576">
        <f>IF(K15=1,K14/(20/3^0.5),(K14/(20*3^0.5)))</f>
        <v>0</v>
      </c>
      <c r="L17" s="577"/>
    </row>
    <row r="18" spans="1:12" ht="34.5" customHeight="1">
      <c r="A18" s="204"/>
      <c r="B18" s="476" t="s">
        <v>1539</v>
      </c>
      <c r="C18" s="456" t="s">
        <v>9</v>
      </c>
      <c r="D18" s="570">
        <f>IF(D15=1,D14/(380/3^0.5),(D14/(380*3^0.5)))*1000</f>
        <v>0</v>
      </c>
      <c r="E18" s="571"/>
      <c r="F18" s="444" t="s">
        <v>1453</v>
      </c>
      <c r="G18" s="449">
        <v>250</v>
      </c>
      <c r="I18" s="470" t="s">
        <v>1539</v>
      </c>
      <c r="J18" s="456" t="s">
        <v>9</v>
      </c>
      <c r="K18" s="576">
        <f>IF(K15=1,K14/(380/3^0.5),(K14/(380*3^0.5)))*1000</f>
        <v>0</v>
      </c>
      <c r="L18" s="577"/>
    </row>
    <row r="19" spans="1:12" ht="30" customHeight="1">
      <c r="A19" s="204"/>
      <c r="B19" s="477" t="s">
        <v>1531</v>
      </c>
      <c r="C19" s="455" t="s">
        <v>9</v>
      </c>
      <c r="D19" s="570">
        <f>IF(D15=1,D14/(380/3^0.5),(D14/(380*3^0.5)))</f>
        <v>0</v>
      </c>
      <c r="E19" s="571"/>
      <c r="F19" s="207"/>
      <c r="G19" s="440"/>
      <c r="I19" s="472" t="s">
        <v>1531</v>
      </c>
      <c r="J19" s="455" t="s">
        <v>9</v>
      </c>
      <c r="K19" s="576">
        <f>IF(K15=1,K14/(380/3^0.5),(K14/(380*3^0.5)))</f>
        <v>0</v>
      </c>
      <c r="L19" s="577"/>
    </row>
    <row r="20" spans="1:12" ht="30" customHeight="1" thickBot="1">
      <c r="A20" s="204"/>
      <c r="B20" s="478" t="s">
        <v>1540</v>
      </c>
      <c r="C20" s="474" t="s">
        <v>9</v>
      </c>
      <c r="D20" s="596" t="e">
        <f>D16/D18</f>
        <v>#DIV/0!</v>
      </c>
      <c r="E20" s="597"/>
      <c r="F20" s="207"/>
      <c r="G20" s="440"/>
      <c r="I20" s="473" t="s">
        <v>1531</v>
      </c>
      <c r="J20" s="474" t="s">
        <v>9</v>
      </c>
      <c r="K20" s="574" t="e">
        <f>K16/K18</f>
        <v>#DIV/0!</v>
      </c>
      <c r="L20" s="575"/>
    </row>
    <row r="21" spans="1:12" ht="9.75" customHeight="1">
      <c r="A21" s="204"/>
      <c r="B21" s="463" t="s">
        <v>1540</v>
      </c>
      <c r="C21" s="464" t="s">
        <v>9</v>
      </c>
      <c r="D21" s="581">
        <v>1</v>
      </c>
      <c r="E21" s="581"/>
      <c r="F21" s="465"/>
      <c r="G21" s="466"/>
      <c r="H21" s="467"/>
      <c r="I21" s="463" t="s">
        <v>1531</v>
      </c>
      <c r="J21" s="464" t="s">
        <v>9</v>
      </c>
      <c r="K21" s="581">
        <v>1</v>
      </c>
      <c r="L21" s="58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J24" sqref="J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2.9000000000000004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2810100.0000000005</v>
      </c>
    </row>
    <row r="10" spans="2:11" ht="20.100000000000001" customHeight="1">
      <c r="B10" s="291" t="s">
        <v>1446</v>
      </c>
      <c r="C10" s="292" t="s">
        <v>9</v>
      </c>
      <c r="D10" s="298">
        <f ca="1">RAB!K48</f>
        <v>4714030.1399999997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94280.602799999993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11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13.9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K21" sqref="K21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XL SUKODONO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0" t="s">
        <v>1349</v>
      </c>
      <c r="C5" s="600" t="s">
        <v>1358</v>
      </c>
      <c r="D5" s="605" t="s">
        <v>1359</v>
      </c>
      <c r="E5" s="605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307"/>
      <c r="N5" s="603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1" t="s">
        <v>1367</v>
      </c>
      <c r="U5" s="310"/>
    </row>
    <row r="6" spans="1:21" ht="20.100000000000001" customHeight="1">
      <c r="B6" s="600"/>
      <c r="C6" s="600"/>
      <c r="D6" s="600"/>
      <c r="E6" s="60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4"/>
      <c r="O6" s="600"/>
      <c r="P6" s="600"/>
      <c r="Q6" s="600"/>
      <c r="R6" s="308"/>
      <c r="S6" s="309"/>
      <c r="T6" s="60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928.00000000000011</v>
      </c>
      <c r="D7" s="316">
        <f>C7*4/24</f>
        <v>154.66666666666669</v>
      </c>
      <c r="E7" s="316">
        <f>C7-D7</f>
        <v>773.33333333333348</v>
      </c>
      <c r="F7" s="317">
        <f ca="1">DATA!D10/1000000</f>
        <v>4.7140301399999993</v>
      </c>
      <c r="G7" s="318">
        <f ca="1">DATA!$D$11/1000000</f>
        <v>9.4280602799999988E-2</v>
      </c>
      <c r="H7" s="318">
        <f>C7*DATA!$D$5/1000000</f>
        <v>1.0060680425827502</v>
      </c>
      <c r="I7" s="318">
        <f>(C7*DATA!$D$5*DATA!$D$7)/1000000</f>
        <v>2.2636530958111873E-2</v>
      </c>
      <c r="J7" s="316">
        <f ca="1">SUM(F7:I7)</f>
        <v>5.8370153163408602</v>
      </c>
      <c r="K7" s="319">
        <f>DATA!D9/1000000</f>
        <v>2.8101000000000003</v>
      </c>
      <c r="L7" s="316">
        <f>((D7*DATA!$D$23)/1000000)+((E7*DATA!$D$24)/1000000)</f>
        <v>1.3406816000000004</v>
      </c>
      <c r="M7" s="316">
        <f>K7+L7</f>
        <v>4.1507816000000002</v>
      </c>
      <c r="N7" s="316">
        <f ca="1">M7-J7</f>
        <v>-1.6862337163408601</v>
      </c>
      <c r="O7" s="314">
        <v>1</v>
      </c>
      <c r="P7" s="316">
        <f ca="1">O7*N7</f>
        <v>-1.6862337163408601</v>
      </c>
      <c r="Q7" s="316">
        <f ca="1">P7</f>
        <v>-1.6862337163408601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1392.0000000000002</v>
      </c>
      <c r="D8" s="316">
        <f>C8*4/24</f>
        <v>232.00000000000003</v>
      </c>
      <c r="E8" s="316">
        <f t="shared" ref="E8:E32" si="0">C8-D8</f>
        <v>1160.0000000000002</v>
      </c>
      <c r="F8" s="314"/>
      <c r="G8" s="318">
        <f ca="1">DATA!$D$11/1000000</f>
        <v>9.4280602799999988E-2</v>
      </c>
      <c r="H8" s="318">
        <f>C8*DATA!$D$5/1000000</f>
        <v>1.5091020638741253</v>
      </c>
      <c r="I8" s="318">
        <f>(C8*DATA!$D$5*DATA!$D$7)/1000000</f>
        <v>3.3954796437167818E-2</v>
      </c>
      <c r="J8" s="316">
        <f t="shared" ref="J8:J32" ca="1" si="1">SUM(F8:I8)</f>
        <v>1.6373374631112931</v>
      </c>
      <c r="K8" s="321"/>
      <c r="L8" s="316">
        <f>((D8*DATA!$D$23)/1000000)+((E8*DATA!$D$24)/1000000)</f>
        <v>2.0110224000000008</v>
      </c>
      <c r="M8" s="316">
        <f t="shared" ref="M8:M32" si="2">K8+L8</f>
        <v>2.0110224000000008</v>
      </c>
      <c r="N8" s="316">
        <f ca="1">M8-J8</f>
        <v>0.37368493688870763</v>
      </c>
      <c r="O8" s="315">
        <f>1/(1+'[93]Asumsi I'!$C$3)^(KKF!A8)</f>
        <v>0.89285714285714279</v>
      </c>
      <c r="P8" s="316">
        <f ca="1">O8*N8</f>
        <v>0.33364726507920323</v>
      </c>
      <c r="Q8" s="316">
        <f ca="1">Q7+P8</f>
        <v>-1.3525864512616568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1392.0000000000002</v>
      </c>
      <c r="D9" s="316">
        <f t="shared" ref="D9:D32" si="5">C9*4/24</f>
        <v>232.00000000000003</v>
      </c>
      <c r="E9" s="316">
        <f t="shared" si="0"/>
        <v>1160.0000000000002</v>
      </c>
      <c r="F9" s="314"/>
      <c r="G9" s="318">
        <f ca="1">DATA!$D$11/1000000</f>
        <v>9.4280602799999988E-2</v>
      </c>
      <c r="H9" s="318">
        <f>C9*DATA!$D$5/1000000</f>
        <v>1.5091020638741253</v>
      </c>
      <c r="I9" s="318">
        <f>(C9*DATA!$D$5*DATA!$D$7)/1000000</f>
        <v>3.3954796437167818E-2</v>
      </c>
      <c r="J9" s="316">
        <f t="shared" ca="1" si="1"/>
        <v>1.6373374631112931</v>
      </c>
      <c r="K9" s="316"/>
      <c r="L9" s="316">
        <f>((D9*DATA!$D$23)/1000000)+((E9*DATA!$D$24)/1000000)</f>
        <v>2.0110224000000008</v>
      </c>
      <c r="M9" s="316">
        <f t="shared" si="2"/>
        <v>2.0110224000000008</v>
      </c>
      <c r="N9" s="316">
        <f t="shared" ref="N9:N32" ca="1" si="6">M9-J9</f>
        <v>0.37368493688870763</v>
      </c>
      <c r="O9" s="322">
        <f>1/(1+'[93]Asumsi I'!$C$3)^(KKF!A9)</f>
        <v>0.79719387755102034</v>
      </c>
      <c r="P9" s="316">
        <f t="shared" ref="P9:P32" ca="1" si="7">O9*N9</f>
        <v>0.29789934382071714</v>
      </c>
      <c r="Q9" s="316">
        <f ca="1">Q8+P9</f>
        <v>-1.0546871074409396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1392.0000000000002</v>
      </c>
      <c r="D10" s="316">
        <f t="shared" si="5"/>
        <v>232.00000000000003</v>
      </c>
      <c r="E10" s="316">
        <f t="shared" si="0"/>
        <v>1160.0000000000002</v>
      </c>
      <c r="F10" s="314"/>
      <c r="G10" s="318">
        <f ca="1">DATA!$D$11/1000000</f>
        <v>9.4280602799999988E-2</v>
      </c>
      <c r="H10" s="318">
        <f>C10*DATA!$D$5/1000000</f>
        <v>1.5091020638741253</v>
      </c>
      <c r="I10" s="318">
        <f>(C10*DATA!$D$5*DATA!$D$7)/1000000</f>
        <v>3.3954796437167818E-2</v>
      </c>
      <c r="J10" s="316">
        <f t="shared" ca="1" si="1"/>
        <v>1.6373374631112931</v>
      </c>
      <c r="K10" s="314"/>
      <c r="L10" s="316">
        <f>((D10*DATA!$D$23)/1000000)+((E10*DATA!$D$24)/1000000)</f>
        <v>2.0110224000000008</v>
      </c>
      <c r="M10" s="316">
        <f t="shared" si="2"/>
        <v>2.0110224000000008</v>
      </c>
      <c r="N10" s="316">
        <f t="shared" ca="1" si="6"/>
        <v>0.37368493688870763</v>
      </c>
      <c r="O10" s="315">
        <f>1/(1+'[93]Asumsi I'!$C$3)^(KKF!A10)</f>
        <v>0.71178024781341087</v>
      </c>
      <c r="P10" s="316">
        <f t="shared" ca="1" si="7"/>
        <v>0.26598155698278314</v>
      </c>
      <c r="Q10" s="316">
        <f t="shared" ref="Q10:Q30" ca="1" si="9">Q9+P10</f>
        <v>-0.78870555045815649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1392.0000000000002</v>
      </c>
      <c r="D11" s="316">
        <f t="shared" si="5"/>
        <v>232.00000000000003</v>
      </c>
      <c r="E11" s="316">
        <f t="shared" si="0"/>
        <v>1160.0000000000002</v>
      </c>
      <c r="F11" s="314"/>
      <c r="G11" s="318">
        <f ca="1">DATA!$D$11/1000000</f>
        <v>9.4280602799999988E-2</v>
      </c>
      <c r="H11" s="318">
        <f>C11*DATA!$D$5/1000000</f>
        <v>1.5091020638741253</v>
      </c>
      <c r="I11" s="318">
        <f>(C11*DATA!$D$5*DATA!$D$7)/1000000</f>
        <v>3.3954796437167818E-2</v>
      </c>
      <c r="J11" s="316">
        <f t="shared" ca="1" si="1"/>
        <v>1.6373374631112931</v>
      </c>
      <c r="K11" s="314"/>
      <c r="L11" s="316">
        <f>((D11*DATA!$D$23)/1000000)+((E11*DATA!$D$24)/1000000)</f>
        <v>2.0110224000000008</v>
      </c>
      <c r="M11" s="316">
        <f t="shared" si="2"/>
        <v>2.0110224000000008</v>
      </c>
      <c r="N11" s="316">
        <f t="shared" ca="1" si="6"/>
        <v>0.37368493688870763</v>
      </c>
      <c r="O11" s="315">
        <f>1/(1+'[93]Asumsi I'!$C$3)^(KKF!A11)</f>
        <v>0.63551807840483121</v>
      </c>
      <c r="P11" s="316">
        <f t="shared" ca="1" si="7"/>
        <v>0.23748353302034209</v>
      </c>
      <c r="Q11" s="316">
        <f t="shared" ca="1" si="9"/>
        <v>-0.5512220174378144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1392.0000000000002</v>
      </c>
      <c r="D12" s="316">
        <f t="shared" si="5"/>
        <v>232.00000000000003</v>
      </c>
      <c r="E12" s="316">
        <f t="shared" si="0"/>
        <v>1160.0000000000002</v>
      </c>
      <c r="F12" s="314"/>
      <c r="G12" s="318">
        <f ca="1">DATA!$D$11/1000000</f>
        <v>9.4280602799999988E-2</v>
      </c>
      <c r="H12" s="318">
        <f>C12*DATA!$D$5/1000000</f>
        <v>1.5091020638741253</v>
      </c>
      <c r="I12" s="318">
        <f>(C12*DATA!$D$5*DATA!$D$7)/1000000</f>
        <v>3.3954796437167818E-2</v>
      </c>
      <c r="J12" s="316">
        <f t="shared" ca="1" si="1"/>
        <v>1.6373374631112931</v>
      </c>
      <c r="K12" s="314"/>
      <c r="L12" s="316">
        <f>((D12*DATA!$D$23)/1000000)+((E12*DATA!$D$24)/1000000)</f>
        <v>2.0110224000000008</v>
      </c>
      <c r="M12" s="316">
        <f t="shared" si="2"/>
        <v>2.0110224000000008</v>
      </c>
      <c r="N12" s="316">
        <f t="shared" ca="1" si="6"/>
        <v>0.37368493688870763</v>
      </c>
      <c r="O12" s="315">
        <f>1/(1+'[93]Asumsi I'!$C$3)^(KKF!A12)</f>
        <v>0.56742685571859919</v>
      </c>
      <c r="P12" s="316">
        <f t="shared" ca="1" si="7"/>
        <v>0.21203886876816255</v>
      </c>
      <c r="Q12" s="316">
        <f t="shared" ca="1" si="9"/>
        <v>-0.33918314866965182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1392.0000000000002</v>
      </c>
      <c r="D13" s="316">
        <f t="shared" si="5"/>
        <v>232.00000000000003</v>
      </c>
      <c r="E13" s="316">
        <f t="shared" si="0"/>
        <v>1160.0000000000002</v>
      </c>
      <c r="F13" s="314"/>
      <c r="G13" s="318">
        <f ca="1">DATA!$D$11/1000000</f>
        <v>9.4280602799999988E-2</v>
      </c>
      <c r="H13" s="318">
        <f>C13*DATA!$D$5/1000000</f>
        <v>1.5091020638741253</v>
      </c>
      <c r="I13" s="318">
        <f>(C13*DATA!$D$5*DATA!$D$7)/1000000</f>
        <v>3.3954796437167818E-2</v>
      </c>
      <c r="J13" s="316">
        <f t="shared" ca="1" si="1"/>
        <v>1.6373374631112931</v>
      </c>
      <c r="K13" s="314"/>
      <c r="L13" s="316">
        <f>((D13*DATA!$D$23)/1000000)+((E13*DATA!$D$24)/1000000)</f>
        <v>2.0110224000000008</v>
      </c>
      <c r="M13" s="316">
        <f t="shared" si="2"/>
        <v>2.0110224000000008</v>
      </c>
      <c r="N13" s="316">
        <f t="shared" ca="1" si="6"/>
        <v>0.37368493688870763</v>
      </c>
      <c r="O13" s="315">
        <f>1/(1+'[93]Asumsi I'!$C$3)^(KKF!A13)</f>
        <v>0.50663112117732068</v>
      </c>
      <c r="P13" s="316">
        <f t="shared" ca="1" si="7"/>
        <v>0.18932041854300227</v>
      </c>
      <c r="Q13" s="316">
        <f t="shared" ca="1" si="9"/>
        <v>-0.14986273012664955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1392.0000000000002</v>
      </c>
      <c r="D14" s="316">
        <f t="shared" si="5"/>
        <v>232.00000000000003</v>
      </c>
      <c r="E14" s="316">
        <f t="shared" si="0"/>
        <v>1160.0000000000002</v>
      </c>
      <c r="F14" s="314"/>
      <c r="G14" s="318">
        <f ca="1">DATA!$D$11/1000000</f>
        <v>9.4280602799999988E-2</v>
      </c>
      <c r="H14" s="318">
        <f>C14*DATA!$D$5/1000000</f>
        <v>1.5091020638741253</v>
      </c>
      <c r="I14" s="318">
        <f>(C14*DATA!$D$5*DATA!$D$7)/1000000</f>
        <v>3.3954796437167818E-2</v>
      </c>
      <c r="J14" s="316">
        <f t="shared" ca="1" si="1"/>
        <v>1.6373374631112931</v>
      </c>
      <c r="K14" s="314"/>
      <c r="L14" s="316">
        <f>((D14*DATA!$D$23)/1000000)+((E14*DATA!$D$24)/1000000)</f>
        <v>2.0110224000000008</v>
      </c>
      <c r="M14" s="316">
        <f t="shared" si="2"/>
        <v>2.0110224000000008</v>
      </c>
      <c r="N14" s="316">
        <f t="shared" ca="1" si="6"/>
        <v>0.37368493688870763</v>
      </c>
      <c r="O14" s="315">
        <f>1/(1+'[93]Asumsi I'!$C$3)^(KKF!A14)</f>
        <v>0.45234921533689343</v>
      </c>
      <c r="P14" s="316">
        <f t="shared" ca="1" si="7"/>
        <v>0.16903608798482345</v>
      </c>
      <c r="Q14" s="316">
        <f t="shared" ca="1" si="9"/>
        <v>1.9173357858173895E-2</v>
      </c>
      <c r="S14" s="304" t="str">
        <f t="shared" ca="1" si="3"/>
        <v/>
      </c>
      <c r="T14" s="320">
        <f t="shared" ca="1" si="10"/>
        <v>6.9486911139158813</v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1392.0000000000002</v>
      </c>
      <c r="D15" s="316">
        <f t="shared" si="5"/>
        <v>232.00000000000003</v>
      </c>
      <c r="E15" s="316">
        <f t="shared" si="0"/>
        <v>1160.0000000000002</v>
      </c>
      <c r="F15" s="314"/>
      <c r="G15" s="318">
        <f ca="1">DATA!$D$11/1000000</f>
        <v>9.4280602799999988E-2</v>
      </c>
      <c r="H15" s="318">
        <f>C15*DATA!$D$5/1000000</f>
        <v>1.5091020638741253</v>
      </c>
      <c r="I15" s="318">
        <f>(C15*DATA!$D$5*DATA!$D$7)/1000000</f>
        <v>3.3954796437167818E-2</v>
      </c>
      <c r="J15" s="316">
        <f t="shared" ca="1" si="1"/>
        <v>1.6373374631112931</v>
      </c>
      <c r="K15" s="314"/>
      <c r="L15" s="316">
        <f>((D15*DATA!$D$23)/1000000)+((E15*DATA!$D$24)/1000000)</f>
        <v>2.0110224000000008</v>
      </c>
      <c r="M15" s="316">
        <f t="shared" si="2"/>
        <v>2.0110224000000008</v>
      </c>
      <c r="N15" s="316">
        <f t="shared" ca="1" si="6"/>
        <v>0.37368493688870763</v>
      </c>
      <c r="O15" s="315">
        <f>1/(1+'[93]Asumsi I'!$C$3)^(KKF!A15)</f>
        <v>0.4038832279793691</v>
      </c>
      <c r="P15" s="316">
        <f t="shared" ca="1" si="7"/>
        <v>0.15092507855787807</v>
      </c>
      <c r="Q15" s="316">
        <f t="shared" ca="1" si="9"/>
        <v>0.17009843641605196</v>
      </c>
      <c r="S15" s="304" t="str">
        <f t="shared" ca="1" si="3"/>
        <v/>
      </c>
      <c r="T15" s="320">
        <f t="shared" ca="1" si="10"/>
        <v>7.5448078859365122</v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1392.0000000000002</v>
      </c>
      <c r="D16" s="316">
        <f t="shared" si="5"/>
        <v>232.00000000000003</v>
      </c>
      <c r="E16" s="316">
        <f t="shared" si="0"/>
        <v>1160.0000000000002</v>
      </c>
      <c r="F16" s="314"/>
      <c r="G16" s="318">
        <f ca="1">DATA!$D$11/1000000</f>
        <v>9.4280602799999988E-2</v>
      </c>
      <c r="H16" s="318">
        <f>C16*DATA!$D$5/1000000</f>
        <v>1.5091020638741253</v>
      </c>
      <c r="I16" s="318">
        <f>(C16*DATA!$D$5*DATA!$D$7)/1000000</f>
        <v>3.3954796437167818E-2</v>
      </c>
      <c r="J16" s="316">
        <f t="shared" ca="1" si="1"/>
        <v>1.6373374631112931</v>
      </c>
      <c r="K16" s="314"/>
      <c r="L16" s="316">
        <f>((D16*DATA!$D$23)/1000000)+((E16*DATA!$D$24)/1000000)</f>
        <v>2.0110224000000008</v>
      </c>
      <c r="M16" s="316">
        <f t="shared" si="2"/>
        <v>2.0110224000000008</v>
      </c>
      <c r="N16" s="316">
        <f t="shared" ca="1" si="6"/>
        <v>0.37368493688870763</v>
      </c>
      <c r="O16" s="315">
        <f>1/(1+'[93]Asumsi I'!$C$3)^(KKF!A16)</f>
        <v>0.36061002498157957</v>
      </c>
      <c r="P16" s="316">
        <f t="shared" ca="1" si="7"/>
        <v>0.13475453442667684</v>
      </c>
      <c r="Q16" s="316">
        <f t="shared" ca="1" si="9"/>
        <v>0.30485297084272878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1392.0000000000002</v>
      </c>
      <c r="D17" s="316">
        <f t="shared" si="5"/>
        <v>232.00000000000003</v>
      </c>
      <c r="E17" s="316">
        <f t="shared" si="0"/>
        <v>1160.0000000000002</v>
      </c>
      <c r="F17" s="314"/>
      <c r="G17" s="318">
        <f ca="1">DATA!$D$11/1000000</f>
        <v>9.4280602799999988E-2</v>
      </c>
      <c r="H17" s="318">
        <f>C17*DATA!$D$5/1000000</f>
        <v>1.5091020638741253</v>
      </c>
      <c r="I17" s="318">
        <f>(C17*DATA!$D$5*DATA!$D$7)/1000000</f>
        <v>3.3954796437167818E-2</v>
      </c>
      <c r="J17" s="316">
        <f t="shared" ca="1" si="1"/>
        <v>1.6373374631112931</v>
      </c>
      <c r="K17" s="314"/>
      <c r="L17" s="316">
        <f>((D17*DATA!$D$23)/1000000)+((E17*DATA!$D$24)/1000000)</f>
        <v>2.0110224000000008</v>
      </c>
      <c r="M17" s="316">
        <f t="shared" si="2"/>
        <v>2.0110224000000008</v>
      </c>
      <c r="N17" s="316">
        <f t="shared" ca="1" si="6"/>
        <v>0.37368493688870763</v>
      </c>
      <c r="O17" s="315">
        <f>1/(1+'[93]Asumsi I'!$C$3)^(KKF!A17)</f>
        <v>0.32197323659069599</v>
      </c>
      <c r="P17" s="316">
        <f t="shared" ca="1" si="7"/>
        <v>0.12031654859524717</v>
      </c>
      <c r="Q17" s="316">
        <f t="shared" ca="1" si="9"/>
        <v>0.42516951943797593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1392.0000000000002</v>
      </c>
      <c r="D18" s="316">
        <f t="shared" si="5"/>
        <v>232.00000000000003</v>
      </c>
      <c r="E18" s="316">
        <f t="shared" si="0"/>
        <v>1160.0000000000002</v>
      </c>
      <c r="F18" s="314"/>
      <c r="G18" s="318">
        <f ca="1">DATA!$D$11/1000000</f>
        <v>9.4280602799999988E-2</v>
      </c>
      <c r="H18" s="318">
        <f>C18*DATA!$D$5/1000000</f>
        <v>1.5091020638741253</v>
      </c>
      <c r="I18" s="318">
        <f>(C18*DATA!$D$5*DATA!$D$7)/1000000</f>
        <v>3.3954796437167818E-2</v>
      </c>
      <c r="J18" s="316">
        <f t="shared" ca="1" si="1"/>
        <v>1.6373374631112931</v>
      </c>
      <c r="K18" s="314"/>
      <c r="L18" s="316">
        <f>((D18*DATA!$D$23)/1000000)+((E18*DATA!$D$24)/1000000)</f>
        <v>2.0110224000000008</v>
      </c>
      <c r="M18" s="316">
        <f t="shared" si="2"/>
        <v>2.0110224000000008</v>
      </c>
      <c r="N18" s="316">
        <f t="shared" ca="1" si="6"/>
        <v>0.37368493688870763</v>
      </c>
      <c r="O18" s="315">
        <f>1/(1+'[93]Asumsi I'!$C$3)^(KKF!A18)</f>
        <v>0.28747610409883567</v>
      </c>
      <c r="P18" s="316">
        <f t="shared" ca="1" si="7"/>
        <v>0.10742548981718496</v>
      </c>
      <c r="Q18" s="316">
        <f t="shared" ca="1" si="9"/>
        <v>0.5325950092551609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1392.0000000000002</v>
      </c>
      <c r="D19" s="316">
        <f t="shared" si="5"/>
        <v>232.00000000000003</v>
      </c>
      <c r="E19" s="316">
        <f t="shared" si="0"/>
        <v>1160.0000000000002</v>
      </c>
      <c r="F19" s="314"/>
      <c r="G19" s="318">
        <f ca="1">DATA!$D$11/1000000</f>
        <v>9.4280602799999988E-2</v>
      </c>
      <c r="H19" s="318">
        <f>C19*DATA!$D$5/1000000</f>
        <v>1.5091020638741253</v>
      </c>
      <c r="I19" s="318">
        <f>(C19*DATA!$D$5*DATA!$D$7)/1000000</f>
        <v>3.3954796437167818E-2</v>
      </c>
      <c r="J19" s="316">
        <f t="shared" ca="1" si="1"/>
        <v>1.6373374631112931</v>
      </c>
      <c r="K19" s="314"/>
      <c r="L19" s="316">
        <f>((D19*DATA!$D$23)/1000000)+((E19*DATA!$D$24)/1000000)</f>
        <v>2.0110224000000008</v>
      </c>
      <c r="M19" s="316">
        <f t="shared" si="2"/>
        <v>2.0110224000000008</v>
      </c>
      <c r="N19" s="316">
        <f t="shared" ca="1" si="6"/>
        <v>0.37368493688870763</v>
      </c>
      <c r="O19" s="315">
        <f>1/(1+'[93]Asumsi I'!$C$3)^(KKF!A19)</f>
        <v>0.25667509294538904</v>
      </c>
      <c r="P19" s="316">
        <f t="shared" ca="1" si="7"/>
        <v>9.5915615908200871E-2</v>
      </c>
      <c r="Q19" s="316">
        <f t="shared" ca="1" si="9"/>
        <v>0.62851062516336176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1392.0000000000002</v>
      </c>
      <c r="D20" s="316">
        <f t="shared" si="5"/>
        <v>232.00000000000003</v>
      </c>
      <c r="E20" s="316">
        <f t="shared" si="0"/>
        <v>1160.0000000000002</v>
      </c>
      <c r="F20" s="314"/>
      <c r="G20" s="318">
        <f ca="1">DATA!$D$11/1000000</f>
        <v>9.4280602799999988E-2</v>
      </c>
      <c r="H20" s="318">
        <f>C20*DATA!$D$5/1000000</f>
        <v>1.5091020638741253</v>
      </c>
      <c r="I20" s="318">
        <f>(C20*DATA!$D$5*DATA!$D$7)/1000000</f>
        <v>3.3954796437167818E-2</v>
      </c>
      <c r="J20" s="316">
        <f t="shared" ca="1" si="1"/>
        <v>1.6373374631112931</v>
      </c>
      <c r="K20" s="314"/>
      <c r="L20" s="316">
        <f>((D20*DATA!$D$23)/1000000)+((E20*DATA!$D$24)/1000000)</f>
        <v>2.0110224000000008</v>
      </c>
      <c r="M20" s="316">
        <f t="shared" si="2"/>
        <v>2.0110224000000008</v>
      </c>
      <c r="N20" s="316">
        <f t="shared" ca="1" si="6"/>
        <v>0.37368493688870763</v>
      </c>
      <c r="O20" s="315">
        <f>1/(1+'[93]Asumsi I'!$C$3)^(KKF!A20)</f>
        <v>0.22917419012981158</v>
      </c>
      <c r="P20" s="316">
        <f t="shared" ca="1" si="7"/>
        <v>8.5638942775179319E-2</v>
      </c>
      <c r="Q20" s="316">
        <f t="shared" ca="1" si="9"/>
        <v>0.71414956793854112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1392.0000000000002</v>
      </c>
      <c r="D21" s="316">
        <f t="shared" si="5"/>
        <v>232.00000000000003</v>
      </c>
      <c r="E21" s="316">
        <f t="shared" si="0"/>
        <v>1160.0000000000002</v>
      </c>
      <c r="F21" s="314"/>
      <c r="G21" s="318">
        <f ca="1">DATA!$D$11/1000000</f>
        <v>9.4280602799999988E-2</v>
      </c>
      <c r="H21" s="318">
        <f>C21*DATA!$D$5/1000000</f>
        <v>1.5091020638741253</v>
      </c>
      <c r="I21" s="318">
        <f>(C21*DATA!$D$5*DATA!$D$7)/1000000</f>
        <v>3.3954796437167818E-2</v>
      </c>
      <c r="J21" s="316">
        <f t="shared" ca="1" si="1"/>
        <v>1.6373374631112931</v>
      </c>
      <c r="K21" s="314"/>
      <c r="L21" s="316">
        <f>((D21*DATA!$D$23)/1000000)+((E21*DATA!$D$24)/1000000)</f>
        <v>2.0110224000000008</v>
      </c>
      <c r="M21" s="316">
        <f t="shared" si="2"/>
        <v>2.0110224000000008</v>
      </c>
      <c r="N21" s="316">
        <f t="shared" ca="1" si="6"/>
        <v>0.37368493688870763</v>
      </c>
      <c r="O21" s="315">
        <f>1/(1+'[93]Asumsi I'!$C$3)^(KKF!A21)</f>
        <v>0.20461981261590317</v>
      </c>
      <c r="P21" s="316">
        <f t="shared" ca="1" si="7"/>
        <v>7.6463341763552961E-2</v>
      </c>
      <c r="Q21" s="316">
        <f t="shared" ca="1" si="9"/>
        <v>0.79061290970209408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1392.0000000000002</v>
      </c>
      <c r="D22" s="316">
        <f t="shared" si="5"/>
        <v>232.00000000000003</v>
      </c>
      <c r="E22" s="316">
        <f t="shared" si="0"/>
        <v>1160.0000000000002</v>
      </c>
      <c r="F22" s="314"/>
      <c r="G22" s="318">
        <f ca="1">DATA!$D$11/1000000</f>
        <v>9.4280602799999988E-2</v>
      </c>
      <c r="H22" s="318">
        <f>C22*DATA!$D$5/1000000</f>
        <v>1.5091020638741253</v>
      </c>
      <c r="I22" s="318">
        <f>(C22*DATA!$D$5*DATA!$D$7)/1000000</f>
        <v>3.3954796437167818E-2</v>
      </c>
      <c r="J22" s="316">
        <f t="shared" ca="1" si="1"/>
        <v>1.6373374631112931</v>
      </c>
      <c r="K22" s="314"/>
      <c r="L22" s="316">
        <f>((D22*DATA!$D$23)/1000000)+((E22*DATA!$D$24)/1000000)</f>
        <v>2.0110224000000008</v>
      </c>
      <c r="M22" s="316">
        <f t="shared" si="2"/>
        <v>2.0110224000000008</v>
      </c>
      <c r="N22" s="316">
        <f t="shared" ca="1" si="6"/>
        <v>0.37368493688870763</v>
      </c>
      <c r="O22" s="315">
        <f>1/(1+'[93]Asumsi I'!$C$3)^(KKF!A22)</f>
        <v>0.18269626126419927</v>
      </c>
      <c r="P22" s="316">
        <f t="shared" ca="1" si="7"/>
        <v>6.8270840860315152E-2</v>
      </c>
      <c r="Q22" s="316">
        <f t="shared" ca="1" si="9"/>
        <v>0.85888375056240918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1392.0000000000002</v>
      </c>
      <c r="D23" s="316">
        <f t="shared" si="5"/>
        <v>232.00000000000003</v>
      </c>
      <c r="E23" s="316">
        <f t="shared" si="0"/>
        <v>1160.0000000000002</v>
      </c>
      <c r="F23" s="314"/>
      <c r="G23" s="318">
        <f ca="1">DATA!$D$11/1000000</f>
        <v>9.4280602799999988E-2</v>
      </c>
      <c r="H23" s="318">
        <f>C23*DATA!$D$5/1000000</f>
        <v>1.5091020638741253</v>
      </c>
      <c r="I23" s="318">
        <f>(C23*DATA!$D$5*DATA!$D$7)/1000000</f>
        <v>3.3954796437167818E-2</v>
      </c>
      <c r="J23" s="316">
        <f t="shared" ca="1" si="1"/>
        <v>1.6373374631112931</v>
      </c>
      <c r="K23" s="314"/>
      <c r="L23" s="316">
        <f>((D23*DATA!$D$23)/1000000)+((E23*DATA!$D$24)/1000000)</f>
        <v>2.0110224000000008</v>
      </c>
      <c r="M23" s="316">
        <f t="shared" si="2"/>
        <v>2.0110224000000008</v>
      </c>
      <c r="N23" s="316">
        <f t="shared" ca="1" si="6"/>
        <v>0.37368493688870763</v>
      </c>
      <c r="O23" s="315">
        <f>1/(1+'[93]Asumsi I'!$C$3)^(KKF!A23)</f>
        <v>0.16312166184303503</v>
      </c>
      <c r="P23" s="316">
        <f t="shared" ca="1" si="7"/>
        <v>6.0956107910995656E-2</v>
      </c>
      <c r="Q23" s="316">
        <f t="shared" ca="1" si="9"/>
        <v>0.91983985847340488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1392.0000000000002</v>
      </c>
      <c r="D24" s="316">
        <f t="shared" si="5"/>
        <v>232.00000000000003</v>
      </c>
      <c r="E24" s="316">
        <f t="shared" si="0"/>
        <v>1160.0000000000002</v>
      </c>
      <c r="F24" s="314"/>
      <c r="G24" s="318">
        <f ca="1">DATA!$D$11/1000000</f>
        <v>9.4280602799999988E-2</v>
      </c>
      <c r="H24" s="318">
        <f>C24*DATA!$D$5/1000000</f>
        <v>1.5091020638741253</v>
      </c>
      <c r="I24" s="318">
        <f>(C24*DATA!$D$5*DATA!$D$7)/1000000</f>
        <v>3.3954796437167818E-2</v>
      </c>
      <c r="J24" s="316">
        <f t="shared" ca="1" si="1"/>
        <v>1.6373374631112931</v>
      </c>
      <c r="K24" s="314"/>
      <c r="L24" s="316">
        <f>((D24*DATA!$D$23)/1000000)+((E24*DATA!$D$24)/1000000)</f>
        <v>2.0110224000000008</v>
      </c>
      <c r="M24" s="316">
        <f t="shared" si="2"/>
        <v>2.0110224000000008</v>
      </c>
      <c r="N24" s="316">
        <f t="shared" ca="1" si="6"/>
        <v>0.37368493688870763</v>
      </c>
      <c r="O24" s="315">
        <f>1/(1+'[93]Asumsi I'!$C$3)^(KKF!A24)</f>
        <v>0.14564434093128129</v>
      </c>
      <c r="P24" s="316">
        <f t="shared" ca="1" si="7"/>
        <v>5.4425096349103266E-2</v>
      </c>
      <c r="Q24" s="316">
        <f t="shared" ca="1" si="9"/>
        <v>0.97426495482250819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1392.0000000000002</v>
      </c>
      <c r="D25" s="316">
        <f t="shared" si="5"/>
        <v>232.00000000000003</v>
      </c>
      <c r="E25" s="316">
        <f t="shared" si="0"/>
        <v>1160.0000000000002</v>
      </c>
      <c r="F25" s="314"/>
      <c r="G25" s="318">
        <f ca="1">DATA!$D$11/1000000</f>
        <v>9.4280602799999988E-2</v>
      </c>
      <c r="H25" s="318">
        <f>C25*DATA!$D$5/1000000</f>
        <v>1.5091020638741253</v>
      </c>
      <c r="I25" s="318">
        <f>(C25*DATA!$D$5*DATA!$D$7)/1000000</f>
        <v>3.3954796437167818E-2</v>
      </c>
      <c r="J25" s="316">
        <f t="shared" ca="1" si="1"/>
        <v>1.6373374631112931</v>
      </c>
      <c r="K25" s="314"/>
      <c r="L25" s="316">
        <f>((D25*DATA!$D$23)/1000000)+((E25*DATA!$D$24)/1000000)</f>
        <v>2.0110224000000008</v>
      </c>
      <c r="M25" s="316">
        <f t="shared" si="2"/>
        <v>2.0110224000000008</v>
      </c>
      <c r="N25" s="316">
        <f t="shared" ca="1" si="6"/>
        <v>0.37368493688870763</v>
      </c>
      <c r="O25" s="315">
        <f>1/(1+'[93]Asumsi I'!$C$3)^(KKF!A25)</f>
        <v>0.13003959011721541</v>
      </c>
      <c r="P25" s="316">
        <f t="shared" ca="1" si="7"/>
        <v>4.8593836025985049E-2</v>
      </c>
      <c r="Q25" s="316">
        <f t="shared" ca="1" si="9"/>
        <v>1.0228587908484932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1392.0000000000002</v>
      </c>
      <c r="D26" s="316">
        <f t="shared" si="5"/>
        <v>232.00000000000003</v>
      </c>
      <c r="E26" s="316">
        <f t="shared" si="0"/>
        <v>1160.0000000000002</v>
      </c>
      <c r="F26" s="314"/>
      <c r="G26" s="318">
        <f ca="1">DATA!$D$11/1000000</f>
        <v>9.4280602799999988E-2</v>
      </c>
      <c r="H26" s="318">
        <f>C26*DATA!$D$5/1000000</f>
        <v>1.5091020638741253</v>
      </c>
      <c r="I26" s="318">
        <f>(C26*DATA!$D$5*DATA!$D$7)/1000000</f>
        <v>3.3954796437167818E-2</v>
      </c>
      <c r="J26" s="316">
        <f t="shared" ca="1" si="1"/>
        <v>1.6373374631112931</v>
      </c>
      <c r="K26" s="314"/>
      <c r="L26" s="316">
        <f>((D26*DATA!$D$23)/1000000)+((E26*DATA!$D$24)/1000000)</f>
        <v>2.0110224000000008</v>
      </c>
      <c r="M26" s="316">
        <f t="shared" si="2"/>
        <v>2.0110224000000008</v>
      </c>
      <c r="N26" s="316">
        <f t="shared" ca="1" si="6"/>
        <v>0.37368493688870763</v>
      </c>
      <c r="O26" s="315">
        <f>1/(1+'[93]Asumsi I'!$C$3)^(KKF!A26)</f>
        <v>0.1161067768903709</v>
      </c>
      <c r="P26" s="316">
        <f t="shared" ca="1" si="7"/>
        <v>4.3387353594629509E-2</v>
      </c>
      <c r="Q26" s="316">
        <f t="shared" ca="1" si="9"/>
        <v>1.0662461444431226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1392.0000000000002</v>
      </c>
      <c r="D27" s="316">
        <f t="shared" si="5"/>
        <v>232.00000000000003</v>
      </c>
      <c r="E27" s="316">
        <f t="shared" si="0"/>
        <v>1160.0000000000002</v>
      </c>
      <c r="F27" s="314"/>
      <c r="G27" s="318">
        <f ca="1">DATA!$D$11/1000000</f>
        <v>9.4280602799999988E-2</v>
      </c>
      <c r="H27" s="318">
        <f>C27*DATA!$D$5/1000000</f>
        <v>1.5091020638741253</v>
      </c>
      <c r="I27" s="318">
        <f>(C27*DATA!$D$5*DATA!$D$7)/1000000</f>
        <v>3.3954796437167818E-2</v>
      </c>
      <c r="J27" s="316">
        <f t="shared" ca="1" si="1"/>
        <v>1.6373374631112931</v>
      </c>
      <c r="K27" s="314"/>
      <c r="L27" s="316">
        <f>((D27*DATA!$D$23)/1000000)+((E27*DATA!$D$24)/1000000)</f>
        <v>2.0110224000000008</v>
      </c>
      <c r="M27" s="316">
        <f t="shared" si="2"/>
        <v>2.0110224000000008</v>
      </c>
      <c r="N27" s="316">
        <f t="shared" ca="1" si="6"/>
        <v>0.37368493688870763</v>
      </c>
      <c r="O27" s="315">
        <f>1/(1+'[93]Asumsi I'!$C$3)^(KKF!A27)</f>
        <v>0.1036667650806883</v>
      </c>
      <c r="P27" s="316">
        <f t="shared" ca="1" si="7"/>
        <v>3.8738708566633487E-2</v>
      </c>
      <c r="Q27" s="316">
        <f t="shared" ca="1" si="9"/>
        <v>1.1049848530097561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1392.0000000000002</v>
      </c>
      <c r="D28" s="316">
        <f t="shared" si="5"/>
        <v>232.00000000000003</v>
      </c>
      <c r="E28" s="316">
        <f t="shared" si="0"/>
        <v>1160.0000000000002</v>
      </c>
      <c r="F28" s="314"/>
      <c r="G28" s="318">
        <f ca="1">DATA!$D$11/1000000</f>
        <v>9.4280602799999988E-2</v>
      </c>
      <c r="H28" s="318">
        <f>C28*DATA!$D$5/1000000</f>
        <v>1.5091020638741253</v>
      </c>
      <c r="I28" s="318">
        <f>(C28*DATA!$D$5*DATA!$D$7)/1000000</f>
        <v>3.3954796437167818E-2</v>
      </c>
      <c r="J28" s="316">
        <f t="shared" ca="1" si="1"/>
        <v>1.6373374631112931</v>
      </c>
      <c r="K28" s="314"/>
      <c r="L28" s="316">
        <f>((D28*DATA!$D$23)/1000000)+((E28*DATA!$D$24)/1000000)</f>
        <v>2.0110224000000008</v>
      </c>
      <c r="M28" s="316">
        <f t="shared" si="2"/>
        <v>2.0110224000000008</v>
      </c>
      <c r="N28" s="316">
        <f t="shared" ca="1" si="6"/>
        <v>0.37368493688870763</v>
      </c>
      <c r="O28" s="315">
        <f>1/(1+'[93]Asumsi I'!$C$3)^(KKF!A28)</f>
        <v>9.2559611679185971E-2</v>
      </c>
      <c r="P28" s="316">
        <f t="shared" ca="1" si="7"/>
        <v>3.4588132648779898E-2</v>
      </c>
      <c r="Q28" s="316">
        <f t="shared" ca="1" si="9"/>
        <v>1.1395729856585359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1392.0000000000002</v>
      </c>
      <c r="D29" s="316">
        <f t="shared" si="5"/>
        <v>232.00000000000003</v>
      </c>
      <c r="E29" s="316">
        <f t="shared" si="0"/>
        <v>1160.0000000000002</v>
      </c>
      <c r="F29" s="314"/>
      <c r="G29" s="318">
        <f ca="1">DATA!$D$11/1000000</f>
        <v>9.4280602799999988E-2</v>
      </c>
      <c r="H29" s="318">
        <f>C29*DATA!$D$5/1000000</f>
        <v>1.5091020638741253</v>
      </c>
      <c r="I29" s="318">
        <f>(C29*DATA!$D$5*DATA!$D$7)/1000000</f>
        <v>3.3954796437167818E-2</v>
      </c>
      <c r="J29" s="316">
        <f t="shared" ca="1" si="1"/>
        <v>1.6373374631112931</v>
      </c>
      <c r="K29" s="314"/>
      <c r="L29" s="316">
        <f>((D29*DATA!$D$23)/1000000)+((E29*DATA!$D$24)/1000000)</f>
        <v>2.0110224000000008</v>
      </c>
      <c r="M29" s="316">
        <f t="shared" si="2"/>
        <v>2.0110224000000008</v>
      </c>
      <c r="N29" s="316">
        <f t="shared" ca="1" si="6"/>
        <v>0.37368493688870763</v>
      </c>
      <c r="O29" s="315">
        <f>1/(1+'[93]Asumsi I'!$C$3)^(KKF!A29)</f>
        <v>8.2642510427844609E-2</v>
      </c>
      <c r="P29" s="316">
        <f t="shared" ca="1" si="7"/>
        <v>3.0882261293553474E-2</v>
      </c>
      <c r="Q29" s="316">
        <f t="shared" ca="1" si="9"/>
        <v>1.1704552469520895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1392.0000000000002</v>
      </c>
      <c r="D30" s="316">
        <f t="shared" si="5"/>
        <v>232.00000000000003</v>
      </c>
      <c r="E30" s="316">
        <f t="shared" si="0"/>
        <v>1160.0000000000002</v>
      </c>
      <c r="F30" s="314"/>
      <c r="G30" s="318">
        <f ca="1">DATA!$D$11/1000000</f>
        <v>9.4280602799999988E-2</v>
      </c>
      <c r="H30" s="318">
        <f>C30*DATA!$D$5/1000000</f>
        <v>1.5091020638741253</v>
      </c>
      <c r="I30" s="318">
        <f>(C30*DATA!$D$5*DATA!$D$7)/1000000</f>
        <v>3.3954796437167818E-2</v>
      </c>
      <c r="J30" s="316">
        <f t="shared" ca="1" si="1"/>
        <v>1.6373374631112931</v>
      </c>
      <c r="K30" s="314"/>
      <c r="L30" s="316">
        <f>((D30*DATA!$D$23)/1000000)+((E30*DATA!$D$24)/1000000)</f>
        <v>2.0110224000000008</v>
      </c>
      <c r="M30" s="316">
        <f t="shared" si="2"/>
        <v>2.0110224000000008</v>
      </c>
      <c r="N30" s="316">
        <f t="shared" ca="1" si="6"/>
        <v>0.37368493688870763</v>
      </c>
      <c r="O30" s="315">
        <f>1/(1+'[93]Asumsi I'!$C$3)^(KKF!A30)</f>
        <v>7.3787955739146982E-2</v>
      </c>
      <c r="P30" s="316">
        <f t="shared" ca="1" si="7"/>
        <v>2.7573447583529892E-2</v>
      </c>
      <c r="Q30" s="316">
        <f t="shared" ca="1" si="9"/>
        <v>1.1980286945356193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1392.0000000000002</v>
      </c>
      <c r="D31" s="316">
        <f t="shared" si="5"/>
        <v>232.00000000000003</v>
      </c>
      <c r="E31" s="316">
        <f t="shared" si="0"/>
        <v>1160.0000000000002</v>
      </c>
      <c r="F31" s="314"/>
      <c r="G31" s="318">
        <f ca="1">DATA!$D$11/1000000</f>
        <v>9.4280602799999988E-2</v>
      </c>
      <c r="H31" s="318">
        <f>C31*DATA!$D$5/1000000</f>
        <v>1.5091020638741253</v>
      </c>
      <c r="I31" s="318">
        <f>(C31*DATA!$D$5*DATA!$D$7)/1000000</f>
        <v>3.3954796437167818E-2</v>
      </c>
      <c r="J31" s="316">
        <f t="shared" ca="1" si="1"/>
        <v>1.6373374631112931</v>
      </c>
      <c r="K31" s="314"/>
      <c r="L31" s="316">
        <f>((D31*DATA!$D$23)/1000000)+((E31*DATA!$D$24)/1000000)</f>
        <v>2.0110224000000008</v>
      </c>
      <c r="M31" s="316">
        <f t="shared" si="2"/>
        <v>2.0110224000000008</v>
      </c>
      <c r="N31" s="316">
        <f t="shared" ca="1" si="6"/>
        <v>0.37368493688870763</v>
      </c>
      <c r="O31" s="315">
        <f>1/(1+'[93]Asumsi I'!$C$3)^(KKF!A31)</f>
        <v>6.5882103338524081E-2</v>
      </c>
      <c r="P31" s="316">
        <f t="shared" ca="1" si="7"/>
        <v>2.4619149628151687E-2</v>
      </c>
      <c r="Q31" s="316">
        <f ca="1">Q30+P31</f>
        <v>1.2226478441637709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1392.0000000000002</v>
      </c>
      <c r="D32" s="316">
        <f t="shared" si="5"/>
        <v>232.00000000000003</v>
      </c>
      <c r="E32" s="316">
        <f t="shared" si="0"/>
        <v>1160.0000000000002</v>
      </c>
      <c r="F32" s="314"/>
      <c r="G32" s="318">
        <f ca="1">DATA!$D$11/1000000</f>
        <v>9.4280602799999988E-2</v>
      </c>
      <c r="H32" s="318">
        <f>C32*DATA!$D$5/1000000</f>
        <v>1.5091020638741253</v>
      </c>
      <c r="I32" s="318">
        <f>(C32*DATA!$D$5*DATA!$D$7)/1000000</f>
        <v>3.3954796437167818E-2</v>
      </c>
      <c r="J32" s="316">
        <f t="shared" ca="1" si="1"/>
        <v>1.6373374631112931</v>
      </c>
      <c r="K32" s="314"/>
      <c r="L32" s="316">
        <f>((D32*DATA!$D$23)/1000000)+((E32*DATA!$D$24)/1000000)</f>
        <v>2.0110224000000008</v>
      </c>
      <c r="M32" s="316">
        <f t="shared" si="2"/>
        <v>2.0110224000000008</v>
      </c>
      <c r="N32" s="316">
        <f t="shared" ca="1" si="6"/>
        <v>0.37368493688870763</v>
      </c>
      <c r="O32" s="315">
        <f>1/(1+'[93]Asumsi I'!$C$3)^(KKF!A32)</f>
        <v>5.8823306552253637E-2</v>
      </c>
      <c r="P32" s="316">
        <f t="shared" ca="1" si="7"/>
        <v>2.1981383596564003E-2</v>
      </c>
      <c r="Q32" s="316">
        <f ca="1">Q31+P32</f>
        <v>1.244629227760335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2" t="s">
        <v>1374</v>
      </c>
      <c r="G33" s="602"/>
      <c r="H33" s="602"/>
      <c r="I33" s="324"/>
      <c r="J33" s="325">
        <f ca="1">SUM(J7:J32)</f>
        <v>46.770451894123198</v>
      </c>
      <c r="K33" s="602" t="s">
        <v>1375</v>
      </c>
      <c r="L33" s="602"/>
      <c r="M33" s="325">
        <f>SUM(M7:M32)</f>
        <v>54.426341600000036</v>
      </c>
      <c r="N33" s="323"/>
      <c r="O33" s="323"/>
      <c r="P33" s="326"/>
      <c r="Q33" s="326"/>
      <c r="S33" s="304">
        <f ca="1">COUNTIF(S7:S32,"a")</f>
        <v>7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15.620151470219053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7.2467494999261968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1.1636907362624567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1.1112760962145842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0.22007486407201982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3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5" t="s">
        <v>1036</v>
      </c>
      <c r="P3" s="625"/>
      <c r="Q3" s="346"/>
      <c r="T3" s="344"/>
      <c r="U3" s="345" t="s">
        <v>1041</v>
      </c>
      <c r="V3" s="344"/>
    </row>
    <row r="4" spans="1:22" ht="15.75" customHeight="1">
      <c r="B4" s="626" t="s">
        <v>1023</v>
      </c>
      <c r="C4" s="626"/>
      <c r="D4" s="626"/>
      <c r="E4" s="626"/>
      <c r="F4" s="626"/>
      <c r="G4" s="626"/>
      <c r="H4" s="626"/>
      <c r="I4" s="626"/>
      <c r="J4" s="626"/>
      <c r="K4" s="626"/>
      <c r="O4" s="625"/>
      <c r="P4" s="62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9" t="str">
        <f>DATA!D14</f>
        <v>XL SUKODONO</v>
      </c>
      <c r="H6" s="609"/>
      <c r="I6" s="609"/>
      <c r="J6" s="609"/>
      <c r="K6" s="60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8" t="s">
        <v>0</v>
      </c>
      <c r="C11" s="630" t="s">
        <v>1</v>
      </c>
      <c r="D11" s="619" t="s">
        <v>42</v>
      </c>
      <c r="E11" s="619" t="s">
        <v>43</v>
      </c>
      <c r="F11" s="619" t="s">
        <v>2</v>
      </c>
      <c r="G11" s="633" t="s">
        <v>41</v>
      </c>
      <c r="H11" s="619" t="s">
        <v>3</v>
      </c>
      <c r="I11" s="619"/>
      <c r="J11" s="619"/>
      <c r="K11" s="62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9"/>
      <c r="C12" s="631"/>
      <c r="D12" s="623"/>
      <c r="E12" s="623"/>
      <c r="F12" s="623"/>
      <c r="G12" s="634"/>
      <c r="H12" s="621" t="s">
        <v>46</v>
      </c>
      <c r="I12" s="621" t="s">
        <v>5</v>
      </c>
      <c r="J12" s="623" t="s">
        <v>47</v>
      </c>
      <c r="K12" s="62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9"/>
      <c r="C13" s="632"/>
      <c r="D13" s="623"/>
      <c r="E13" s="623"/>
      <c r="F13" s="623"/>
      <c r="G13" s="635"/>
      <c r="H13" s="622"/>
      <c r="I13" s="622"/>
      <c r="J13" s="623"/>
      <c r="K13" s="62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0" ca="1" si="12">IF(OR(D18="MDU",D18="MDU-KD"),(IF($O$3="RAB NON MDU","PLN KD",G18*F18)),0)</f>
        <v>0</v>
      </c>
      <c r="I18" s="361">
        <f t="shared" ref="I18:I20" ca="1" si="13">IF(D18="HDW",G18*F18,0)</f>
        <v>0</v>
      </c>
      <c r="J18" s="361">
        <f t="shared" ref="J18:J20" ca="1" si="14">IF(D18="JASA",G18*F18,0)</f>
        <v>0</v>
      </c>
      <c r="K18" s="362">
        <f t="shared" ref="K18:K20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1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495" t="s">
        <v>1615</v>
      </c>
      <c r="C21" s="500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7" ca="1" si="16">IF(OR(D21="MDU",D21="MDU-KD"),(IF($O$3="RAB NON MDU","PLN KD",G21*F21)),0)</f>
        <v>0</v>
      </c>
      <c r="I21" s="361">
        <f t="shared" ref="I21:I27" ca="1" si="17">IF(D21="HDW",G21*F21,0)</f>
        <v>0</v>
      </c>
      <c r="J21" s="361">
        <f t="shared" ref="J21:J27" ca="1" si="18">IF(D21="JASA",G21*F21,0)</f>
        <v>0</v>
      </c>
      <c r="K21" s="362">
        <f t="shared" ref="K21:K27" ca="1" si="19">SUM(H21:J21)</f>
        <v>0</v>
      </c>
    </row>
    <row r="22" spans="1:22"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3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</row>
    <row r="23" spans="1:22">
      <c r="B23" s="495" t="s">
        <v>1035</v>
      </c>
      <c r="C23" s="496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6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</row>
    <row r="24" spans="1:22" ht="30">
      <c r="B24" s="504">
        <v>1</v>
      </c>
      <c r="C24" s="109" t="s">
        <v>1141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6">
        <f>F23*1</f>
        <v>1</v>
      </c>
      <c r="G24" s="360">
        <f ca="1">IF(ISERROR(OFFSET('HARGA SATUAN'!$I$6,MATCH(RAB!C24,'HARGA SATUAN'!$C$7:$C$1492,0),0)),0,OFFSET('HARGA SATUAN'!$I$6,MATCH(RAB!C24,'HARGA SATUAN'!$C$7:$C$1492,0),0))</f>
        <v>1740750</v>
      </c>
      <c r="H24" s="361">
        <f t="shared" ca="1" si="16"/>
        <v>1740750</v>
      </c>
      <c r="I24" s="361">
        <f t="shared" ca="1" si="17"/>
        <v>0</v>
      </c>
      <c r="J24" s="361">
        <f t="shared" ca="1" si="18"/>
        <v>0</v>
      </c>
      <c r="K24" s="362">
        <f t="shared" ca="1" si="19"/>
        <v>1740750</v>
      </c>
    </row>
    <row r="25" spans="1:22">
      <c r="B25" s="504">
        <v>2</v>
      </c>
      <c r="C25" s="505" t="s">
        <v>493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6">
        <f>F23*1</f>
        <v>1</v>
      </c>
      <c r="G25" s="360">
        <f ca="1">IF(ISERROR(OFFSET('HARGA SATUAN'!$I$6,MATCH(RAB!C25,'HARGA SATUAN'!$C$7:$C$1492,0),0)),0,OFFSET('HARGA SATUAN'!$I$6,MATCH(RAB!C25,'HARGA SATUAN'!$C$7:$C$1492,0),0))</f>
        <v>39000</v>
      </c>
      <c r="H25" s="361">
        <f t="shared" ca="1" si="16"/>
        <v>39000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39000</v>
      </c>
    </row>
    <row r="26" spans="1:22">
      <c r="B26" s="504">
        <v>3</v>
      </c>
      <c r="C26" s="505" t="s">
        <v>74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6">
        <f>F23*35</f>
        <v>35</v>
      </c>
      <c r="G26" s="360">
        <f ca="1">IF(ISERROR(OFFSET('HARGA SATUAN'!$I$6,MATCH(RAB!C26,'HARGA SATUAN'!$C$7:$C$1492,0),0)),0,OFFSET('HARGA SATUAN'!$I$6,MATCH(RAB!C26,'HARGA SATUAN'!$C$7:$C$1492,0),0))</f>
        <v>6600</v>
      </c>
      <c r="H26" s="361">
        <f t="shared" ca="1" si="16"/>
        <v>231000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231000</v>
      </c>
    </row>
    <row r="27" spans="1:22">
      <c r="B27" s="504">
        <v>4</v>
      </c>
      <c r="C27" s="505" t="s">
        <v>798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6">
        <f>F23*1</f>
        <v>1</v>
      </c>
      <c r="G27" s="360">
        <f ca="1">IF(ISERROR(OFFSET('HARGA SATUAN'!$I$6,MATCH(RAB!C27,'HARGA SATUAN'!$C$7:$C$1492,0),0)),0,OFFSET('HARGA SATUAN'!$I$6,MATCH(RAB!C27,'HARGA SATUAN'!$C$7:$C$1492,0),0))</f>
        <v>54400</v>
      </c>
      <c r="H27" s="361">
        <f t="shared" ca="1" si="16"/>
        <v>0</v>
      </c>
      <c r="I27" s="361">
        <f t="shared" ca="1" si="17"/>
        <v>0</v>
      </c>
      <c r="J27" s="361">
        <f t="shared" ca="1" si="18"/>
        <v>54400</v>
      </c>
      <c r="K27" s="362">
        <f t="shared" ca="1" si="19"/>
        <v>54400</v>
      </c>
    </row>
    <row r="28" spans="1:22">
      <c r="B28" s="504">
        <v>5</v>
      </c>
      <c r="C28" s="706" t="s">
        <v>981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6">
        <v>1</v>
      </c>
      <c r="G28" s="360">
        <f ca="1">IF(ISERROR(OFFSET('HARGA SATUAN'!$I$6,MATCH(RAB!C28,'HARGA SATUAN'!$C$7:$C$1492,0),0)),0,OFFSET('HARGA SATUAN'!$I$6,MATCH(RAB!C28,'HARGA SATUAN'!$C$7:$C$1492,0),0))</f>
        <v>32640</v>
      </c>
      <c r="H28" s="361">
        <f t="shared" ref="H28:H31" ca="1" si="20">IF(OR(D28="MDU",D28="MDU-KD"),(IF($O$3="RAB NON MDU","PLN KD",G28*F28)),0)</f>
        <v>0</v>
      </c>
      <c r="I28" s="361">
        <f t="shared" ref="I28:I31" ca="1" si="21">IF(D28="HDW",G28*F28,0)</f>
        <v>0</v>
      </c>
      <c r="J28" s="361">
        <f t="shared" ref="J28:J31" ca="1" si="22">IF(D28="JASA",G28*F28,0)</f>
        <v>32640</v>
      </c>
      <c r="K28" s="362">
        <f t="shared" ref="K28:K31" ca="1" si="23">SUM(H28:J28)</f>
        <v>32640</v>
      </c>
    </row>
    <row r="29" spans="1:22">
      <c r="B29" s="504"/>
      <c r="C29" s="109" t="s">
        <v>1632</v>
      </c>
      <c r="D29" s="358" t="s">
        <v>47</v>
      </c>
      <c r="E29" s="359" t="s">
        <v>14</v>
      </c>
      <c r="F29" s="506">
        <v>1</v>
      </c>
      <c r="G29" s="360">
        <v>2000000</v>
      </c>
      <c r="H29" s="361">
        <f t="shared" si="20"/>
        <v>0</v>
      </c>
      <c r="I29" s="361">
        <f t="shared" si="21"/>
        <v>0</v>
      </c>
      <c r="J29" s="361">
        <f t="shared" si="22"/>
        <v>2000000</v>
      </c>
      <c r="K29" s="362">
        <f t="shared" si="23"/>
        <v>2000000</v>
      </c>
    </row>
    <row r="30" spans="1:22">
      <c r="B30" s="374"/>
      <c r="C30" s="502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36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</row>
    <row r="31" spans="1:22">
      <c r="B31" s="504" t="s">
        <v>1035</v>
      </c>
      <c r="C31" s="505" t="s">
        <v>1621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6">
        <v>1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0"/>
        <v>0</v>
      </c>
      <c r="I31" s="361">
        <f t="shared" ca="1" si="21"/>
        <v>0</v>
      </c>
      <c r="J31" s="361">
        <f t="shared" ca="1" si="22"/>
        <v>0</v>
      </c>
      <c r="K31" s="362">
        <f t="shared" ca="1" si="23"/>
        <v>0</v>
      </c>
    </row>
    <row r="32" spans="1:22">
      <c r="B32" s="504">
        <v>1</v>
      </c>
      <c r="C32" s="505" t="s">
        <v>115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Set</v>
      </c>
      <c r="F32" s="506">
        <f>F31*1</f>
        <v>1</v>
      </c>
      <c r="G32" s="360">
        <f ca="1">IF(ISERROR(OFFSET('HARGA SATUAN'!$I$6,MATCH(RAB!C32,'HARGA SATUAN'!$C$7:$C$1492,0),0)),0,OFFSET('HARGA SATUAN'!$I$6,MATCH(RAB!C32,'HARGA SATUAN'!$C$7:$C$1492,0),0))</f>
        <v>11500</v>
      </c>
      <c r="H32" s="361">
        <f t="shared" ref="H30:H42" ca="1" si="24">IF(OR(D32="MDU",D32="MDU-KD"),(IF($O$3="RAB NON MDU","PLN KD",G32*F32)),0)</f>
        <v>0</v>
      </c>
      <c r="I32" s="361">
        <f t="shared" ref="I30:I42" ca="1" si="25">IF(D32="HDW",G32*F32,0)</f>
        <v>11500</v>
      </c>
      <c r="J32" s="361">
        <f t="shared" ref="J30:J42" ca="1" si="26">IF(D32="JASA",G32*F32,0)</f>
        <v>0</v>
      </c>
      <c r="K32" s="362">
        <f t="shared" ref="K30:K42" ca="1" si="27">SUM(H32:J32)</f>
        <v>11500</v>
      </c>
    </row>
    <row r="33" spans="2:13">
      <c r="B33" s="504">
        <v>2</v>
      </c>
      <c r="C33" s="505" t="s">
        <v>145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506">
        <f>F31*1</f>
        <v>1</v>
      </c>
      <c r="G33" s="360">
        <f ca="1">IF(ISERROR(OFFSET('HARGA SATUAN'!$I$6,MATCH(RAB!C33,'HARGA SATUAN'!$C$7:$C$1492,0),0)),0,OFFSET('HARGA SATUAN'!$I$6,MATCH(RAB!C33,'HARGA SATUAN'!$C$7:$C$1492,0),0))</f>
        <v>6200</v>
      </c>
      <c r="H33" s="361">
        <f t="shared" ca="1" si="24"/>
        <v>0</v>
      </c>
      <c r="I33" s="361">
        <f t="shared" ca="1" si="25"/>
        <v>6200</v>
      </c>
      <c r="J33" s="361">
        <f t="shared" ca="1" si="26"/>
        <v>0</v>
      </c>
      <c r="K33" s="362">
        <f t="shared" ca="1" si="27"/>
        <v>6200</v>
      </c>
    </row>
    <row r="34" spans="2:13">
      <c r="B34" s="504">
        <v>3</v>
      </c>
      <c r="C34" s="505" t="s">
        <v>587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Btg</v>
      </c>
      <c r="F34" s="506">
        <f>F31*1</f>
        <v>1</v>
      </c>
      <c r="G34" s="360">
        <f ca="1">IF(ISERROR(OFFSET('HARGA SATUAN'!$I$6,MATCH(RAB!C34,'HARGA SATUAN'!$C$7:$C$1492,0),0)),0,OFFSET('HARGA SATUAN'!$I$6,MATCH(RAB!C34,'HARGA SATUAN'!$C$7:$C$1492,0),0))</f>
        <v>45796</v>
      </c>
      <c r="H34" s="361">
        <f t="shared" ca="1" si="24"/>
        <v>0</v>
      </c>
      <c r="I34" s="361">
        <f t="shared" ca="1" si="25"/>
        <v>45796</v>
      </c>
      <c r="J34" s="361">
        <f t="shared" ca="1" si="26"/>
        <v>0</v>
      </c>
      <c r="K34" s="362">
        <f t="shared" ca="1" si="27"/>
        <v>45796</v>
      </c>
    </row>
    <row r="35" spans="2:13">
      <c r="B35" s="504">
        <v>4</v>
      </c>
      <c r="C35" s="505" t="s">
        <v>118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506">
        <f>F31*1</f>
        <v>1</v>
      </c>
      <c r="G35" s="360">
        <f ca="1">IF(ISERROR(OFFSET('HARGA SATUAN'!$I$6,MATCH(RAB!C35,'HARGA SATUAN'!$C$7:$C$1492,0),0)),0,OFFSET('HARGA SATUAN'!$I$6,MATCH(RAB!C35,'HARGA SATUAN'!$C$7:$C$1492,0),0))</f>
        <v>5300</v>
      </c>
      <c r="H35" s="361">
        <f t="shared" ca="1" si="24"/>
        <v>0</v>
      </c>
      <c r="I35" s="361">
        <f t="shared" ca="1" si="25"/>
        <v>5300</v>
      </c>
      <c r="J35" s="361">
        <f t="shared" ca="1" si="26"/>
        <v>0</v>
      </c>
      <c r="K35" s="362">
        <f t="shared" ca="1" si="27"/>
        <v>5300</v>
      </c>
    </row>
    <row r="36" spans="2:13">
      <c r="B36" s="504">
        <v>5</v>
      </c>
      <c r="C36" s="505" t="s">
        <v>117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6">
        <f>F31*1</f>
        <v>1</v>
      </c>
      <c r="G36" s="360">
        <f ca="1">IF(ISERROR(OFFSET('HARGA SATUAN'!$I$6,MATCH(RAB!C36,'HARGA SATUAN'!$C$7:$C$1492,0),0)),0,OFFSET('HARGA SATUAN'!$I$6,MATCH(RAB!C36,'HARGA SATUAN'!$C$7:$C$1492,0),0))</f>
        <v>58600</v>
      </c>
      <c r="H36" s="361">
        <f t="shared" ca="1" si="24"/>
        <v>0</v>
      </c>
      <c r="I36" s="361">
        <f t="shared" ca="1" si="25"/>
        <v>58600</v>
      </c>
      <c r="J36" s="361">
        <f t="shared" ca="1" si="26"/>
        <v>0</v>
      </c>
      <c r="K36" s="362">
        <f t="shared" ca="1" si="27"/>
        <v>58600</v>
      </c>
    </row>
    <row r="37" spans="2:13">
      <c r="B37" s="504">
        <v>6</v>
      </c>
      <c r="C37" s="109" t="s">
        <v>1154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Set</v>
      </c>
      <c r="F37" s="506">
        <f>F31*1</f>
        <v>1</v>
      </c>
      <c r="G37" s="360">
        <f ca="1">IF(ISERROR(OFFSET('HARGA SATUAN'!$I$6,MATCH(RAB!C37,'HARGA SATUAN'!$C$7:$C$1492,0),0)),0,OFFSET('HARGA SATUAN'!$I$6,MATCH(RAB!C37,'HARGA SATUAN'!$C$7:$C$1492,0),0))</f>
        <v>3888</v>
      </c>
      <c r="H37" s="361">
        <f t="shared" ca="1" si="24"/>
        <v>0</v>
      </c>
      <c r="I37" s="361">
        <f t="shared" ca="1" si="25"/>
        <v>3888</v>
      </c>
      <c r="J37" s="361">
        <f t="shared" ca="1" si="26"/>
        <v>0</v>
      </c>
      <c r="K37" s="362">
        <f t="shared" ca="1" si="27"/>
        <v>3888</v>
      </c>
    </row>
    <row r="38" spans="2:13">
      <c r="B38" s="504">
        <v>7</v>
      </c>
      <c r="C38" s="505" t="s">
        <v>119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Set</v>
      </c>
      <c r="F38" s="506">
        <f>F31*2</f>
        <v>2</v>
      </c>
      <c r="G38" s="360">
        <f ca="1">IF(ISERROR(OFFSET('HARGA SATUAN'!$I$6,MATCH(RAB!C38,'HARGA SATUAN'!$C$7:$C$1492,0),0)),0,OFFSET('HARGA SATUAN'!$I$6,MATCH(RAB!C38,'HARGA SATUAN'!$C$7:$C$1492,0),0))</f>
        <v>8900</v>
      </c>
      <c r="H38" s="361">
        <f t="shared" ca="1" si="24"/>
        <v>0</v>
      </c>
      <c r="I38" s="361">
        <f t="shared" ca="1" si="25"/>
        <v>17800</v>
      </c>
      <c r="J38" s="361">
        <f t="shared" ca="1" si="26"/>
        <v>0</v>
      </c>
      <c r="K38" s="362">
        <f t="shared" ca="1" si="27"/>
        <v>17800</v>
      </c>
    </row>
    <row r="39" spans="2:13">
      <c r="B39" s="374"/>
      <c r="C39" s="502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24"/>
        <v>0</v>
      </c>
      <c r="I39" s="361">
        <f t="shared" ca="1" si="25"/>
        <v>0</v>
      </c>
      <c r="J39" s="361">
        <f t="shared" ca="1" si="26"/>
        <v>0</v>
      </c>
      <c r="K39" s="362">
        <f t="shared" ca="1" si="27"/>
        <v>0</v>
      </c>
    </row>
    <row r="40" spans="2:13">
      <c r="B40" s="366" t="s">
        <v>22</v>
      </c>
      <c r="C40" s="367" t="s">
        <v>1617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4"/>
        <v>0</v>
      </c>
      <c r="I40" s="361">
        <f t="shared" ca="1" si="25"/>
        <v>0</v>
      </c>
      <c r="J40" s="361">
        <f t="shared" ca="1" si="26"/>
        <v>0</v>
      </c>
      <c r="K40" s="362">
        <f t="shared" ca="1" si="27"/>
        <v>0</v>
      </c>
    </row>
    <row r="41" spans="2:13">
      <c r="B41" s="374"/>
      <c r="C41" s="373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4"/>
        <v>0</v>
      </c>
      <c r="I41" s="361">
        <f t="shared" ca="1" si="25"/>
        <v>0</v>
      </c>
      <c r="J41" s="361">
        <f t="shared" ca="1" si="26"/>
        <v>0</v>
      </c>
      <c r="K41" s="362">
        <f t="shared" ca="1" si="27"/>
        <v>0</v>
      </c>
    </row>
    <row r="42" spans="2:13">
      <c r="B42" s="375"/>
      <c r="C42" s="376" t="s">
        <v>475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4"/>
        <v>0</v>
      </c>
      <c r="I42" s="361">
        <f t="shared" ca="1" si="25"/>
        <v>0</v>
      </c>
      <c r="J42" s="361">
        <f t="shared" ca="1" si="26"/>
        <v>0</v>
      </c>
      <c r="K42" s="362">
        <f t="shared" ca="1" si="27"/>
        <v>0</v>
      </c>
    </row>
    <row r="43" spans="2:13">
      <c r="B43" s="378">
        <v>1</v>
      </c>
      <c r="C43" s="379" t="s">
        <v>1091</v>
      </c>
      <c r="D43" s="380" t="str">
        <f ca="1">IF(ISERROR(OFFSET('HARGA SATUAN'!$D$6,MATCH(RAB!C43,'HARGA SATUAN'!$C$7:$C$1492,0),0)),"",OFFSET('HARGA SATUAN'!$D$6,MATCH(RAB!C43,'HARGA SATUAN'!$C$7:$C$1492,0),0))</f>
        <v>JASA</v>
      </c>
      <c r="E43" s="381" t="str">
        <f ca="1">IF(ISERROR(OFFSET('HARGA SATUAN'!$E$6,MATCH(RAB!C43,'HARGA SATUAN'!$C$7:$C$1492,0),0)),"",OFFSET('HARGA SATUAN'!$E$6,MATCH(RAB!C43,'HARGA SATUAN'!$C$7:$C$1492,0),0))</f>
        <v>Lot</v>
      </c>
      <c r="F43" s="382">
        <v>1</v>
      </c>
      <c r="G43" s="383">
        <f ca="1">IF(ISERROR(OFFSET('HARGA SATUAN'!$I$6,MATCH(RAB!C43,'HARGA SATUAN'!$C$7:$C$1492,0),0)),0,OFFSET('HARGA SATUAN'!$I$6,MATCH(RAB!C43,'HARGA SATUAN'!$C$7:$C$1492,0),0))</f>
        <v>2.5000000000000001E-2</v>
      </c>
      <c r="H43" s="384"/>
      <c r="I43" s="384"/>
      <c r="J43" s="384">
        <f ca="1">SUM(K15:K17)*G43</f>
        <v>0</v>
      </c>
      <c r="K43" s="385">
        <f ca="1">SUM(H43:J43)</f>
        <v>0</v>
      </c>
    </row>
    <row r="44" spans="2:13">
      <c r="B44" s="386"/>
      <c r="C44" s="387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IF(ISERROR(OFFSET('HARGA SATUAN'!$E$6,MATCH(RAB!C44,'HARGA SATUAN'!$C$7:$C$1492,0),0)),"",OFFSET('HARGA SATUAN'!$E$6,MATCH(RAB!C44,'HARGA SATUAN'!$C$7:$C$1492,0),0))</f>
        <v/>
      </c>
      <c r="F44" s="377"/>
      <c r="G44" s="360" t="str">
        <f ca="1">IF(ISERROR(OFFSET('HARGA SATUAN'!$I$6,MATCH(RAB!C44,'HARGA SATUAN'!$C$7:$C$1492,0),0)),"",OFFSET('HARGA SATUAN'!$I$6,MATCH(RAB!C44,'HARGA SATUAN'!$C$7:$C$1492,0),0))</f>
        <v/>
      </c>
      <c r="H44" s="361">
        <f ca="1">IF(OR(D44="MDU",D44="MDU-KD"),IF(G44="PLN",0,G44*F44),0)</f>
        <v>0</v>
      </c>
      <c r="I44" s="361">
        <f ca="1">IF(D44="HDW",IF(G44="PLN",0,G44*F44),0)</f>
        <v>0</v>
      </c>
      <c r="J44" s="361">
        <f ca="1">IF(D44="JASA",IF(G44="PLN",0,G44*F44),0)</f>
        <v>0</v>
      </c>
      <c r="K44" s="362">
        <f ca="1">SUM(H44:J44)</f>
        <v>0</v>
      </c>
    </row>
    <row r="45" spans="2:13" ht="15.75" thickBot="1">
      <c r="B45" s="388"/>
      <c r="C45" s="389"/>
      <c r="D45" s="390"/>
      <c r="E45" s="391"/>
      <c r="F45" s="391"/>
      <c r="G45" s="391"/>
      <c r="H45" s="392"/>
      <c r="I45" s="392"/>
      <c r="J45" s="392"/>
      <c r="K45" s="393"/>
    </row>
    <row r="46" spans="2:13">
      <c r="B46" s="394"/>
      <c r="C46" s="627" t="s">
        <v>1008</v>
      </c>
      <c r="D46" s="627"/>
      <c r="E46" s="627"/>
      <c r="F46" s="627"/>
      <c r="G46" s="395" t="s">
        <v>9</v>
      </c>
      <c r="H46" s="396">
        <f ca="1">SUM(H14:H44)</f>
        <v>2010750</v>
      </c>
      <c r="I46" s="396">
        <f ca="1">SUM(I14:I44)</f>
        <v>149084</v>
      </c>
      <c r="J46" s="396">
        <f ca="1">SUM(J14:J44)</f>
        <v>2087040</v>
      </c>
      <c r="K46" s="396">
        <f ca="1">SUM(K14:K44)</f>
        <v>4246874</v>
      </c>
    </row>
    <row r="47" spans="2:13">
      <c r="B47" s="398"/>
      <c r="C47" s="610" t="s">
        <v>1457</v>
      </c>
      <c r="D47" s="610"/>
      <c r="E47" s="610"/>
      <c r="F47" s="610"/>
      <c r="G47" s="399" t="s">
        <v>9</v>
      </c>
      <c r="H47" s="400">
        <f ca="1">H46*0.11</f>
        <v>221182.5</v>
      </c>
      <c r="I47" s="400">
        <f ca="1">I46*0.11</f>
        <v>16399.240000000002</v>
      </c>
      <c r="J47" s="400">
        <f ca="1">J46*0.11</f>
        <v>229574.39999999999</v>
      </c>
      <c r="K47" s="400">
        <f ca="1">K46*0.11</f>
        <v>467156.14</v>
      </c>
    </row>
    <row r="48" spans="2:13" ht="15.75" thickBot="1">
      <c r="B48" s="398"/>
      <c r="C48" s="608" t="s">
        <v>463</v>
      </c>
      <c r="D48" s="608"/>
      <c r="E48" s="608"/>
      <c r="F48" s="608"/>
      <c r="G48" s="401" t="s">
        <v>9</v>
      </c>
      <c r="H48" s="402">
        <f ca="1">SUM(H46:H47)</f>
        <v>2231932.5</v>
      </c>
      <c r="I48" s="402">
        <f ca="1">SUM(I46:I47)</f>
        <v>165483.24</v>
      </c>
      <c r="J48" s="401">
        <f ca="1">SUM(J46:J47)</f>
        <v>2316614.4</v>
      </c>
      <c r="K48" s="401">
        <f ca="1">SUM(K46:K47)</f>
        <v>4714030.1399999997</v>
      </c>
      <c r="M48" s="484"/>
    </row>
    <row r="49" spans="2:11">
      <c r="B49" s="611" t="str">
        <f ca="1">"Terbilang : "&amp;PROPER(IF(K48=0,"nol",IF(K48&lt;0,"minus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IF(--MID(TEXT(ABS(K48),"000000000000000"),1,3)=0,"",MID(TEXT(ABS(K48),"000000000000000"),1,1)&amp;" ratus "&amp;MID(TEXT(ABS(K48),"000000000000000"),2,1)&amp;" puluh "&amp;MID(TEXT(ABS(K48),"000000000000000"),3,1)&amp;" trilyun ")&amp; IF(--MID(TEXT(ABS(K48),"000000000000000"),4,3)=0,"",MID(TEXT(ABS(K48),"000000000000000"),4,1)&amp;" ratus "&amp;MID(TEXT(ABS(K48),"000000000000000"),5,1)&amp;" puluh "&amp;MID(TEXT(ABS(K48),"000000000000000"),6,1)&amp;" milyar ")&amp; IF(--MID(TEXT(ABS(K48),"000000000000000"),7,3)=0,"",MID(TEXT(ABS(K48),"000000000000000"),7,1)&amp;" ratus "&amp;MID(TEXT(ABS(K48),"000000000000000"),8,1)&amp;" puluh "&amp;MID(TEXT(ABS(K48),"000000000000000"),9,1)&amp;" juta ")&amp; IF(--MID(TEXT(ABS(K48),"000000000000000"),10,3)=0,"",IF(--MID(TEXT(ABS(K48),"000000000000000"),10,3)=1,"*",MID(TEXT(ABS(K48),"000000000000000"),10,1)&amp;" ratus "&amp;MID(TEXT(ABS(K48),"000000000000000"),11,1)&amp;" puluh ")&amp;MID(TEXT(ABS(K48),"000000000000000"),12,1)&amp;" ribu ")&amp; IF(--MID(TEXT(ABS(K48),"000000000000000"),13,3)=0,"",MID(TEXT(ABS(K48),"000000000000000"),13,1)&amp;" ratus "&amp;MID(TEXT(ABS(K48),"000000000000000"),14,1)&amp;" puluh "&amp;MID(TEXT(ABS(K48),"000000000000000"),15,1)),1,"satu"),2,"dua"),3,"tiga"),4,"empat"),5,"lima"),6,"enam"),7,"tujuh"),8,"delapan"),9,"sembilan"),"0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Juta Tujuh Ratus Empat Belas Ribu Tiga Puluh Rupiah</v>
      </c>
      <c r="C49" s="612"/>
      <c r="D49" s="612"/>
      <c r="E49" s="612"/>
      <c r="F49" s="612"/>
      <c r="G49" s="612"/>
      <c r="H49" s="612"/>
      <c r="I49" s="612"/>
      <c r="J49" s="612"/>
      <c r="K49" s="613"/>
    </row>
    <row r="50" spans="2:11">
      <c r="B50" s="614"/>
      <c r="C50" s="615"/>
      <c r="D50" s="615"/>
      <c r="E50" s="615"/>
      <c r="F50" s="615"/>
      <c r="G50" s="615"/>
      <c r="H50" s="615"/>
      <c r="I50" s="615"/>
      <c r="J50" s="615"/>
      <c r="K50" s="616"/>
    </row>
    <row r="51" spans="2:11" ht="15.75" thickBot="1">
      <c r="B51" s="403" t="str">
        <f>"Harga yang dipakai adalah "&amp;'HARGA SATUAN'!I5&amp;""</f>
        <v>Harga yang dipakai adalah RAB HSS 2023</v>
      </c>
      <c r="C51" s="404"/>
      <c r="D51" s="405"/>
      <c r="E51" s="405"/>
      <c r="F51" s="405"/>
      <c r="G51" s="406"/>
      <c r="H51" s="406"/>
      <c r="I51" s="406"/>
      <c r="J51" s="406"/>
      <c r="K51" s="407"/>
    </row>
    <row r="52" spans="2:11">
      <c r="C52" s="408"/>
      <c r="E52" s="410"/>
      <c r="F52" s="410"/>
      <c r="G52" s="410"/>
    </row>
    <row r="53" spans="2:11">
      <c r="C53" s="337"/>
      <c r="E53" s="410"/>
      <c r="F53" s="410"/>
      <c r="G53" s="410"/>
      <c r="H53" s="617"/>
      <c r="I53" s="617"/>
      <c r="J53" s="618"/>
      <c r="K53" s="618"/>
    </row>
    <row r="54" spans="2:11">
      <c r="C54" s="337"/>
      <c r="E54" s="410"/>
      <c r="F54" s="410"/>
      <c r="G54" s="410"/>
      <c r="H54" s="411"/>
      <c r="I54" s="607" t="s">
        <v>1610</v>
      </c>
      <c r="J54" s="607"/>
      <c r="K54" s="607"/>
    </row>
    <row r="55" spans="2:11">
      <c r="C55" s="337"/>
      <c r="E55" s="410"/>
      <c r="F55" s="410"/>
      <c r="G55" s="410"/>
      <c r="H55" s="411"/>
      <c r="I55" s="607" t="s">
        <v>1546</v>
      </c>
      <c r="J55" s="607"/>
      <c r="K55" s="607"/>
    </row>
    <row r="56" spans="2:11">
      <c r="C56" s="337"/>
      <c r="E56" s="410"/>
      <c r="F56" s="410"/>
      <c r="G56" s="410"/>
      <c r="H56" s="412"/>
      <c r="I56" s="413"/>
      <c r="J56" s="413"/>
      <c r="K56" s="413"/>
    </row>
    <row r="57" spans="2:11">
      <c r="C57" s="337"/>
      <c r="E57" s="410"/>
      <c r="F57" s="410"/>
      <c r="G57" s="410"/>
      <c r="H57" s="412"/>
      <c r="I57" s="412"/>
      <c r="J57" s="412"/>
      <c r="K57" s="412"/>
    </row>
    <row r="58" spans="2:11">
      <c r="C58" s="337"/>
      <c r="E58" s="410"/>
      <c r="F58" s="410"/>
      <c r="G58" s="410"/>
      <c r="H58" s="412"/>
      <c r="I58" s="412"/>
      <c r="J58" s="412"/>
      <c r="K58" s="412"/>
    </row>
    <row r="59" spans="2:11">
      <c r="C59" s="337"/>
      <c r="E59" s="410"/>
      <c r="F59" s="410"/>
      <c r="G59" s="410"/>
      <c r="H59" s="412"/>
      <c r="I59" s="412"/>
      <c r="J59" s="412"/>
      <c r="K59" s="412"/>
    </row>
    <row r="60" spans="2:11">
      <c r="C60" s="337"/>
      <c r="E60" s="410"/>
      <c r="F60" s="410"/>
      <c r="G60" s="410"/>
      <c r="H60" s="414"/>
      <c r="I60" s="607" t="s">
        <v>1547</v>
      </c>
      <c r="J60" s="607"/>
      <c r="K60" s="607"/>
    </row>
    <row r="61" spans="2:11">
      <c r="C61" s="408"/>
      <c r="E61" s="410"/>
      <c r="F61" s="410"/>
      <c r="G61" s="410"/>
      <c r="H61" s="412"/>
      <c r="I61" s="412"/>
      <c r="J61" s="412"/>
      <c r="K61" s="412"/>
    </row>
    <row r="62" spans="2:11">
      <c r="C62" s="408"/>
      <c r="E62" s="410"/>
      <c r="F62" s="410"/>
      <c r="G62" s="410"/>
      <c r="H62" s="412"/>
      <c r="I62" s="412"/>
      <c r="J62" s="412"/>
      <c r="K62" s="412"/>
    </row>
    <row r="63" spans="2:11">
      <c r="C63" s="408"/>
      <c r="E63" s="410"/>
      <c r="F63" s="410"/>
      <c r="G63" s="410"/>
      <c r="H63" s="412"/>
      <c r="I63" s="412"/>
      <c r="J63" s="412"/>
      <c r="K63" s="412"/>
    </row>
  </sheetData>
  <sheetProtection sort="0" autoFilter="0"/>
  <protectedRanges>
    <protectedRange sqref="B41 B22:B39" name="Range1_1"/>
    <protectedRange sqref="F14:F42" name="Range1_1_2_2"/>
    <protectedRange sqref="C41 C22:C23 C25 C27:C28 C30:C39" name="Range1_1_1"/>
    <protectedRange sqref="B20:C21" name="Range1_6_2"/>
    <protectedRange sqref="C26" name="Range1_1_3_13"/>
    <protectedRange sqref="C24" name="Range1_1_3_4"/>
    <protectedRange sqref="C29" name="Range1_1_3"/>
  </protectedRanges>
  <mergeCells count="22">
    <mergeCell ref="O3:P4"/>
    <mergeCell ref="B4:K4"/>
    <mergeCell ref="C46:F46"/>
    <mergeCell ref="B11:B13"/>
    <mergeCell ref="C11:C13"/>
    <mergeCell ref="D11:D13"/>
    <mergeCell ref="E11:E13"/>
    <mergeCell ref="F11:F13"/>
    <mergeCell ref="G11:G13"/>
    <mergeCell ref="I12:I13"/>
    <mergeCell ref="I55:K55"/>
    <mergeCell ref="I60:K60"/>
    <mergeCell ref="C48:F48"/>
    <mergeCell ref="G6:K6"/>
    <mergeCell ref="I54:K54"/>
    <mergeCell ref="C47:F47"/>
    <mergeCell ref="B49:K50"/>
    <mergeCell ref="H53:K53"/>
    <mergeCell ref="H11:K11"/>
    <mergeCell ref="H12:H13"/>
    <mergeCell ref="J12:J13"/>
    <mergeCell ref="K12:K13"/>
  </mergeCells>
  <phoneticPr fontId="138" type="noConversion"/>
  <conditionalFormatting sqref="C15 C17">
    <cfRule type="cellIs" dxfId="7" priority="499" operator="equal">
      <formula>0</formula>
    </cfRule>
  </conditionalFormatting>
  <conditionalFormatting sqref="C19">
    <cfRule type="cellIs" dxfId="6" priority="124" operator="equal">
      <formula>0</formula>
    </cfRule>
  </conditionalFormatting>
  <conditionalFormatting sqref="C24">
    <cfRule type="cellIs" dxfId="5" priority="4" operator="equal">
      <formula>0</formula>
    </cfRule>
  </conditionalFormatting>
  <conditionalFormatting sqref="C37">
    <cfRule type="cellIs" dxfId="4" priority="15" operator="equal">
      <formula>0</formula>
    </cfRule>
  </conditionalFormatting>
  <conditionalFormatting sqref="C40">
    <cfRule type="cellIs" dxfId="3" priority="122" operator="equal">
      <formula>0</formula>
    </cfRule>
  </conditionalFormatting>
  <conditionalFormatting sqref="E1:E3 G1:G13 E5:E13 H12:I12 O13 E43:G43 H43:K45 E44:H44 E45:F45 S14:V17 E14:K42">
    <cfRule type="cellIs" dxfId="0" priority="1079" stopIfTrue="1" operator="equal">
      <formula>0</formula>
    </cfRule>
  </conditionalFormatting>
  <conditionalFormatting sqref="G44:G65510 E49:E65510">
    <cfRule type="cellIs" dxfId="2" priority="213" stopIfTrue="1" operator="equal">
      <formula>0</formula>
    </cfRule>
  </conditionalFormatting>
  <conditionalFormatting sqref="C29">
    <cfRule type="cellIs" dxfId="1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8:F20 H14:K4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85" zoomScaleNormal="115" zoomScaleSheetLayoutView="85" workbookViewId="0">
      <selection activeCell="E7" sqref="E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0" t="s">
        <v>1439</v>
      </c>
      <c r="X2" s="691"/>
      <c r="Y2" s="691"/>
      <c r="Z2" s="691"/>
      <c r="AA2" s="691"/>
      <c r="AB2" s="691"/>
      <c r="AC2" s="691"/>
      <c r="AD2" s="692"/>
    </row>
    <row r="3" spans="3:30">
      <c r="C3" s="238"/>
      <c r="W3" s="693"/>
      <c r="X3" s="694"/>
      <c r="Y3" s="694"/>
      <c r="Z3" s="694"/>
      <c r="AA3" s="694"/>
      <c r="AB3" s="694"/>
      <c r="AC3" s="694"/>
      <c r="AD3" s="69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9" t="s">
        <v>990</v>
      </c>
      <c r="Y5" s="639"/>
      <c r="Z5" s="639"/>
      <c r="AA5" s="639" t="s">
        <v>988</v>
      </c>
      <c r="AB5" s="639"/>
      <c r="AC5" s="639" t="s">
        <v>989</v>
      </c>
      <c r="AD5" s="640"/>
    </row>
    <row r="6" spans="3:30">
      <c r="C6" s="238"/>
      <c r="W6" s="241">
        <v>1</v>
      </c>
      <c r="X6" s="639" t="s">
        <v>993</v>
      </c>
      <c r="Y6" s="639"/>
      <c r="Z6" s="639"/>
      <c r="AA6" s="639"/>
      <c r="AB6" s="639"/>
      <c r="AC6" s="639"/>
      <c r="AD6" s="640"/>
    </row>
    <row r="7" spans="3:30">
      <c r="C7" s="238"/>
      <c r="E7" s="490" t="str">
        <f>PETA!C6</f>
        <v>KOORDINAT : -6.998023, 110.716522</v>
      </c>
      <c r="W7" s="241">
        <v>2</v>
      </c>
      <c r="X7" s="639" t="s">
        <v>994</v>
      </c>
      <c r="Y7" s="639"/>
      <c r="Z7" s="639"/>
      <c r="AA7" s="639"/>
      <c r="AB7" s="639"/>
      <c r="AC7" s="639"/>
      <c r="AD7" s="640"/>
    </row>
    <row r="8" spans="3:30">
      <c r="C8" s="238"/>
      <c r="W8" s="241">
        <v>3</v>
      </c>
      <c r="X8" s="639" t="s">
        <v>995</v>
      </c>
      <c r="Y8" s="639"/>
      <c r="Z8" s="639"/>
      <c r="AA8" s="639"/>
      <c r="AB8" s="639"/>
      <c r="AC8" s="639"/>
      <c r="AD8" s="640"/>
    </row>
    <row r="9" spans="3:30">
      <c r="C9" s="238"/>
      <c r="W9" s="241">
        <v>4</v>
      </c>
      <c r="X9" s="639" t="s">
        <v>996</v>
      </c>
      <c r="Y9" s="639"/>
      <c r="Z9" s="639"/>
      <c r="AA9" s="639"/>
      <c r="AB9" s="639"/>
      <c r="AC9" s="639"/>
      <c r="AD9" s="640"/>
    </row>
    <row r="10" spans="3:30">
      <c r="C10" s="238"/>
      <c r="W10" s="241">
        <v>5</v>
      </c>
      <c r="X10" s="639" t="s">
        <v>997</v>
      </c>
      <c r="Y10" s="639"/>
      <c r="Z10" s="639"/>
      <c r="AA10" s="639"/>
      <c r="AB10" s="639"/>
      <c r="AC10" s="639"/>
      <c r="AD10" s="640"/>
    </row>
    <row r="11" spans="3:30">
      <c r="C11" s="238"/>
      <c r="W11" s="241">
        <v>6</v>
      </c>
      <c r="X11" s="639" t="s">
        <v>998</v>
      </c>
      <c r="Y11" s="639"/>
      <c r="Z11" s="639"/>
      <c r="AA11" s="639"/>
      <c r="AB11" s="639"/>
      <c r="AC11" s="639"/>
      <c r="AD11" s="640"/>
    </row>
    <row r="12" spans="3:30">
      <c r="C12" s="238"/>
      <c r="W12" s="241">
        <v>7</v>
      </c>
      <c r="X12" s="639" t="s">
        <v>999</v>
      </c>
      <c r="Y12" s="639"/>
      <c r="Z12" s="639"/>
      <c r="AA12" s="639"/>
      <c r="AB12" s="639"/>
      <c r="AC12" s="639"/>
      <c r="AD12" s="640"/>
    </row>
    <row r="13" spans="3:30" ht="12.75" customHeight="1">
      <c r="C13" s="238"/>
      <c r="W13" s="241">
        <v>8</v>
      </c>
      <c r="X13" s="639" t="s">
        <v>1000</v>
      </c>
      <c r="Y13" s="639"/>
      <c r="Z13" s="639"/>
      <c r="AA13" s="639"/>
      <c r="AB13" s="639"/>
      <c r="AC13" s="639"/>
      <c r="AD13" s="640"/>
    </row>
    <row r="14" spans="3:30">
      <c r="C14" s="238"/>
      <c r="W14" s="241">
        <v>9</v>
      </c>
      <c r="X14" s="639" t="s">
        <v>1001</v>
      </c>
      <c r="Y14" s="639"/>
      <c r="Z14" s="639"/>
      <c r="AA14" s="639"/>
      <c r="AB14" s="639"/>
      <c r="AC14" s="639"/>
      <c r="AD14" s="640"/>
    </row>
    <row r="15" spans="3:30">
      <c r="C15" s="238"/>
      <c r="W15" s="241">
        <v>10</v>
      </c>
      <c r="X15" s="639" t="s">
        <v>1010</v>
      </c>
      <c r="Y15" s="639"/>
      <c r="Z15" s="639"/>
      <c r="AA15" s="639"/>
      <c r="AB15" s="639"/>
      <c r="AC15" s="639"/>
      <c r="AD15" s="640"/>
    </row>
    <row r="16" spans="3:30">
      <c r="C16" s="238"/>
      <c r="W16" s="241">
        <v>11</v>
      </c>
      <c r="X16" s="639" t="s">
        <v>1455</v>
      </c>
      <c r="Y16" s="639"/>
      <c r="Z16" s="639"/>
      <c r="AA16" s="639"/>
      <c r="AB16" s="639"/>
      <c r="AC16" s="639"/>
      <c r="AD16" s="640"/>
    </row>
    <row r="17" spans="3:30">
      <c r="C17" s="238"/>
      <c r="S17" s="242"/>
      <c r="W17" s="241">
        <v>12</v>
      </c>
      <c r="X17" s="639" t="s">
        <v>1011</v>
      </c>
      <c r="Y17" s="639"/>
      <c r="Z17" s="639"/>
      <c r="AA17" s="639"/>
      <c r="AB17" s="639"/>
      <c r="AC17" s="639"/>
      <c r="AD17" s="640"/>
    </row>
    <row r="18" spans="3:30">
      <c r="C18" s="243"/>
      <c r="D18" s="244"/>
      <c r="E18" s="244"/>
      <c r="W18" s="241">
        <v>13</v>
      </c>
      <c r="X18" s="639"/>
      <c r="Y18" s="639"/>
      <c r="Z18" s="639"/>
      <c r="AA18" s="639"/>
      <c r="AB18" s="639"/>
      <c r="AC18" s="639"/>
      <c r="AD18" s="640"/>
    </row>
    <row r="19" spans="3:30">
      <c r="C19" s="238"/>
      <c r="W19" s="245"/>
      <c r="X19" s="688"/>
      <c r="Y19" s="688"/>
      <c r="Z19" s="688"/>
      <c r="AA19" s="688"/>
      <c r="AB19" s="688"/>
      <c r="AC19" s="688"/>
      <c r="AD19" s="689"/>
    </row>
    <row r="20" spans="3:30">
      <c r="C20" s="238"/>
      <c r="W20" s="675" t="s">
        <v>992</v>
      </c>
      <c r="X20" s="676"/>
      <c r="Y20" s="676"/>
      <c r="Z20" s="676"/>
      <c r="AA20" s="676"/>
      <c r="AB20" s="676"/>
      <c r="AC20" s="676"/>
      <c r="AD20" s="677"/>
    </row>
    <row r="21" spans="3:30">
      <c r="C21" s="238"/>
      <c r="W21" s="678" t="s">
        <v>985</v>
      </c>
      <c r="X21" s="679"/>
      <c r="Y21" s="679"/>
      <c r="Z21" s="680"/>
      <c r="AA21" s="681" t="s">
        <v>986</v>
      </c>
      <c r="AB21" s="682"/>
      <c r="AC21" s="682"/>
      <c r="AD21" s="683"/>
    </row>
    <row r="22" spans="3:30">
      <c r="C22" s="238"/>
      <c r="W22" s="684" t="s">
        <v>1624</v>
      </c>
      <c r="X22" s="685"/>
      <c r="Y22" s="492">
        <v>1</v>
      </c>
      <c r="Z22" s="493"/>
      <c r="AA22" s="686"/>
      <c r="AB22" s="687"/>
      <c r="AC22" s="248"/>
      <c r="AD22" s="249"/>
    </row>
    <row r="23" spans="3:30">
      <c r="C23" s="238"/>
      <c r="W23" s="684" t="s">
        <v>1625</v>
      </c>
      <c r="X23" s="685"/>
      <c r="Y23" s="492">
        <v>1</v>
      </c>
      <c r="Z23" s="493"/>
      <c r="AA23" s="673"/>
      <c r="AB23" s="674"/>
      <c r="AC23" s="248"/>
      <c r="AD23" s="249"/>
    </row>
    <row r="24" spans="3:30">
      <c r="C24" s="238"/>
      <c r="L24" s="235" t="s">
        <v>1629</v>
      </c>
      <c r="W24" s="668" t="s">
        <v>1626</v>
      </c>
      <c r="X24" s="670"/>
      <c r="Y24" s="246">
        <v>1</v>
      </c>
      <c r="Z24" s="247"/>
      <c r="AA24" s="671"/>
      <c r="AB24" s="672"/>
      <c r="AC24" s="248"/>
      <c r="AD24" s="249"/>
    </row>
    <row r="25" spans="3:30">
      <c r="C25" s="238"/>
      <c r="W25" s="668" t="s">
        <v>1618</v>
      </c>
      <c r="X25" s="670"/>
      <c r="Y25" s="246">
        <v>2</v>
      </c>
      <c r="Z25" s="247"/>
      <c r="AA25" s="673"/>
      <c r="AB25" s="674"/>
      <c r="AC25" s="248"/>
      <c r="AD25" s="249"/>
    </row>
    <row r="26" spans="3:30">
      <c r="C26" s="238"/>
      <c r="W26" s="480" t="s">
        <v>1623</v>
      </c>
      <c r="X26" s="481"/>
      <c r="Y26" s="246">
        <v>4</v>
      </c>
      <c r="Z26" s="247"/>
      <c r="AA26" s="673"/>
      <c r="AB26" s="674"/>
      <c r="AC26" s="248"/>
      <c r="AD26" s="249"/>
    </row>
    <row r="27" spans="3:30">
      <c r="C27" s="238"/>
      <c r="W27" s="480" t="s">
        <v>1620</v>
      </c>
      <c r="X27" s="481"/>
      <c r="Y27" s="246">
        <v>8</v>
      </c>
      <c r="Z27" s="247"/>
      <c r="AA27" s="667"/>
      <c r="AB27" s="662"/>
      <c r="AC27" s="248"/>
      <c r="AD27" s="249"/>
    </row>
    <row r="28" spans="3:30">
      <c r="C28" s="238"/>
      <c r="W28" s="480"/>
      <c r="X28" s="481"/>
      <c r="Y28" s="246"/>
      <c r="Z28" s="247"/>
      <c r="AA28" s="667"/>
      <c r="AB28" s="662"/>
      <c r="AC28" s="248"/>
      <c r="AD28" s="249"/>
    </row>
    <row r="29" spans="3:30">
      <c r="C29" s="238"/>
      <c r="W29" s="480"/>
      <c r="X29" s="481"/>
      <c r="Y29" s="246"/>
      <c r="Z29" s="247"/>
      <c r="AA29" s="667"/>
      <c r="AB29" s="66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7"/>
      <c r="AB30" s="66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7"/>
      <c r="AB31" s="66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7"/>
      <c r="AB32" s="662"/>
      <c r="AC32" s="248"/>
      <c r="AD32" s="249"/>
    </row>
    <row r="33" spans="3:30">
      <c r="C33" s="238"/>
      <c r="W33" s="480"/>
      <c r="X33" s="481"/>
      <c r="Y33" s="246"/>
      <c r="Z33" s="247"/>
      <c r="AA33" s="667"/>
      <c r="AB33" s="662"/>
      <c r="AC33" s="248"/>
      <c r="AD33" s="249"/>
    </row>
    <row r="34" spans="3:30">
      <c r="C34" s="238"/>
      <c r="W34" s="480"/>
      <c r="X34" s="481"/>
      <c r="Y34" s="246"/>
      <c r="Z34" s="247"/>
      <c r="AA34" s="667"/>
      <c r="AB34" s="662"/>
      <c r="AC34" s="248"/>
      <c r="AD34" s="249"/>
    </row>
    <row r="35" spans="3:30">
      <c r="C35" s="238"/>
      <c r="W35" s="668"/>
      <c r="X35" s="669"/>
      <c r="Y35" s="246"/>
      <c r="Z35" s="247"/>
      <c r="AA35" s="667"/>
      <c r="AB35" s="662"/>
      <c r="AC35" s="248"/>
      <c r="AD35" s="249"/>
    </row>
    <row r="36" spans="3:30">
      <c r="C36" s="238"/>
      <c r="W36" s="659"/>
      <c r="X36" s="660"/>
      <c r="Y36" s="246"/>
      <c r="Z36" s="251"/>
      <c r="AA36" s="661"/>
      <c r="AB36" s="662"/>
      <c r="AC36" s="248"/>
      <c r="AD36" s="249"/>
    </row>
    <row r="37" spans="3:30" ht="12.75" customHeight="1">
      <c r="C37" s="238"/>
      <c r="W37" s="663"/>
      <c r="X37" s="664"/>
      <c r="Y37" s="246"/>
      <c r="Z37" s="251"/>
      <c r="AA37" s="665"/>
      <c r="AB37" s="666"/>
      <c r="AC37" s="252"/>
      <c r="AD37" s="253"/>
    </row>
    <row r="38" spans="3:30" ht="12.75" customHeight="1">
      <c r="C38" s="238"/>
      <c r="W38" s="663"/>
      <c r="X38" s="66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7"/>
      <c r="W39" s="663"/>
      <c r="X39" s="664"/>
      <c r="Y39" s="254"/>
      <c r="Z39" s="257"/>
      <c r="AA39" s="655"/>
      <c r="AB39" s="656"/>
      <c r="AC39" s="252"/>
      <c r="AD39" s="253"/>
    </row>
    <row r="40" spans="3:30" ht="12" customHeight="1">
      <c r="C40" s="238"/>
      <c r="D40" s="507"/>
      <c r="W40" s="651"/>
      <c r="X40" s="652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7"/>
      <c r="W41" s="653"/>
      <c r="X41" s="654"/>
      <c r="Y41" s="260"/>
      <c r="Z41" s="261"/>
      <c r="AA41" s="655"/>
      <c r="AB41" s="656"/>
      <c r="AC41" s="252"/>
      <c r="AD41" s="253"/>
    </row>
    <row r="42" spans="3:30" ht="12" customHeight="1">
      <c r="C42" s="238"/>
      <c r="D42" s="507"/>
      <c r="W42" s="657" t="s">
        <v>1456</v>
      </c>
      <c r="X42" s="658"/>
      <c r="Y42" s="658"/>
      <c r="Z42" s="658"/>
      <c r="AA42" s="262"/>
      <c r="AB42" s="262"/>
      <c r="AC42" s="262"/>
      <c r="AD42" s="263"/>
    </row>
    <row r="43" spans="3:30" ht="12" customHeight="1">
      <c r="C43" s="238"/>
      <c r="D43" s="507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7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6" t="s">
        <v>11</v>
      </c>
      <c r="X44" s="637"/>
      <c r="Y44" s="639"/>
      <c r="Z44" s="639"/>
      <c r="AA44" s="639"/>
      <c r="AB44" s="639"/>
      <c r="AC44" s="639"/>
      <c r="AD44" s="640"/>
    </row>
    <row r="45" spans="3:30">
      <c r="C45" s="268"/>
      <c r="D45" s="507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6" t="s">
        <v>984</v>
      </c>
      <c r="X45" s="637"/>
      <c r="Y45" s="639">
        <v>1</v>
      </c>
      <c r="Z45" s="639"/>
      <c r="AA45" s="639"/>
      <c r="AB45" s="639" t="s">
        <v>12</v>
      </c>
      <c r="AC45" s="63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6" t="s">
        <v>15</v>
      </c>
      <c r="X46" s="637"/>
      <c r="Y46" s="650"/>
      <c r="Z46" s="650"/>
      <c r="AA46" s="650"/>
      <c r="AB46" s="639" t="s">
        <v>16</v>
      </c>
      <c r="AC46" s="639"/>
      <c r="AD46" s="271"/>
    </row>
    <row r="47" spans="3:30">
      <c r="C47" s="268"/>
      <c r="D47" s="508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4" t="s">
        <v>17</v>
      </c>
      <c r="X47" s="644"/>
      <c r="Y47" s="644"/>
      <c r="Z47" s="644"/>
      <c r="AA47" s="644"/>
      <c r="AB47" s="644"/>
      <c r="AC47" s="644"/>
      <c r="AD47" s="645"/>
    </row>
    <row r="48" spans="3:30" ht="12.75" customHeight="1">
      <c r="C48" s="268"/>
      <c r="D48" s="508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6" t="str">
        <f>RAB!G6</f>
        <v>XL SUKODONO</v>
      </c>
      <c r="X48" s="646"/>
      <c r="Y48" s="646"/>
      <c r="Z48" s="646"/>
      <c r="AA48" s="646"/>
      <c r="AB48" s="646"/>
      <c r="AC48" s="646"/>
      <c r="AD48" s="64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6"/>
      <c r="X49" s="646"/>
      <c r="Y49" s="646"/>
      <c r="Z49" s="646"/>
      <c r="AA49" s="646"/>
      <c r="AB49" s="646"/>
      <c r="AC49" s="646"/>
      <c r="AD49" s="64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6"/>
      <c r="X50" s="646"/>
      <c r="Y50" s="646"/>
      <c r="Z50" s="646"/>
      <c r="AA50" s="646"/>
      <c r="AB50" s="646"/>
      <c r="AC50" s="646"/>
      <c r="AD50" s="64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8"/>
      <c r="X51" s="648"/>
      <c r="Y51" s="648"/>
      <c r="Z51" s="648"/>
      <c r="AA51" s="648"/>
      <c r="AB51" s="648"/>
      <c r="AC51" s="648"/>
      <c r="AD51" s="64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6" t="s">
        <v>18</v>
      </c>
      <c r="X52" s="637"/>
      <c r="Y52" s="639" t="s">
        <v>1549</v>
      </c>
      <c r="Z52" s="639"/>
      <c r="AA52" s="639"/>
      <c r="AB52" s="639"/>
      <c r="AC52" s="639"/>
      <c r="AD52" s="64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6" t="s">
        <v>19</v>
      </c>
      <c r="X53" s="637"/>
      <c r="Y53" s="639" t="s">
        <v>1549</v>
      </c>
      <c r="Z53" s="639"/>
      <c r="AA53" s="639"/>
      <c r="AB53" s="639"/>
      <c r="AC53" s="639"/>
      <c r="AD53" s="64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6" t="s">
        <v>20</v>
      </c>
      <c r="X54" s="637"/>
      <c r="Y54" s="638" t="s">
        <v>1550</v>
      </c>
      <c r="Z54" s="638"/>
      <c r="AA54" s="638"/>
      <c r="AB54" s="639"/>
      <c r="AC54" s="639"/>
      <c r="AD54" s="64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1" t="s">
        <v>21</v>
      </c>
      <c r="X55" s="642"/>
      <c r="Y55" s="638" t="s">
        <v>1551</v>
      </c>
      <c r="Z55" s="638"/>
      <c r="AA55" s="638"/>
      <c r="AB55" s="638"/>
      <c r="AC55" s="638"/>
      <c r="AD55" s="643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23" sqref="U22:U23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5" t="s">
        <v>1630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8"/>
      <c r="Z6" s="428"/>
      <c r="AA6" s="428"/>
      <c r="AB6" s="429"/>
      <c r="AC6" s="429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2024-02-28T04:29:35Z</dcterms:modified>
</cp:coreProperties>
</file>