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553D4D99-58FD-482D-AFD1-7CB332C45717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7" i="11" l="1"/>
  <c r="F26" i="11"/>
  <c r="F25" i="11"/>
  <c r="F24" i="11"/>
  <c r="F23" i="11"/>
  <c r="D25" i="11"/>
  <c r="D26" i="11"/>
  <c r="D27" i="11"/>
  <c r="D28" i="11"/>
  <c r="D29" i="11"/>
  <c r="D30" i="11"/>
  <c r="D21" i="11"/>
  <c r="D22" i="11"/>
  <c r="D23" i="11"/>
  <c r="D24" i="11"/>
  <c r="G15" i="11" l="1"/>
  <c r="G16" i="11"/>
  <c r="G17" i="11"/>
  <c r="G18" i="11"/>
  <c r="D15" i="11"/>
  <c r="H15" i="11" s="1"/>
  <c r="E15" i="11"/>
  <c r="D16" i="11"/>
  <c r="J16" i="11" s="1"/>
  <c r="E16" i="11"/>
  <c r="D17" i="11"/>
  <c r="I17" i="11" s="1"/>
  <c r="E17" i="11"/>
  <c r="D18" i="11"/>
  <c r="I18" i="11" s="1"/>
  <c r="E18" i="11"/>
  <c r="G14" i="11"/>
  <c r="E14" i="11"/>
  <c r="D14" i="11"/>
  <c r="J14" i="11" s="1"/>
  <c r="G19" i="11"/>
  <c r="E19" i="11"/>
  <c r="D19" i="11"/>
  <c r="J19" i="11" s="1"/>
  <c r="G7" i="11"/>
  <c r="V48" i="68"/>
  <c r="V2" i="68"/>
  <c r="J29" i="11"/>
  <c r="E29" i="11"/>
  <c r="G29" i="11"/>
  <c r="G20" i="11"/>
  <c r="E20" i="11"/>
  <c r="D20" i="11"/>
  <c r="J20" i="11" s="1"/>
  <c r="G28" i="11"/>
  <c r="E28" i="11"/>
  <c r="G27" i="11"/>
  <c r="E27" i="11"/>
  <c r="H27" i="11"/>
  <c r="G26" i="11"/>
  <c r="H26" i="11" s="1"/>
  <c r="E26" i="11"/>
  <c r="J26" i="11"/>
  <c r="G25" i="11"/>
  <c r="E25" i="11"/>
  <c r="G24" i="11"/>
  <c r="E24" i="11"/>
  <c r="J23" i="11"/>
  <c r="I23" i="11"/>
  <c r="G23" i="11"/>
  <c r="H23" i="11" s="1"/>
  <c r="E23" i="11"/>
  <c r="G22" i="11"/>
  <c r="E22" i="11"/>
  <c r="H22" i="11"/>
  <c r="I16" i="11" l="1"/>
  <c r="H16" i="11"/>
  <c r="I15" i="11"/>
  <c r="H18" i="11"/>
  <c r="H17" i="11"/>
  <c r="J15" i="11"/>
  <c r="J18" i="11"/>
  <c r="J17" i="11"/>
  <c r="H14" i="11"/>
  <c r="I14" i="11"/>
  <c r="H19" i="11"/>
  <c r="I19" i="11"/>
  <c r="H29" i="11"/>
  <c r="I29" i="11"/>
  <c r="H20" i="11"/>
  <c r="K23" i="11"/>
  <c r="I20" i="11"/>
  <c r="J27" i="11"/>
  <c r="I24" i="11"/>
  <c r="I25" i="11"/>
  <c r="J28" i="11"/>
  <c r="I22" i="11"/>
  <c r="J24" i="11"/>
  <c r="J25" i="11"/>
  <c r="H28" i="11"/>
  <c r="J22" i="11"/>
  <c r="I28" i="11"/>
  <c r="H24" i="11"/>
  <c r="H25" i="11"/>
  <c r="I26" i="11"/>
  <c r="I27" i="11"/>
  <c r="F44" i="11"/>
  <c r="F43" i="11"/>
  <c r="F42" i="11"/>
  <c r="F41" i="11"/>
  <c r="F40" i="11"/>
  <c r="F37" i="11"/>
  <c r="F36" i="11"/>
  <c r="F35" i="11"/>
  <c r="F34" i="11"/>
  <c r="F33" i="11"/>
  <c r="F32" i="11"/>
  <c r="F31" i="11"/>
  <c r="K16" i="11" l="1"/>
  <c r="K15" i="11"/>
  <c r="K18" i="11"/>
  <c r="K17" i="11"/>
  <c r="K14" i="11"/>
  <c r="K19" i="11"/>
  <c r="K29" i="11"/>
  <c r="K20" i="11"/>
  <c r="K26" i="11"/>
  <c r="K28" i="11"/>
  <c r="K27" i="11"/>
  <c r="K25" i="11"/>
  <c r="K22" i="11"/>
  <c r="K24" i="11"/>
  <c r="J21" i="11"/>
  <c r="E21" i="11"/>
  <c r="G21" i="11"/>
  <c r="J30" i="11"/>
  <c r="E30" i="11"/>
  <c r="G30" i="11"/>
  <c r="D31" i="11"/>
  <c r="E31" i="11"/>
  <c r="G31" i="11"/>
  <c r="D32" i="11"/>
  <c r="H32" i="11" s="1"/>
  <c r="E32" i="11"/>
  <c r="G32" i="11"/>
  <c r="D33" i="11"/>
  <c r="E33" i="11"/>
  <c r="G33" i="11"/>
  <c r="D34" i="11"/>
  <c r="J34" i="11" s="1"/>
  <c r="E34" i="11"/>
  <c r="G34" i="11"/>
  <c r="D35" i="11"/>
  <c r="E35" i="11"/>
  <c r="G35" i="11"/>
  <c r="D36" i="11"/>
  <c r="H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J39" i="11" s="1"/>
  <c r="E39" i="11"/>
  <c r="G39" i="11"/>
  <c r="D40" i="11"/>
  <c r="E40" i="11"/>
  <c r="G40" i="11"/>
  <c r="D41" i="11"/>
  <c r="E41" i="11"/>
  <c r="G41" i="11"/>
  <c r="D42" i="11"/>
  <c r="J42" i="11" s="1"/>
  <c r="E42" i="11"/>
  <c r="G42" i="11"/>
  <c r="D43" i="11"/>
  <c r="E43" i="11"/>
  <c r="G43" i="11"/>
  <c r="D44" i="11"/>
  <c r="E44" i="11"/>
  <c r="G44" i="11"/>
  <c r="D45" i="11"/>
  <c r="J45" i="11" s="1"/>
  <c r="E45" i="11"/>
  <c r="G45" i="11"/>
  <c r="I41" i="11" l="1"/>
  <c r="H40" i="11"/>
  <c r="I43" i="11"/>
  <c r="I21" i="11"/>
  <c r="H21" i="11"/>
  <c r="I45" i="11"/>
  <c r="J40" i="11"/>
  <c r="H45" i="11"/>
  <c r="I34" i="11"/>
  <c r="I42" i="11"/>
  <c r="I40" i="11"/>
  <c r="I39" i="11"/>
  <c r="I38" i="11"/>
  <c r="I37" i="11"/>
  <c r="H37" i="11"/>
  <c r="J36" i="11"/>
  <c r="I30" i="11"/>
  <c r="H42" i="11"/>
  <c r="J32" i="11"/>
  <c r="H44" i="11"/>
  <c r="I44" i="11"/>
  <c r="J35" i="11"/>
  <c r="H35" i="11"/>
  <c r="J33" i="11"/>
  <c r="H33" i="11"/>
  <c r="J44" i="11"/>
  <c r="H41" i="11"/>
  <c r="J41" i="11"/>
  <c r="I35" i="11"/>
  <c r="I33" i="11"/>
  <c r="H38" i="11"/>
  <c r="H34" i="11"/>
  <c r="I32" i="11"/>
  <c r="H30" i="11"/>
  <c r="H39" i="11"/>
  <c r="J43" i="11"/>
  <c r="H43" i="11"/>
  <c r="J31" i="11"/>
  <c r="H31" i="11"/>
  <c r="I31" i="11"/>
  <c r="I36" i="11"/>
  <c r="K30" i="11" l="1"/>
  <c r="K40" i="11"/>
  <c r="K39" i="11"/>
  <c r="K21" i="11"/>
  <c r="K34" i="11"/>
  <c r="K45" i="11"/>
  <c r="K32" i="11"/>
  <c r="K42" i="11"/>
  <c r="K37" i="11"/>
  <c r="K38" i="11"/>
  <c r="K44" i="11"/>
  <c r="K36" i="11"/>
  <c r="K43" i="11"/>
  <c r="K41" i="11"/>
  <c r="K35" i="11"/>
  <c r="K33" i="11"/>
  <c r="K31" i="11"/>
  <c r="G6" i="11" l="1"/>
  <c r="K19" i="60" l="1"/>
  <c r="D19" i="60"/>
  <c r="J46" i="11" l="1"/>
  <c r="H46" i="11"/>
  <c r="I46" i="11"/>
  <c r="K46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6" i="11" l="1"/>
  <c r="D46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6" i="11"/>
  <c r="D47" i="11"/>
  <c r="H47" i="11" s="1"/>
  <c r="E4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7" i="11"/>
  <c r="I47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47" i="11"/>
  <c r="K49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49" i="11"/>
  <c r="H50" i="11" s="1"/>
  <c r="I49" i="11"/>
  <c r="I50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7" i="29" l="1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51" i="11"/>
  <c r="I51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0" i="11" l="1"/>
  <c r="K51" i="11" s="1"/>
  <c r="B52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9" i="11"/>
  <c r="J5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7" i="41" l="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<sst xmlns="http://schemas.openxmlformats.org/spreadsheetml/2006/main" count="4711" uniqueCount="1625">
  <si>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</si>
  <si>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</si>
  <si>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</si>
  <si>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</si>
  <si>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</si>
  <si>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</si>
  <si>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</si>
  <si>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</si>
  <si>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</si>
  <si>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</si>
  <si>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</si>
  <si>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</si>
  <si>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</si>
  <si>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</si>
  <si>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</si>
  <si>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</si>
  <si>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</si>
  <si>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</si>
  <si>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</si>
  <si>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</si>
  <si>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</si>
  <si>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</si>
  <si>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</si>
  <si>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</si>
  <si>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</si>
  <si>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</si>
  <si>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</si>
  <si>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</si>
  <si>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</si>
  <si>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</si>
  <si>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</si>
  <si>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</si>
  <si>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</si>
  <si>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</si>
  <si>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</si>
  <si>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</si>
  <si>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</si>
  <si>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</si>
  <si>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</si>
  <si>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</si>
  <si>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</si>
  <si>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</si>
  <si>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</si>
  <si>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</si>
  <si>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</si>
  <si>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</si>
  <si>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</si>
  <si>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</si>
  <si>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</si>
  <si>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</si>
  <si>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</si>
  <si>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</si>
  <si>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</si>
  <si>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</si>
  <si>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</si>
  <si>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</si>
  <si>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</si>
  <si>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</si>
  <si>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</si>
  <si>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</si>
  <si>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</si>
  <si>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</si>
  <si>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</si>
  <si>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</si>
  <si>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</si>
  <si>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</si>
  <si>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</si>
  <si>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</si>
  <si>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</si>
  <si>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</si>
  <si>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</si>
  <si>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</si>
  <si>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</si>
  <si>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</si>
  <si>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</si>
  <si>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</si>
  <si>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</si>
  <si>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</si>
  <si>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</si>
  <si>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</si>
  <si>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</si>
  <si>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</si>
  <si>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</si>
  <si>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</si>
  <si>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</si>
  <si>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</si>
  <si>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</si>
  <si>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</si>
  <si>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</si>
  <si>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</si>
  <si>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</si>
  <si>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</si>
  <si>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</si>
  <si>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</si>
  <si>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</si>
  <si>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</si>
  <si>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</si>
  <si>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</si>
  <si>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</si>
  <si>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</si>
  <si>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</si>
  <si>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</si>
  <si>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</si>
  <si>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</si>
  <si>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</si>
  <si>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</si>
  <si>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</si>
  <si>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</si>
  <si>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</si>
  <si>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</si>
  <si>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</si>
  <si>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</si>
  <si>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</si>
  <si>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</si>
  <si>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</si>
  <si>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</si>
  <si>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</si>
  <si>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</si>
  <si>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</si>
  <si>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</si>
  <si>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</si>
  <si>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</si>
  <si>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</si>
  <si>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</si>
  <si>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</si>
  <si>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</si>
  <si>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</si>
  <si>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</si>
  <si>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</si>
  <si>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</si>
  <si>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</si>
  <si>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</si>
  <si>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</si>
  <si>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</si>
  <si>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</si>
  <si>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</si>
  <si>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</si>
  <si>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</si>
  <si>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</si>
  <si>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</si>
  <si>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</si>
  <si>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</si>
  <si>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</si>
  <si>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</si>
  <si>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</si>
  <si>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</si>
  <si>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</si>
  <si>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</si>
  <si>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</si>
  <si>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</si>
  <si>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</si>
  <si>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</si>
  <si>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</si>
  <si>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</si>
  <si>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</si>
  <si>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</si>
  <si>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</si>
  <si>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</si>
  <si>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</si>
  <si>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</si>
  <si>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</si>
  <si>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</si>
  <si>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</si>
  <si>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</si>
  <si>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</si>
  <si>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</si>
  <si>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</si>
  <si>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</si>
  <si>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</si>
  <si>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</si>
  <si>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</si>
  <si>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</si>
  <si>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</si>
  <si>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</si>
  <si>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</si>
  <si>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</si>
  <si>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</si>
  <si>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</si>
  <si>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</si>
  <si>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</si>
  <si>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</si>
  <si>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</si>
  <si>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</si>
  <si>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</si>
  <si>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</si>
  <si>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</si>
  <si>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</si>
  <si>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</si>
  <si>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</si>
  <si>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</si>
  <si>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</si>
  <si>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</si>
  <si>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</si>
  <si>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</si>
  <si>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</si>
  <si>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</si>
  <si>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</si>
  <si>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</si>
  <si>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</si>
  <si>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</si>
  <si>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</si>
  <si>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</si>
  <si>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</si>
  <si>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</si>
  <si>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</si>
  <si>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</si>
  <si>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</si>
  <si>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</si>
  <si>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</si>
  <si>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</si>
  <si>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</si>
  <si>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</si>
  <si>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</si>
  <si>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</si>
  <si>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</si>
  <si>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</si>
  <si>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</si>
  <si>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</si>
  <si>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</si>
  <si>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</si>
  <si>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</si>
  <si>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</si>
  <si>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</si>
  <si>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</si>
  <si>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</si>
  <si>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</si>
  <si>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</si>
  <si>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</si>
  <si>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</si>
  <si>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</si>
  <si>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</si>
  <si>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</si>
  <si>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</si>
  <si>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</si>
  <si>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</si>
  <si>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</si>
  <si>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</si>
  <si>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</si>
  <si>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</si>
  <si>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</si>
  <si>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</si>
  <si>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</si>
  <si>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</si>
  <si>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</si>
  <si>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</si>
  <si>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</si>
  <si>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</si>
  <si>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</si>
  <si>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</si>
  <si>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</si>
  <si>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</si>
  <si>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</si>
  <si>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</si>
  <si>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</si>
  <si>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</si>
  <si>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</si>
  <si>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</si>
  <si>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</si>
  <si>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</si>
  <si>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</si>
  <si>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</si>
  <si>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</si>
  <si>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</si>
  <si>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</si>
  <si>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</si>
  <si>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</si>
  <si>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</si>
  <si>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</si>
  <si>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</si>
  <si>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</si>
  <si>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</si>
  <si>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</si>
  <si>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</si>
  <si>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</si>
  <si>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</si>
  <si>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</si>
  <si>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</si>
  <si>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</si>
  <si>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</si>
  <si>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</si>
  <si>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</si>
  <si>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</si>
  <si>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</si>
  <si>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</si>
  <si>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</si>
  <si>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</si>
  <si>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</si>
  <si>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</si>
  <si>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</si>
  <si>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</si>
  <si>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</si>
  <si>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</si>
  <si>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</si>
  <si>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</si>
  <si>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</si>
  <si>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</si>
  <si>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</si>
  <si>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</si>
  <si>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</si>
  <si>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</si>
  <si>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</si>
  <si>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</si>
  <si>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</si>
  <si>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</si>
  <si>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</si>
  <si>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</si>
  <si>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</si>
  <si>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</si>
  <si>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</si>
  <si>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</si>
  <si>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</si>
  <si>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</si>
  <si>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</si>
  <si>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</si>
  <si>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</si>
  <si>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</si>
  <si>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</si>
  <si>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</si>
  <si>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</si>
  <si>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</si>
  <si>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</si>
  <si>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</si>
  <si>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</si>
  <si>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</si>
  <si>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</si>
  <si>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</si>
  <si>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</si>
  <si>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</si>
  <si>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</si>
  <si>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</si>
  <si>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</si>
  <si>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</si>
  <si>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</si>
  <si>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</si>
  <si>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</si>
  <si>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</si>
  <si>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</si>
  <si>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</si>
  <si>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</si>
  <si>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</si>
  <si>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</si>
  <si>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</si>
  <si>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</si>
  <si>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</si>
  <si>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</si>
  <si>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</si>
  <si>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</si>
  <si>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</si>
  <si>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</si>
  <si>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</si>
  <si>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</si>
  <si>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</si>
  <si>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</si>
  <si>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</si>
  <si>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</si>
  <si>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</si>
  <si>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</si>
  <si>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</si>
  <si>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</si>
  <si>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</si>
  <si>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</si>
  <si>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</si>
  <si>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</si>
  <si>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</si>
  <si>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</si>
  <si>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</si>
  <si>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</si>
  <si>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</si>
  <si>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</si>
  <si>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</si>
  <si>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</si>
  <si>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</si>
  <si>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</si>
  <si>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</si>
  <si>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</si>
  <si>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</si>
  <si>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</si>
  <si>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</si>
  <si>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</si>
  <si>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</si>
  <si>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</si>
  <si>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</si>
  <si>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</si>
  <si>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</si>
  <si>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</si>
  <si>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</si>
  <si>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</si>
  <si>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</si>
  <si>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</si>
  <si>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</si>
  <si>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</si>
  <si>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</si>
  <si>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</si>
  <si>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</si>
  <si>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</si>
  <si>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</si>
  <si>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</si>
  <si>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</si>
  <si>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</si>
  <si>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</si>
  <si>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</si>
  <si>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</si>
  <si>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</si>
  <si>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</si>
  <si>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</si>
  <si>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</si>
  <si>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</si>
  <si>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</si>
  <si>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</si>
  <si>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</si>
  <si>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</si>
  <si>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</si>
  <si>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</si>
  <si>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</si>
  <si>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</si>
  <si>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</si>
  <si>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</si>
  <si>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</si>
  <si>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</si>
  <si>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</si>
  <si>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</si>
  <si>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</si>
  <si>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</si>
  <si>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</si>
  <si>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</si>
  <si>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</si>
  <si>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</si>
  <si>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</si>
  <si>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</si>
  <si>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</si>
  <si>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</si>
  <si>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</si>
  <si>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</si>
  <si>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</si>
  <si>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</si>
  <si>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</si>
  <si>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</si>
  <si>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</si>
  <si>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</si>
  <si>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</si>
  <si>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</si>
  <si>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</si>
  <si>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</si>
  <si>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</si>
  <si>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</si>
  <si>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</si>
  <si>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</si>
  <si>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</si>
  <si>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</si>
  <si>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</si>
  <si>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</si>
  <si>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</si>
  <si>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</si>
  <si>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</si>
  <si>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</si>
  <si>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</si>
  <si>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</si>
  <si>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</si>
  <si>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</si>
  <si>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</si>
  <si>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</si>
  <si>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</si>
  <si>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</si>
  <si>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</si>
  <si>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</si>
  <si>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</si>
  <si>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</si>
  <si>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</si>
  <si>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</si>
  <si>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</si>
  <si>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</si>
  <si>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</si>
  <si>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</si>
  <si>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</si>
  <si>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</si>
  <si>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</si>
  <si>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</si>
  <si>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</si>
  <si>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</si>
  <si>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</si>
  <si>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</si>
  <si>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</si>
  <si>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</si>
  <si>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</si>
  <si>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</si>
  <si>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</si>
  <si>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</si>
  <si>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</si>
  <si>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</si>
  <si>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</si>
  <si>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</si>
  <si>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</si>
  <si>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</si>
  <si>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</si>
  <si>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</si>
  <si>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</si>
  <si>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</si>
  <si>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</si>
  <si>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</si>
  <si>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</si>
  <si>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</si>
  <si>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</si>
  <si>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</si>
  <si>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</si>
  <si>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</si>
  <si>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</si>
  <si>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</si>
  <si>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</si>
  <si>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</si>
  <si>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</si>
  <si>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</si>
  <si>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</si>
  <si>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</si>
  <si>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</si>
  <si>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</si>
  <si>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</si>
  <si>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</si>
  <si>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</si>
  <si>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</si>
  <si>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</si>
  <si>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</si>
  <si>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</si>
  <si>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</si>
  <si>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</si>
  <si>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</si>
  <si>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</si>
  <si>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</si>
  <si>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</si>
  <si>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</si>
  <si>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</si>
  <si>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</si>
  <si>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</si>
  <si>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</si>
  <si>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</si>
  <si>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</si>
  <si>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</si>
  <si>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</si>
  <si>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</si>
  <si>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</si>
  <si>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</si>
  <si>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</si>
  <si>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</si>
  <si>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</si>
  <si>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</si>
  <si>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</si>
  <si>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</si>
  <si>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</si>
  <si>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</si>
  <si>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</si>
  <si>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</si>
  <si>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</si>
  <si>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</si>
  <si>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</si>
  <si>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</si>
  <si>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</si>
  <si>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</si>
  <si>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</si>
  <si>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</si>
  <si>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</si>
  <si>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</si>
  <si>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</si>
  <si>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</si>
  <si>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</si>
  <si>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</si>
  <si>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</si>
  <si>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</si>
  <si>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</si>
  <si>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</si>
  <si>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</si>
  <si>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</si>
  <si>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</si>
  <si>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</si>
  <si>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</si>
  <si>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</si>
  <si>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</si>
  <si>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</si>
  <si>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</si>
  <si>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</si>
  <si>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</si>
  <si>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</si>
  <si>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</si>
  <si>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</si>
  <si>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</si>
  <si>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</si>
  <si>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</si>
  <si>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</si>
  <si>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</si>
  <si>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</si>
  <si>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</si>
  <si>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</si>
  <si>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</si>
  <si>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</si>
  <si>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</si>
  <si>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</si>
  <si>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</si>
  <si>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</si>
  <si>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</si>
  <si>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</si>
  <si>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</si>
  <si>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</si>
  <si>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</si>
  <si>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</si>
  <si>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</si>
  <si>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</si>
  <si>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</si>
  <si>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</si>
  <si>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</si>
  <si>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</si>
  <si>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</si>
  <si>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</si>
  <si>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</si>
  <si>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</si>
  <si>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</si>
  <si>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</si>
  <si>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</si>
  <si>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</si>
  <si>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</si>
  <si>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</si>
  <si>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</si>
  <si>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</si>
  <si>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</si>
  <si>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</si>
  <si>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</si>
  <si>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</si>
  <si>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</si>
  <si>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</si>
  <si>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</si>
  <si>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</si>
  <si>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</si>
  <si>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</si>
  <si>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</si>
  <si>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</si>
  <si>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</si>
  <si>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</si>
  <si>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</si>
  <si>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</si>
  <si>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</si>
  <si>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</si>
  <si>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</si>
  <si>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</si>
  <si>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</si>
  <si>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</si>
  <si>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</si>
  <si>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</si>
  <si>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</si>
  <si>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</si>
  <si>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</si>
  <si>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</si>
  <si>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</si>
  <si>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</si>
  <si>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</si>
  <si>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</si>
  <si>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</si>
  <si>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</si>
  <si>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</si>
  <si>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</si>
  <si>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</si>
  <si>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</si>
  <si>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</si>
  <si>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</si>
  <si>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</si>
  <si>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</si>
  <si>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</si>
  <si>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</si>
  <si>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</si>
  <si>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</si>
  <si>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</si>
  <si>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</si>
  <si>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</si>
  <si>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</si>
  <si>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</si>
  <si>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</si>
  <si>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</si>
  <si>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</si>
  <si>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</si>
  <si>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</si>
  <si>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</si>
  <si>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</si>
  <si>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</si>
  <si>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</si>
  <si>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</si>
  <si>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</si>
  <si>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</si>
  <si>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</si>
  <si>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</si>
  <si>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</si>
  <si>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</si>
  <si>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</si>
  <si>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</si>
  <si>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</si>
  <si>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</si>
  <si>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</si>
  <si>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</si>
  <si>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</si>
  <si>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</si>
  <si>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</si>
  <si>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</si>
  <si>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</si>
  <si>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</si>
  <si>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</si>
  <si>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</si>
  <si>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</si>
  <si>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</si>
  <si>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</si>
  <si>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</si>
  <si>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</si>
  <si>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</si>
  <si>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</si>
  <si>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</si>
  <si>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</si>
  <si>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</si>
  <si>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</si>
  <si>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</si>
  <si>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</si>
  <si>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</si>
  <si>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</si>
  <si>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</si>
  <si>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</si>
  <si>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</si>
  <si>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</si>
  <si>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</si>
  <si>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</si>
  <si>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</si>
  <si>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</si>
  <si>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</si>
  <si>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</si>
  <si>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</si>
  <si>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</si>
  <si>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</si>
  <si>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</si>
  <si>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</si>
  <si>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</si>
  <si>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</si>
  <si>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</si>
  <si>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</si>
  <si>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</si>
  <si>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</si>
  <si>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</si>
  <si>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</si>
  <si>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</si>
  <si>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</si>
  <si>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</si>
  <si>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</si>
  <si>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</si>
  <si>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</si>
  <si>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</si>
  <si>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</si>
  <si>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</si>
  <si>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</si>
  <si>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</si>
  <si>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</si>
  <si>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</si>
  <si>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</si>
  <si>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</si>
  <si>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</si>
  <si>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</si>
  <si>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</si>
  <si>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</si>
  <si>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</si>
  <si>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</si>
  <si>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</si>
  <si>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</si>
  <si>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</si>
  <si>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</si>
  <si>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</si>
  <si>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</si>
  <si>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</si>
  <si>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</si>
  <si>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</si>
  <si>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</si>
  <si>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</si>
  <si>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</si>
  <si>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</si>
  <si>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</si>
  <si>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</si>
  <si>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</si>
  <si>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</si>
  <si>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</si>
  <si>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</si>
  <si>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</si>
  <si>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</si>
  <si>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</si>
  <si>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</si>
  <si>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</si>
  <si>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</si>
  <si>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</si>
  <si>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</si>
  <si>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</si>
  <si>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</si>
  <si>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</si>
  <si>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</si>
  <si>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</si>
  <si>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</si>
  <si>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</si>
  <si>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</si>
  <si>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</si>
  <si>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</si>
  <si>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</si>
  <si>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</si>
  <si>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</si>
  <si>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</si>
  <si>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</si>
  <si>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</si>
  <si>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</si>
  <si>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</si>
  <si>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</si>
  <si>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</si>
  <si>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</si>
  <si>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</si>
  <si>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</si>
  <si>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</si>
  <si>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</si>
  <si>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</si>
  <si>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</si>
  <si>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</si>
  <si>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</si>
  <si>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</si>
  <si>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</si>
  <si>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</si>
  <si>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</si>
  <si>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</si>
  <si>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</si>
  <si>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</si>
  <si>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</si>
  <si>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</si>
  <si>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</si>
  <si>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</si>
  <si>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</si>
  <si>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</si>
  <si>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</si>
  <si>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</si>
  <si>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</si>
  <si>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</si>
  <si>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</si>
  <si>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</si>
  <si>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</si>
  <si>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</si>
  <si>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</si>
  <si>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</si>
  <si>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</si>
  <si>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</si>
  <si>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</si>
  <si>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</si>
  <si>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</si>
  <si>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</si>
  <si>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</si>
  <si>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</si>
  <si>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</si>
  <si>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</si>
  <si>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</si>
  <si>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</si>
  <si>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</si>
  <si>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</si>
  <si>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</si>
  <si>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</si>
  <si>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</si>
  <si>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</si>
  <si>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</si>
  <si>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</si>
  <si>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</si>
  <si>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</si>
  <si>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</si>
  <si>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</si>
  <si>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</si>
  <si>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</si>
  <si>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</si>
  <si>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</si>
  <si>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</si>
  <si>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</si>
  <si>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</si>
  <si>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</si>
  <si>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</si>
  <si>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</si>
  <si>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</si>
  <si>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</si>
  <si>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</si>
  <si>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</si>
  <si>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</si>
  <si>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</si>
  <si>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</si>
  <si>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</si>
  <si>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</si>
  <si>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</si>
  <si>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</si>
  <si>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</si>
  <si>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</si>
  <si>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</si>
  <si>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</si>
  <si>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</si>
  <si>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</si>
  <si>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</si>
  <si>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</si>
  <si>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</si>
  <si>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</si>
  <si>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</si>
  <si>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</si>
  <si>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</si>
  <si>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</si>
  <si>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</si>
  <si>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</si>
  <si>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</si>
  <si>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</si>
  <si>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</si>
  <si>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</si>
  <si>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</si>
  <si>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</si>
  <si>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</si>
  <si>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</si>
  <si>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</si>
  <si>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</si>
  <si>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</si>
  <si>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</si>
  <si>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</si>
  <si>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</si>
  <si>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</si>
  <si>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</si>
  <si>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</si>
  <si>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</si>
  <si>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</si>
  <si>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</si>
  <si>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</si>
  <si>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</si>
  <si>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</si>
  <si>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</si>
  <si>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</si>
  <si>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</si>
  <si>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</si>
  <si>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</si>
  <si>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</si>
  <si>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</si>
  <si>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</si>
  <si>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</si>
  <si>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</si>
  <si>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</si>
  <si>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</si>
  <si>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</si>
  <si>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</si>
  <si>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</si>
  <si>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</si>
  <si>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</si>
  <si>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</si>
  <si>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</si>
  <si>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</si>
  <si>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</si>
  <si>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</si>
  <si>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</si>
  <si>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</si>
  <si>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</si>
  <si>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</si>
  <si>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</si>
  <si>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</si>
  <si>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</si>
  <si>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</si>
  <si>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</si>
  <si>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</si>
  <si>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</si>
  <si>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</si>
  <si>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</si>
  <si>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</si>
  <si>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</si>
  <si>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</si>
  <si>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</si>
  <si>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</si>
  <si>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</si>
  <si>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</si>
  <si>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</si>
  <si>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</si>
  <si>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</si>
  <si>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</si>
  <si>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</si>
  <si>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</si>
  <si>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</si>
  <si>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</si>
  <si>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</si>
  <si>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</si>
  <si>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</si>
  <si>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</si>
  <si>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</si>
  <si>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</si>
  <si>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</si>
  <si>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</si>
  <si>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</si>
  <si>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</si>
  <si>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</si>
  <si>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</si>
  <si>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</si>
  <si>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</si>
  <si>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</si>
  <si>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</si>
  <si>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</si>
  <si>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</si>
  <si>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</si>
  <si>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</si>
  <si>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</si>
  <si>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</si>
  <si>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</si>
  <si>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</si>
  <si>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</si>
  <si>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</si>
  <si>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</si>
  <si>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</si>
  <si>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</si>
  <si>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</si>
  <si>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</si>
  <si>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</si>
  <si>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</si>
  <si>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</si>
  <si>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</si>
  <si>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</si>
  <si>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</si>
  <si>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</si>
  <si>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</si>
  <si>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</si>
  <si>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</si>
  <si>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</si>
  <si>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</si>
  <si>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</si>
  <si>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</si>
  <si>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</si>
  <si>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</si>
  <si>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</si>
  <si>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</si>
  <si>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</si>
  <si>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</si>
  <si>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</si>
  <si>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</si>
  <si>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</si>
  <si>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</si>
  <si>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</si>
  <si>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</si>
  <si>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</si>
  <si>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</si>
  <si>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</si>
  <si>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</si>
  <si>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</si>
  <si>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</si>
  <si>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</si>
  <si>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</si>
  <si>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</si>
  <si>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</si>
  <si>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</si>
  <si>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</si>
  <si>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</si>
  <si>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</si>
  <si>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</si>
  <si>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</si>
  <si>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</si>
  <si>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</si>
  <si>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</si>
  <si>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</si>
  <si>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</si>
  <si>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</si>
  <si>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</si>
  <si>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</si>
  <si>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</si>
  <si>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</si>
  <si>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</si>
  <si>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</si>
  <si>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</si>
  <si>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</si>
  <si>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</si>
  <si>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</si>
  <si>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</si>
  <si>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</si>
  <si>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</si>
  <si>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</si>
  <si>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</si>
  <si>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</si>
  <si>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</si>
  <si>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</si>
  <si>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</si>
  <si>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</si>
  <si>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</si>
  <si>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</si>
  <si>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</si>
  <si>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</si>
  <si>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</si>
  <si>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</si>
  <si>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</si>
  <si>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</si>
  <si>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</si>
  <si>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</si>
  <si>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</si>
  <si>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</si>
  <si>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</si>
  <si>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</si>
  <si>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</si>
  <si>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</si>
  <si>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</si>
  <si>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</si>
  <si>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</si>
  <si>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</si>
  <si>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</si>
  <si>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</si>
  <si>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</si>
  <si>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</si>
  <si>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</si>
  <si>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</si>
  <si>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</si>
  <si>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</si>
  <si>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</si>
  <si>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</si>
  <si>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</si>
  <si>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</si>
  <si>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</si>
  <si>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</si>
  <si>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</si>
  <si>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</si>
  <si>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</si>
  <si>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</si>
  <si>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</si>
  <si>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</si>
  <si>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</si>
  <si>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</si>
  <si>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</si>
  <si>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</si>
  <si>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</si>
  <si>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</si>
  <si>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</si>
  <si>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</si>
  <si>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</si>
  <si>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</si>
  <si>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</si>
  <si>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</si>
  <si>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</si>
  <si>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</si>
  <si>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</si>
  <si>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</si>
  <si>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</si>
  <si>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</si>
  <si>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</si>
  <si>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</si>
  <si>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</si>
  <si>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</si>
  <si>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</si>
  <si>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</si>
  <si>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</si>
  <si>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</si>
  <si>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</si>
  <si>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</si>
  <si>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</si>
  <si>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</si>
  <si>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</si>
  <si>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</si>
  <si>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</si>
  <si>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</si>
  <si>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</si>
  <si>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</si>
  <si>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</si>
  <si>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</si>
  <si>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</si>
  <si>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</si>
  <si>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</si>
  <si>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</si>
  <si>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</si>
  <si>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</si>
  <si>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</si>
  <si>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</si>
  <si>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</si>
  <si>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</si>
  <si>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</si>
  <si>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</si>
  <si>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</si>
  <si>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</si>
  <si>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</si>
  <si>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</si>
  <si>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</si>
  <si>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</si>
  <si>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</si>
  <si>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</si>
  <si>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</si>
  <si>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</si>
  <si>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</si>
  <si>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</si>
  <si>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</si>
  <si>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</si>
  <si>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</si>
  <si>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</si>
  <si>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</si>
  <si>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</si>
  <si>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</si>
  <si>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</si>
  <si>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</si>
  <si>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</si>
  <si>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</si>
  <si>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</si>
  <si>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</si>
  <si>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</si>
  <si>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</si>
  <si>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</si>
  <si>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</si>
  <si>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</si>
  <si>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</si>
  <si>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</si>
  <si>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</si>
  <si>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</si>
  <si>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</si>
  <si>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</si>
  <si>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</si>
  <si>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</si>
  <si>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</si>
  <si>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</si>
  <si>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</si>
  <si>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</si>
  <si>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</si>
  <si>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</si>
  <si>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</si>
  <si>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</si>
  <si>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</si>
  <si>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</si>
  <si>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</si>
  <si>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</si>
  <si>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</si>
  <si>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</si>
  <si>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</si>
  <si>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</si>
  <si>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</si>
  <si>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</si>
  <si>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</si>
  <si>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</si>
  <si>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</si>
  <si>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</si>
  <si>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</si>
  <si>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</si>
  <si>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</si>
  <si>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</si>
  <si>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</si>
  <si>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</si>
  <si>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</si>
  <si>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</si>
  <si>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</si>
  <si>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</si>
  <si>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</si>
  <si>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</si>
  <si>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</si>
  <si>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</si>
  <si>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</si>
  <si>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</si>
  <si>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</si>
  <si>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</si>
  <si>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</si>
  <si>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</si>
  <si>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</si>
  <si>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</si>
  <si>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</si>
  <si>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</si>
  <si>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</si>
  <si>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</si>
  <si>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</si>
  <si>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</si>
  <si>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</si>
  <si>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</si>
  <si>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</si>
  <si>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</si>
  <si>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</si>
  <si>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</si>
  <si>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</si>
  <si>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</si>
  <si>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</si>
  <si>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</si>
  <si>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</si>
  <si>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</si>
  <si>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</si>
  <si>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</si>
  <si>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</si>
  <si>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</si>
  <si>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</si>
  <si>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</si>
  <si>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</si>
  <si>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</si>
  <si>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</si>
  <si>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</si>
  <si>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</si>
  <si>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</si>
  <si>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</si>
  <si>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</si>
  <si>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</si>
  <si>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</si>
  <si>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</si>
  <si>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</si>
  <si>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</si>
  <si>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</si>
  <si>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</si>
  <si>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</si>
  <si>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</si>
  <si>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</si>
  <si>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</si>
  <si>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</si>
  <si>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</si>
  <si>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</si>
  <si>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</si>
  <si>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</si>
  <si>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</si>
  <si>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</si>
  <si>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</si>
  <si>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</si>
  <si>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</si>
  <si>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</si>
  <si>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</si>
  <si>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</si>
  <si>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</si>
  <si>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</si>
  <si>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</si>
  <si>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</si>
  <si>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</si>
  <si>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</si>
  <si>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</si>
  <si>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</si>
  <si>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</si>
  <si>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</si>
  <si>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</si>
  <si>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</si>
  <si>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</si>
  <si>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</si>
  <si>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</si>
  <si>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</si>
  <si>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</si>
  <si>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</si>
  <si>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</si>
  <si>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</si>
  <si>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</si>
  <si>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</si>
  <si>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</si>
  <si>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</si>
  <si>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</si>
  <si>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</si>
  <si>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</si>
  <si>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</si>
  <si>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</si>
  <si>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</si>
  <si>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</si>
  <si>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</si>
  <si>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</si>
  <si>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</si>
  <si>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</si>
  <si>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</si>
  <si>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</si>
  <si>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</si>
  <si>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</si>
  <si>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</si>
  <si>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</si>
  <si>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</si>
  <si>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</si>
  <si>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</si>
  <si>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</si>
  <si>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</si>
  <si>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</si>
  <si>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</si>
  <si>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</si>
  <si>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</si>
  <si>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</si>
  <si>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</si>
  <si>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</si>
  <si>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</si>
  <si>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</si>
  <si>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</si>
  <si>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</si>
  <si>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</si>
  <si>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</si>
  <si>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</si>
  <si>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</si>
  <si>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</si>
  <si>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</si>
  <si>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</si>
  <si>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</si>
  <si>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</si>
  <si>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</si>
  <si>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</si>
  <si>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</si>
  <si>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</si>
  <si>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</si>
  <si>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</si>
  <si>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</si>
  <si>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</si>
  <si>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</si>
  <si>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</si>
  <si>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</si>
  <si>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</si>
  <si>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</si>
  <si>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</si>
  <si>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</si>
  <si>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</si>
  <si>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</si>
  <si>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</si>
  <si>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</si>
  <si>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</si>
  <si>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</si>
  <si>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</si>
  <si>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</si>
  <si>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</si>
  <si>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</si>
  <si>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</si>
  <si>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</si>
  <si>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</si>
  <si>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</si>
  <si>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</si>
  <si>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</si>
  <si>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</si>
  <si>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</si>
  <si>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</si>
  <si>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</si>
  <si>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</si>
  <si>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</si>
  <si>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</si>
  <si>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</si>
  <si>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</si>
  <si>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</si>
  <si>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</si>
  <si>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</si>
  <si>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</si>
  <si>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</si>
  <si>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</si>
  <si>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</si>
  <si>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</si>
  <si>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</si>
  <si>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</si>
  <si>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</si>
  <si>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</si>
  <si>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</si>
  <si>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</si>
  <si>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</si>
  <si>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</si>
  <si>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</si>
  <si>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</si>
  <si>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</si>
  <si>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</si>
  <si>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</si>
  <si>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</si>
  <si>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</si>
  <si>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</si>
  <si>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</si>
  <si>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</si>
  <si>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</si>
  <si>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</si>
  <si>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</si>
  <si>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</si>
  <si>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</si>
  <si>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</si>
  <si>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</si>
  <si>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</si>
  <si>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</si>
  <si>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</si>
  <si>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</si>
  <si>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</si>
  <si>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</si>
  <si>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</si>
  <si>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</si>
  <si>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</si>
  <si>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</si>
  <si>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</si>
  <si>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</si>
  <si>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</si>
  <si>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</si>
  <si>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</si>
  <si>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</si>
  <si>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</si>
  <si>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</si>
  <si>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</si>
  <si>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</si>
  <si>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</si>
  <si>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</si>
  <si>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</si>
  <si>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</si>
  <si>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</si>
  <si>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</si>
  <si>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</si>
  <si>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</si>
  <si>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</si>
  <si>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</si>
  <si>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</si>
  <si>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</si>
  <si>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</si>
  <si>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</si>
  <si>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</si>
  <si>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</si>
  <si>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</si>
  <si>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</si>
  <si>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</si>
  <si>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</si>
  <si>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</si>
  <si>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</si>
  <si>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</si>
  <si>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</si>
  <si>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</si>
  <si>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</si>
  <si>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</si>
  <si>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</si>
  <si>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</si>
  <si>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</si>
  <si>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</si>
  <si>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</si>
  <si>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</si>
  <si>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</si>
  <si>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</si>
  <si>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</si>
  <si>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</si>
  <si>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</si>
  <si>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</si>
  <si>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</si>
  <si>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</si>
  <si>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</si>
  <si>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</si>
  <si>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</si>
  <si>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</si>
  <si>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</si>
  <si>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</si>
  <si>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</si>
  <si>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</si>
  <si>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</si>
  <si>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</si>
  <si>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</si>
  <si>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</si>
  <si>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</si>
  <si>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</si>
  <si>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</si>
  <si>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</si>
  <si>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</si>
  <si>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</si>
  <si>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</si>
  <si>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</si>
  <si>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</si>
  <si>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</si>
  <si>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</si>
  <si>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</si>
  <si>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</si>
  <si>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</si>
  <si>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</si>
  <si>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</si>
  <si>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</si>
  <si>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</si>
  <si>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</si>
  <si>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</si>
  <si>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</si>
  <si>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</si>
  <si>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</si>
  <si>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</si>
  <si>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</si>
  <si>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</si>
  <si>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</si>
  <si>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</si>
  <si>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</si>
  <si>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</si>
  <si>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</si>
  <si>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</si>
  <si>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</si>
  <si>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</si>
  <si>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</si>
  <si>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</si>
  <si>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</si>
  <si>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</si>
  <si>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</si>
  <si>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</si>
  <si>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</si>
  <si>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</si>
  <si>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</si>
  <si>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</si>
  <si>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</si>
  <si>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</si>
  <si>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</si>
  <si>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</si>
  <si>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</si>
  <si>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</si>
  <si>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</si>
  <si>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</si>
  <si>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</si>
  <si>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</si>
  <si>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</si>
  <si>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</si>
  <si>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</si>
  <si>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</si>
  <si>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</si>
  <si>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</si>
  <si>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</si>
  <si>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</si>
  <si>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</si>
  <si>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</si>
  <si>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</si>
  <si>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</si>
  <si>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</si>
  <si>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</si>
  <si>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</si>
  <si>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</si>
  <si>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</si>
  <si>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</si>
  <si>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</si>
  <si>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</si>
  <si>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</si>
  <si>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</si>
  <si>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</si>
  <si>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</si>
  <si>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</si>
  <si>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</si>
  <si>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</si>
  <si>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</si>
  <si>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</si>
  <si>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</si>
  <si>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</si>
  <si>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</si>
  <si>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</si>
  <si>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</si>
  <si>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</si>
  <si>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</si>
  <si>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</si>
  <si>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</si>
  <si>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</si>
  <si>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</si>
  <si>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</si>
  <si>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</si>
  <si>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PEMASANGAN TRAFO</t>
  </si>
  <si>
    <t>PEMASANGAN APP</t>
  </si>
  <si>
    <t>Pemasangan APP 3 Fasa Di Bangunan</t>
  </si>
  <si>
    <t>II</t>
  </si>
  <si>
    <t>PEMASANGAN TIANG</t>
  </si>
  <si>
    <t>PEMASANGAN KONSTRUKSI</t>
  </si>
  <si>
    <t>-6.919322834449391, 110.55250849957189</t>
  </si>
  <si>
    <t>SPV. RENSIS</t>
  </si>
  <si>
    <t>MB PERENCANAAN</t>
  </si>
  <si>
    <t>MANAGER</t>
  </si>
  <si>
    <t>III</t>
  </si>
  <si>
    <t>IV</t>
  </si>
  <si>
    <t>KOORDINAT :' -7.012330, 110.758462</t>
  </si>
  <si>
    <t>Daya 53.000 VA</t>
  </si>
  <si>
    <t>JL MERAK DEMPET DS MERAK  RT 1 RW 1, MERAK, DEMPET</t>
  </si>
  <si>
    <t>S2</t>
  </si>
  <si>
    <t>YAYSAN AL MADINA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</si>
</sst>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  <font>
      <sz val="10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4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8" fillId="0" borderId="0"/>
    <xf numFmtId="165" fontId="23" fillId="0" borderId="0" applyFont="0" applyFill="0" applyBorder="0" applyAlignment="0" applyProtection="0"/>
    <xf numFmtId="0" fontId="8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3"/>
    <xf numFmtId="0" fontId="90" fillId="0" borderId="94"/>
    <xf numFmtId="166" fontId="23" fillId="0" borderId="0" applyFont="0" applyFill="0" applyBorder="0" applyAlignment="0" applyProtection="0"/>
    <xf numFmtId="0" fontId="38" fillId="20" borderId="99" applyNumberFormat="0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8" fillId="21" borderId="95" applyNumberFormat="0" applyAlignment="0" applyProtection="0"/>
    <xf numFmtId="0" fontId="34" fillId="7" borderId="103" applyNumberFormat="0" applyAlignment="0" applyProtection="0"/>
    <xf numFmtId="0" fontId="40" fillId="0" borderId="100" applyNumberFormat="0" applyFill="0" applyAlignment="0" applyProtection="0"/>
    <xf numFmtId="0" fontId="7" fillId="0" borderId="0"/>
    <xf numFmtId="0" fontId="7" fillId="0" borderId="0"/>
    <xf numFmtId="0" fontId="89" fillId="0" borderId="102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40" fillId="0" borderId="106" applyNumberFormat="0" applyFill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7" fillId="0" borderId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166" fontId="7" fillId="0" borderId="0" applyFont="0" applyFill="0" applyBorder="0" applyAlignment="0" applyProtection="0"/>
    <xf numFmtId="0" fontId="80" fillId="23" borderId="101"/>
    <xf numFmtId="0" fontId="80" fillId="0" borderId="101"/>
    <xf numFmtId="0" fontId="80" fillId="0" borderId="96"/>
    <xf numFmtId="0" fontId="80" fillId="0" borderId="96"/>
    <xf numFmtId="0" fontId="75" fillId="0" borderId="101"/>
    <xf numFmtId="0" fontId="75" fillId="0" borderId="101"/>
    <xf numFmtId="0" fontId="75" fillId="0" borderId="107"/>
    <xf numFmtId="0" fontId="75" fillId="0" borderId="107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7" fillId="0" borderId="0"/>
    <xf numFmtId="0" fontId="7" fillId="0" borderId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17" fillId="27" borderId="104" applyNumberFormat="0" applyFont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38" fillId="20" borderId="99" applyNumberFormat="0" applyAlignment="0" applyProtection="0"/>
    <xf numFmtId="0" fontId="23" fillId="27" borderId="98" applyNumberFormat="0" applyFont="0" applyAlignment="0" applyProtection="0"/>
    <xf numFmtId="0" fontId="34" fillId="7" borderId="97" applyNumberFormat="0" applyAlignment="0" applyProtection="0"/>
    <xf numFmtId="0" fontId="27" fillId="20" borderId="97" applyNumberForma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34" fillId="7" borderId="103" applyNumberFormat="0" applyAlignment="0" applyProtection="0"/>
    <xf numFmtId="0" fontId="27" fillId="20" borderId="103" applyNumberFormat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89" fillId="0" borderId="108"/>
    <xf numFmtId="0" fontId="34" fillId="7" borderId="103" applyNumberFormat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2" fontId="17" fillId="0" borderId="0" applyFont="0" applyFill="0" applyBorder="0" applyAlignment="0" applyProtection="0"/>
    <xf numFmtId="0" fontId="75" fillId="0" borderId="107"/>
    <xf numFmtId="0" fontId="75" fillId="0" borderId="107"/>
    <xf numFmtId="0" fontId="80" fillId="0" borderId="96"/>
    <xf numFmtId="0" fontId="80" fillId="0" borderId="96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9" fontId="23" fillId="0" borderId="0" applyFont="0" applyFill="0" applyBorder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09"/>
    <xf numFmtId="0" fontId="89" fillId="0" borderId="109"/>
    <xf numFmtId="0" fontId="90" fillId="0" borderId="110"/>
    <xf numFmtId="0" fontId="90" fillId="0" borderId="11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113" fillId="0" borderId="0"/>
    <xf numFmtId="166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75" fillId="0" borderId="136"/>
    <xf numFmtId="0" fontId="34" fillId="7" borderId="10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17" fillId="27" borderId="121" applyNumberFormat="0" applyFont="0" applyAlignment="0" applyProtection="0"/>
    <xf numFmtId="0" fontId="5" fillId="0" borderId="0"/>
    <xf numFmtId="0" fontId="34" fillId="7" borderId="113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27" fillId="20" borderId="132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5" fillId="0" borderId="0"/>
    <xf numFmtId="193" fontId="44" fillId="28" borderId="121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3" fillId="0" borderId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7" fillId="20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23" fillId="27" borderId="121" applyNumberFormat="0" applyFont="0" applyAlignment="0" applyProtection="0"/>
    <xf numFmtId="0" fontId="38" fillId="20" borderId="122" applyNumberFormat="0" applyAlignment="0" applyProtection="0"/>
    <xf numFmtId="0" fontId="89" fillId="0" borderId="119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166" fontId="23" fillId="0" borderId="0" applyFont="0" applyFill="0" applyBorder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80" fillId="23" borderId="130"/>
    <xf numFmtId="0" fontId="80" fillId="0" borderId="130"/>
    <xf numFmtId="0" fontId="75" fillId="0" borderId="130"/>
    <xf numFmtId="0" fontId="75" fillId="0" borderId="130"/>
    <xf numFmtId="166" fontId="5" fillId="0" borderId="0" applyFont="0" applyFill="0" applyBorder="0" applyAlignment="0" applyProtection="0"/>
    <xf numFmtId="0" fontId="75" fillId="0" borderId="136"/>
    <xf numFmtId="0" fontId="75" fillId="0" borderId="124"/>
    <xf numFmtId="0" fontId="75" fillId="0" borderId="124"/>
    <xf numFmtId="0" fontId="80" fillId="0" borderId="136"/>
    <xf numFmtId="0" fontId="80" fillId="23" borderId="136"/>
    <xf numFmtId="0" fontId="80" fillId="0" borderId="124"/>
    <xf numFmtId="0" fontId="75" fillId="0" borderId="114"/>
    <xf numFmtId="0" fontId="75" fillId="0" borderId="114"/>
    <xf numFmtId="0" fontId="75" fillId="0" borderId="114"/>
    <xf numFmtId="0" fontId="75" fillId="0" borderId="114"/>
    <xf numFmtId="0" fontId="80" fillId="23" borderId="124"/>
    <xf numFmtId="0" fontId="80" fillId="0" borderId="114"/>
    <xf numFmtId="0" fontId="80" fillId="0" borderId="114"/>
    <xf numFmtId="0" fontId="80" fillId="23" borderId="114"/>
    <xf numFmtId="0" fontId="80" fillId="23" borderId="114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34" fillId="7" borderId="113" applyNumberFormat="0" applyAlignment="0" applyProtection="0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32" applyNumberFormat="0" applyAlignment="0" applyProtection="0"/>
    <xf numFmtId="0" fontId="89" fillId="0" borderId="111"/>
    <xf numFmtId="0" fontId="90" fillId="0" borderId="112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13" applyNumberFormat="0" applyAlignment="0" applyProtection="0"/>
    <xf numFmtId="0" fontId="23" fillId="27" borderId="133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0" borderId="0"/>
    <xf numFmtId="193" fontId="44" fillId="28" borderId="121" applyAlignment="0" applyProtection="0"/>
    <xf numFmtId="0" fontId="23" fillId="0" borderId="0"/>
    <xf numFmtId="0" fontId="34" fillId="7" borderId="132" applyNumberFormat="0" applyAlignment="0" applyProtection="0"/>
    <xf numFmtId="0" fontId="34" fillId="7" borderId="132" applyNumberForma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5" fillId="0" borderId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5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38" fillId="20" borderId="128" applyNumberFormat="0" applyAlignment="0" applyProtection="0"/>
    <xf numFmtId="0" fontId="23" fillId="27" borderId="127" applyNumberFormat="0" applyFont="0" applyAlignment="0" applyProtection="0"/>
    <xf numFmtId="0" fontId="89" fillId="0" borderId="125"/>
    <xf numFmtId="0" fontId="5" fillId="0" borderId="0"/>
    <xf numFmtId="0" fontId="27" fillId="20" borderId="12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89" fillId="0" borderId="118"/>
    <xf numFmtId="0" fontId="89" fillId="0" borderId="118"/>
    <xf numFmtId="0" fontId="17" fillId="27" borderId="133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0" fontId="34" fillId="7" borderId="120" applyNumberFormat="0" applyAlignment="0" applyProtection="0"/>
    <xf numFmtId="0" fontId="40" fillId="0" borderId="123" applyNumberFormat="0" applyFill="0" applyAlignment="0" applyProtection="0"/>
    <xf numFmtId="0" fontId="27" fillId="20" borderId="132" applyNumberFormat="0" applyAlignment="0" applyProtection="0"/>
    <xf numFmtId="0" fontId="34" fillId="7" borderId="103" applyNumberFormat="0" applyAlignment="0" applyProtection="0"/>
    <xf numFmtId="0" fontId="89" fillId="0" borderId="111"/>
    <xf numFmtId="0" fontId="23" fillId="27" borderId="133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38" fillId="20" borderId="122" applyNumberFormat="0" applyAlignment="0" applyProtection="0"/>
    <xf numFmtId="0" fontId="23" fillId="27" borderId="133" applyNumberFormat="0" applyFont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29" applyNumberFormat="0" applyFill="0" applyAlignment="0" applyProtection="0"/>
    <xf numFmtId="0" fontId="34" fillId="7" borderId="126" applyNumberFormat="0" applyAlignment="0" applyProtection="0"/>
    <xf numFmtId="0" fontId="40" fillId="0" borderId="123" applyNumberFormat="0" applyFill="0" applyAlignment="0" applyProtection="0"/>
    <xf numFmtId="0" fontId="17" fillId="27" borderId="13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5" fillId="0" borderId="0"/>
    <xf numFmtId="0" fontId="40" fillId="0" borderId="123" applyNumberFormat="0" applyFill="0" applyAlignment="0" applyProtection="0"/>
    <xf numFmtId="166" fontId="12" fillId="0" borderId="0" applyFont="0" applyFill="0" applyBorder="0" applyAlignment="0" applyProtection="0"/>
    <xf numFmtId="0" fontId="5" fillId="0" borderId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40" fillId="0" borderId="135" applyNumberFormat="0" applyFill="0" applyAlignment="0" applyProtection="0"/>
    <xf numFmtId="0" fontId="38" fillId="20" borderId="134" applyNumberFormat="0" applyAlignment="0" applyProtection="0"/>
    <xf numFmtId="0" fontId="23" fillId="27" borderId="133" applyNumberFormat="0" applyFont="0" applyAlignment="0" applyProtection="0"/>
    <xf numFmtId="0" fontId="89" fillId="0" borderId="131"/>
    <xf numFmtId="0" fontId="34" fillId="7" borderId="132" applyNumberFormat="0" applyAlignment="0" applyProtection="0"/>
    <xf numFmtId="0" fontId="27" fillId="20" borderId="132" applyNumberFormat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27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89" fillId="0" borderId="137"/>
    <xf numFmtId="0" fontId="34" fillId="7" borderId="132" applyNumberFormat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23" fillId="0" borderId="0"/>
    <xf numFmtId="0" fontId="178" fillId="0" borderId="0"/>
  </cellStyleXfs>
  <cellXfs count="695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48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7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0" xfId="2670" applyFont="1" applyFill="1" applyBorder="1" applyAlignment="1">
      <alignment horizontal="left" vertical="center"/>
    </xf>
    <xf numFmtId="0" fontId="161" fillId="39" borderId="76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83" xfId="2670" applyFont="1" applyFill="1" applyBorder="1" applyAlignment="1">
      <alignment horizontal="center" vertical="center"/>
    </xf>
    <xf numFmtId="43" fontId="142" fillId="40" borderId="79" xfId="2672" applyFont="1" applyFill="1" applyBorder="1" applyAlignment="1" applyProtection="1">
      <alignment horizontal="right" vertical="center" wrapText="1"/>
      <protection locked="0"/>
    </xf>
    <xf numFmtId="43" fontId="142" fillId="40" borderId="81" xfId="2672" applyFont="1" applyFill="1" applyBorder="1" applyAlignment="1" applyProtection="1">
      <alignment horizontal="right" vertical="center"/>
      <protection locked="0"/>
    </xf>
    <xf numFmtId="168" fontId="142" fillId="40" borderId="81" xfId="2672" applyNumberFormat="1" applyFont="1" applyFill="1" applyBorder="1" applyAlignment="1" applyProtection="1">
      <alignment horizontal="right" vertical="center"/>
      <protection locked="0"/>
    </xf>
    <xf numFmtId="168" fontId="142" fillId="40" borderId="84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49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0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88" xfId="2673" applyFont="1" applyFill="1" applyBorder="1" applyAlignment="1">
      <alignment vertical="center" wrapText="1"/>
    </xf>
    <xf numFmtId="0" fontId="148" fillId="43" borderId="88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7" fillId="0" borderId="56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2" xfId="2673" applyFont="1" applyFill="1" applyBorder="1" applyAlignment="1">
      <alignment vertical="center" wrapText="1"/>
    </xf>
    <xf numFmtId="0" fontId="108" fillId="0" borderId="62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4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45" fillId="0" borderId="20" xfId="1615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53" fillId="0" borderId="20" xfId="1652" applyFont="1" applyBorder="1" applyAlignment="1">
      <alignment horizontal="center" vertical="center"/>
    </xf>
    <xf numFmtId="0" fontId="117" fillId="0" borderId="0" xfId="2677" applyFont="1" applyAlignment="1">
      <alignment horizontal="center"/>
    </xf>
    <xf numFmtId="0" fontId="117" fillId="0" borderId="26" xfId="2677" applyFont="1" applyBorder="1" applyAlignment="1">
      <alignment horizontal="center"/>
    </xf>
    <xf numFmtId="0" fontId="117" fillId="0" borderId="36" xfId="2677" applyFont="1" applyBorder="1" applyAlignment="1">
      <alignment horizontal="center"/>
    </xf>
    <xf numFmtId="0" fontId="117" fillId="0" borderId="28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7" fillId="0" borderId="37" xfId="2677" applyFont="1" applyBorder="1" applyAlignment="1">
      <alignment horizontal="center"/>
    </xf>
    <xf numFmtId="0" fontId="176" fillId="0" borderId="0" xfId="2677" quotePrefix="1" applyFont="1" applyAlignment="1">
      <alignment horizontal="left" vertical="center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0" fontId="117" fillId="0" borderId="0" xfId="2677" applyFont="1" applyAlignment="1">
      <alignment horizontal="left"/>
    </xf>
    <xf numFmtId="0" fontId="119" fillId="0" borderId="28" xfId="2677" applyFont="1" applyBorder="1" applyAlignment="1">
      <alignment horizontal="center"/>
    </xf>
    <xf numFmtId="0" fontId="119" fillId="0" borderId="0" xfId="2677" applyFont="1" applyAlignment="1">
      <alignment horizontal="center"/>
    </xf>
    <xf numFmtId="0" fontId="117" fillId="0" borderId="138" xfId="2677" applyFont="1" applyBorder="1" applyAlignment="1">
      <alignment horizontal="center"/>
    </xf>
    <xf numFmtId="0" fontId="94" fillId="0" borderId="40" xfId="2677" applyFont="1" applyBorder="1" applyAlignment="1">
      <alignment horizontal="center" vertical="center"/>
    </xf>
    <xf numFmtId="0" fontId="94" fillId="0" borderId="47" xfId="2677" applyFont="1" applyBorder="1" applyAlignment="1">
      <alignment horizontal="center" vertical="center"/>
    </xf>
    <xf numFmtId="0" fontId="117" fillId="0" borderId="3" xfId="2677" applyFont="1" applyBorder="1" applyAlignment="1">
      <alignment horizontal="center" vertical="center"/>
    </xf>
    <xf numFmtId="0" fontId="117" fillId="0" borderId="39" xfId="2677" applyFont="1" applyBorder="1" applyAlignment="1">
      <alignment horizontal="center" vertical="center"/>
    </xf>
    <xf numFmtId="0" fontId="120" fillId="0" borderId="0" xfId="2677" applyFont="1" applyAlignment="1">
      <alignment horizontal="center"/>
    </xf>
    <xf numFmtId="0" fontId="94" fillId="0" borderId="144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17" fillId="0" borderId="3" xfId="2677" applyFont="1" applyBorder="1" applyAlignment="1">
      <alignment vertical="top" wrapText="1"/>
    </xf>
    <xf numFmtId="0" fontId="117" fillId="0" borderId="39" xfId="2677" applyFont="1" applyBorder="1" applyAlignment="1">
      <alignment vertical="top" wrapText="1"/>
    </xf>
    <xf numFmtId="0" fontId="121" fillId="0" borderId="66" xfId="2677" applyFont="1" applyBorder="1" applyAlignment="1">
      <alignment horizontal="center" vertical="center"/>
    </xf>
    <xf numFmtId="0" fontId="121" fillId="0" borderId="67" xfId="2677" applyFont="1" applyBorder="1" applyAlignment="1">
      <alignment horizontal="center" vertical="center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122" fillId="0" borderId="68" xfId="2677" applyFont="1" applyBorder="1" applyAlignment="1">
      <alignment horizontal="center" vertical="top" wrapText="1"/>
    </xf>
    <xf numFmtId="0" fontId="122" fillId="0" borderId="69" xfId="2677" applyFont="1" applyBorder="1" applyAlignment="1">
      <alignment horizontal="center" vertical="top" wrapText="1"/>
    </xf>
    <xf numFmtId="0" fontId="117" fillId="0" borderId="0" xfId="2677" applyFont="1" applyAlignment="1">
      <alignment vertical="top" wrapText="1"/>
    </xf>
    <xf numFmtId="0" fontId="117" fillId="0" borderId="37" xfId="2677" applyFont="1" applyBorder="1" applyAlignment="1">
      <alignment vertical="top" wrapText="1"/>
    </xf>
    <xf numFmtId="0" fontId="117" fillId="0" borderId="42" xfId="2677" applyFont="1" applyBorder="1" applyAlignment="1">
      <alignment horizontal="center"/>
    </xf>
    <xf numFmtId="0" fontId="117" fillId="0" borderId="43" xfId="2677" applyFont="1" applyBorder="1" applyAlignment="1">
      <alignment vertical="top" wrapText="1"/>
    </xf>
    <xf numFmtId="0" fontId="117" fillId="0" borderId="44" xfId="2677" applyFont="1" applyBorder="1" applyAlignment="1">
      <alignment vertical="top" wrapText="1"/>
    </xf>
    <xf numFmtId="0" fontId="117" fillId="0" borderId="45" xfId="2677" applyFont="1" applyBorder="1" applyAlignment="1">
      <alignment vertical="top" wrapText="1"/>
    </xf>
    <xf numFmtId="0" fontId="122" fillId="0" borderId="28" xfId="2677" applyFont="1" applyBorder="1" applyAlignment="1">
      <alignment horizontal="center"/>
    </xf>
    <xf numFmtId="0" fontId="122" fillId="0" borderId="0" xfId="2677" applyFont="1" applyAlignment="1">
      <alignment horizontal="center"/>
    </xf>
    <xf numFmtId="20" fontId="117" fillId="0" borderId="39" xfId="2677" applyNumberFormat="1" applyFont="1" applyBorder="1" applyAlignment="1">
      <alignment horizontal="center"/>
    </xf>
    <xf numFmtId="0" fontId="117" fillId="0" borderId="42" xfId="2677" applyFont="1" applyBorder="1" applyAlignment="1">
      <alignment horizontal="center" vertical="center" wrapText="1"/>
    </xf>
    <xf numFmtId="0" fontId="122" fillId="0" borderId="34" xfId="2677" applyFont="1" applyBorder="1" applyAlignment="1">
      <alignment horizontal="center"/>
    </xf>
    <xf numFmtId="0" fontId="122" fillId="0" borderId="19" xfId="2677" applyFont="1" applyBorder="1" applyAlignment="1">
      <alignment horizontal="center"/>
    </xf>
    <xf numFmtId="0" fontId="117" fillId="0" borderId="19" xfId="2677" applyFont="1" applyBorder="1" applyAlignment="1">
      <alignment horizontal="center"/>
    </xf>
    <xf numFmtId="0" fontId="117" fillId="0" borderId="46" xfId="2677" applyFont="1" applyBorder="1" applyAlignment="1">
      <alignment horizontal="center"/>
    </xf>
    <xf numFmtId="0" fontId="23" fillId="0" borderId="21" xfId="145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0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1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6" xfId="2673" applyFont="1" applyFill="1" applyBorder="1" applyAlignment="1">
      <alignment horizontal="center" vertical="center" wrapText="1"/>
    </xf>
    <xf numFmtId="2" fontId="137" fillId="35" borderId="60" xfId="2673" applyNumberFormat="1" applyFont="1" applyFill="1" applyBorder="1" applyAlignment="1">
      <alignment horizontal="center" vertical="center" wrapText="1"/>
    </xf>
    <xf numFmtId="2" fontId="137" fillId="35" borderId="89" xfId="2673" applyNumberFormat="1" applyFont="1" applyFill="1" applyBorder="1" applyAlignment="1">
      <alignment horizontal="center" vertical="center" wrapText="1"/>
    </xf>
    <xf numFmtId="0" fontId="165" fillId="41" borderId="85" xfId="2673" applyFont="1" applyFill="1" applyBorder="1" applyAlignment="1">
      <alignment horizontal="center" vertical="center" wrapText="1"/>
    </xf>
    <xf numFmtId="0" fontId="165" fillId="41" borderId="86" xfId="2673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6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6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7" fillId="0" borderId="62" xfId="2675" applyFont="1" applyFill="1" applyBorder="1" applyAlignment="1">
      <alignment horizontal="center" vertical="center" wrapText="1"/>
    </xf>
    <xf numFmtId="9" fontId="137" fillId="0" borderId="63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2" xfId="2675" applyFont="1" applyFill="1" applyBorder="1" applyAlignment="1">
      <alignment horizontal="center" vertical="center" wrapText="1"/>
    </xf>
    <xf numFmtId="9" fontId="137" fillId="35" borderId="63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6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5" fillId="42" borderId="85" xfId="2673" applyFont="1" applyFill="1" applyBorder="1" applyAlignment="1">
      <alignment horizontal="center" vertical="center" wrapText="1"/>
    </xf>
    <xf numFmtId="0" fontId="165" fillId="42" borderId="86" xfId="2673" applyFont="1" applyFill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6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6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6" xfId="2673" applyFont="1" applyFill="1" applyBorder="1" applyAlignment="1">
      <alignment horizontal="center" vertical="center" wrapText="1"/>
    </xf>
    <xf numFmtId="2" fontId="137" fillId="43" borderId="60" xfId="2673" applyNumberFormat="1" applyFont="1" applyFill="1" applyBorder="1" applyAlignment="1">
      <alignment horizontal="center" vertical="center" wrapText="1"/>
    </xf>
    <xf numFmtId="2" fontId="137" fillId="43" borderId="89" xfId="2673" applyNumberFormat="1" applyFont="1" applyFill="1" applyBorder="1" applyAlignment="1">
      <alignment horizontal="center" vertical="center" wrapText="1"/>
    </xf>
    <xf numFmtId="0" fontId="11" fillId="34" borderId="74" xfId="2670" applyFill="1" applyBorder="1" applyAlignment="1">
      <alignment horizontal="center" vertical="center"/>
    </xf>
    <xf numFmtId="0" fontId="140" fillId="0" borderId="75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17" fillId="0" borderId="60" xfId="2677" applyFont="1" applyBorder="1" applyAlignment="1">
      <alignment horizontal="center"/>
    </xf>
    <xf numFmtId="0" fontId="117" fillId="0" borderId="61" xfId="2677" applyFont="1" applyBorder="1" applyAlignment="1">
      <alignment horizontal="center"/>
    </xf>
    <xf numFmtId="0" fontId="117" fillId="0" borderId="62" xfId="2677" applyFont="1" applyBorder="1" applyAlignment="1">
      <alignment horizontal="center"/>
    </xf>
    <xf numFmtId="0" fontId="117" fillId="0" borderId="63" xfId="2677" applyFont="1" applyBorder="1" applyAlignment="1">
      <alignment horizontal="center"/>
    </xf>
    <xf numFmtId="0" fontId="117" fillId="0" borderId="7" xfId="2677" applyFont="1" applyBorder="1" applyAlignment="1">
      <alignment horizontal="center"/>
    </xf>
    <xf numFmtId="0" fontId="117" fillId="0" borderId="41" xfId="2677" applyFont="1" applyBorder="1" applyAlignment="1">
      <alignment horizontal="center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15" fontId="117" fillId="0" borderId="3" xfId="2677" applyNumberFormat="1" applyFont="1" applyBorder="1" applyAlignment="1">
      <alignment horizontal="center"/>
    </xf>
    <xf numFmtId="0" fontId="117" fillId="0" borderId="139" xfId="2677" applyFont="1" applyBorder="1" applyAlignment="1">
      <alignment horizontal="center" vertical="center"/>
    </xf>
    <xf numFmtId="0" fontId="117" fillId="0" borderId="140" xfId="2677" applyFont="1" applyBorder="1" applyAlignment="1">
      <alignment horizontal="center" vertical="center"/>
    </xf>
    <xf numFmtId="0" fontId="117" fillId="0" borderId="0" xfId="2677" applyFont="1" applyAlignment="1">
      <alignment horizontal="center" vertical="center" wrapText="1"/>
    </xf>
    <xf numFmtId="0" fontId="117" fillId="0" borderId="37" xfId="2677" applyFont="1" applyBorder="1" applyAlignment="1">
      <alignment horizontal="center" vertical="center" wrapText="1"/>
    </xf>
    <xf numFmtId="0" fontId="117" fillId="0" borderId="44" xfId="2677" applyFont="1" applyBorder="1" applyAlignment="1">
      <alignment horizontal="center" vertical="center" wrapText="1"/>
    </xf>
    <xf numFmtId="0" fontId="117" fillId="0" borderId="45" xfId="2677" applyFont="1" applyBorder="1" applyAlignment="1">
      <alignment horizontal="center" vertical="center" wrapText="1"/>
    </xf>
    <xf numFmtId="0" fontId="122" fillId="0" borderId="72" xfId="2677" applyFont="1" applyBorder="1" applyAlignment="1">
      <alignment horizontal="center" vertical="center" wrapText="1"/>
    </xf>
    <xf numFmtId="0" fontId="122" fillId="0" borderId="73" xfId="2677" applyFont="1" applyBorder="1" applyAlignment="1">
      <alignment horizontal="center" vertical="center" wrapText="1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118" fillId="0" borderId="18" xfId="2677" applyFont="1" applyBorder="1" applyAlignment="1">
      <alignment horizontal="left" vertical="top" wrapText="1"/>
    </xf>
    <xf numFmtId="0" fontId="118" fillId="0" borderId="0" xfId="2677" applyFont="1" applyAlignment="1">
      <alignment horizontal="left" vertical="top" wrapText="1"/>
    </xf>
    <xf numFmtId="0" fontId="122" fillId="0" borderId="70" xfId="2677" applyFont="1" applyBorder="1" applyAlignment="1">
      <alignment horizontal="center" vertical="center"/>
    </xf>
    <xf numFmtId="0" fontId="122" fillId="0" borderId="145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21" fillId="0" borderId="70" xfId="2677" applyFont="1" applyBorder="1" applyAlignment="1">
      <alignment horizontal="center" vertical="center"/>
    </xf>
    <xf numFmtId="0" fontId="121" fillId="0" borderId="71" xfId="2677" applyFont="1" applyBorder="1" applyAlignment="1">
      <alignment horizontal="center" vertical="center"/>
    </xf>
    <xf numFmtId="0" fontId="94" fillId="0" borderId="58" xfId="2677" applyFont="1" applyBorder="1" applyAlignment="1">
      <alignment horizontal="center" vertical="center"/>
    </xf>
    <xf numFmtId="0" fontId="94" fillId="0" borderId="141" xfId="2677" applyFont="1" applyBorder="1" applyAlignment="1">
      <alignment horizontal="center" vertical="center"/>
    </xf>
    <xf numFmtId="49" fontId="117" fillId="0" borderId="50" xfId="2677" applyNumberFormat="1" applyFont="1" applyBorder="1" applyAlignment="1">
      <alignment horizontal="center" vertical="center"/>
    </xf>
    <xf numFmtId="49" fontId="117" fillId="0" borderId="41" xfId="2677" applyNumberFormat="1" applyFont="1" applyBorder="1" applyAlignment="1">
      <alignment horizontal="center" vertical="center"/>
    </xf>
    <xf numFmtId="0" fontId="94" fillId="0" borderId="142" xfId="2677" applyFont="1" applyBorder="1" applyAlignment="1">
      <alignment horizontal="center" vertical="center"/>
    </xf>
    <xf numFmtId="0" fontId="94" fillId="0" borderId="143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center"/>
    </xf>
    <xf numFmtId="49" fontId="94" fillId="0" borderId="57" xfId="2677" applyNumberFormat="1" applyFont="1" applyBorder="1" applyAlignment="1">
      <alignment horizontal="center" vertical="center"/>
    </xf>
    <xf numFmtId="49" fontId="94" fillId="0" borderId="40" xfId="2677" applyNumberFormat="1" applyFont="1" applyBorder="1" applyAlignment="1">
      <alignment horizontal="center" vertical="center"/>
    </xf>
    <xf numFmtId="0" fontId="94" fillId="0" borderId="57" xfId="2677" applyFont="1" applyBorder="1" applyAlignment="1">
      <alignment horizontal="center" vertical="center"/>
    </xf>
    <xf numFmtId="0" fontId="94" fillId="0" borderId="40" xfId="2677" applyFont="1" applyBorder="1" applyAlignment="1">
      <alignment horizontal="center" vertical="center"/>
    </xf>
    <xf numFmtId="49" fontId="177" fillId="0" borderId="57" xfId="2677" applyNumberFormat="1" applyFont="1" applyBorder="1" applyAlignment="1">
      <alignment horizontal="left" vertical="center"/>
    </xf>
    <xf numFmtId="49" fontId="177" fillId="0" borderId="40" xfId="2677" applyNumberFormat="1" applyFont="1" applyBorder="1" applyAlignment="1">
      <alignment horizontal="left" vertical="center"/>
    </xf>
    <xf numFmtId="49" fontId="135" fillId="0" borderId="57" xfId="2677" applyNumberFormat="1" applyFont="1" applyBorder="1" applyAlignment="1">
      <alignment horizontal="center" vertical="center"/>
    </xf>
    <xf numFmtId="49" fontId="135" fillId="0" borderId="40" xfId="2677" applyNumberFormat="1" applyFont="1" applyBorder="1" applyAlignment="1">
      <alignment horizontal="center" vertical="center"/>
    </xf>
    <xf numFmtId="0" fontId="94" fillId="0" borderId="57" xfId="2677" applyFont="1" applyBorder="1" applyAlignment="1">
      <alignment horizontal="left" vertical="center"/>
    </xf>
    <xf numFmtId="0" fontId="94" fillId="0" borderId="40" xfId="2677" applyFont="1" applyBorder="1" applyAlignment="1">
      <alignment horizontal="left" vertical="center"/>
    </xf>
    <xf numFmtId="0" fontId="94" fillId="0" borderId="58" xfId="2677" applyFont="1" applyBorder="1" applyAlignment="1">
      <alignment horizontal="left" vertical="center"/>
    </xf>
    <xf numFmtId="0" fontId="94" fillId="0" borderId="141" xfId="2677" applyFont="1" applyBorder="1" applyAlignment="1">
      <alignment horizontal="left" vertical="center"/>
    </xf>
    <xf numFmtId="0" fontId="135" fillId="0" borderId="58" xfId="2677" applyFont="1" applyBorder="1" applyAlignment="1">
      <alignment horizontal="center" vertical="center"/>
    </xf>
    <xf numFmtId="0" fontId="135" fillId="0" borderId="59" xfId="2677" applyFont="1" applyBorder="1" applyAlignment="1">
      <alignment horizontal="center" vertical="center"/>
    </xf>
    <xf numFmtId="0" fontId="117" fillId="0" borderId="139" xfId="2677" applyFont="1" applyBorder="1" applyAlignment="1">
      <alignment horizontal="center"/>
    </xf>
    <xf numFmtId="0" fontId="117" fillId="0" borderId="140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8" fillId="0" borderId="0" xfId="2677" applyFont="1" applyAlignment="1">
      <alignment horizontal="left"/>
    </xf>
    <xf numFmtId="0" fontId="118" fillId="0" borderId="37" xfId="2677" applyFont="1" applyBorder="1" applyAlignment="1">
      <alignment horizontal="left"/>
    </xf>
    <xf numFmtId="0" fontId="134" fillId="0" borderId="50" xfId="2677" applyFont="1" applyBorder="1" applyAlignment="1">
      <alignment horizontal="center" vertical="center"/>
    </xf>
    <xf numFmtId="0" fontId="134" fillId="0" borderId="7" xfId="2677" applyFont="1" applyBorder="1" applyAlignment="1">
      <alignment horizontal="center" vertical="center"/>
    </xf>
    <xf numFmtId="0" fontId="134" fillId="0" borderId="41" xfId="2677" applyFont="1" applyBorder="1" applyAlignment="1">
      <alignment horizontal="center" vertical="center"/>
    </xf>
    <xf numFmtId="0" fontId="118" fillId="0" borderId="50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center"/>
    </xf>
    <xf numFmtId="0" fontId="118" fillId="0" borderId="56" xfId="2677" applyFont="1" applyBorder="1" applyAlignment="1">
      <alignment horizontal="center" vertical="center"/>
    </xf>
    <xf numFmtId="0" fontId="133" fillId="0" borderId="55" xfId="2677" applyFont="1" applyBorder="1" applyAlignment="1">
      <alignment horizontal="center" vertical="center"/>
    </xf>
    <xf numFmtId="0" fontId="133" fillId="0" borderId="36" xfId="2677" applyFont="1" applyBorder="1" applyAlignment="1">
      <alignment horizontal="center" vertical="center"/>
    </xf>
    <xf numFmtId="0" fontId="133" fillId="0" borderId="48" xfId="2677" applyFont="1" applyBorder="1" applyAlignment="1">
      <alignment horizontal="center" vertical="center"/>
    </xf>
    <xf numFmtId="0" fontId="133" fillId="0" borderId="43" xfId="2677" applyFont="1" applyBorder="1" applyAlignment="1">
      <alignment horizontal="center" vertical="center"/>
    </xf>
    <xf numFmtId="0" fontId="133" fillId="0" borderId="44" xfId="2677" applyFont="1" applyBorder="1" applyAlignment="1">
      <alignment horizontal="center" vertical="center"/>
    </xf>
    <xf numFmtId="0" fontId="133" fillId="0" borderId="45" xfId="2677" applyFont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7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7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61</xdr:row>
      <xdr:rowOff>81642</xdr:rowOff>
    </xdr:from>
    <xdr:to>
      <xdr:col>10</xdr:col>
      <xdr:colOff>1391926</xdr:colOff>
      <xdr:row>64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200025</xdr:colOff>
      <xdr:row>15</xdr:row>
      <xdr:rowOff>19050</xdr:rowOff>
    </xdr:from>
    <xdr:to>
      <xdr:col>11</xdr:col>
      <xdr:colOff>200025</xdr:colOff>
      <xdr:row>41</xdr:row>
      <xdr:rowOff>85725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V="1">
          <a:off x="4105275" y="2343150"/>
          <a:ext cx="0" cy="404812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166853</xdr:colOff>
      <xdr:row>18</xdr:row>
      <xdr:rowOff>59890</xdr:rowOff>
    </xdr:from>
    <xdr:to>
      <xdr:col>12</xdr:col>
      <xdr:colOff>318408</xdr:colOff>
      <xdr:row>19</xdr:row>
      <xdr:rowOff>43245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4453103" y="2841190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52096</xdr:colOff>
      <xdr:row>17</xdr:row>
      <xdr:rowOff>57978</xdr:rowOff>
    </xdr:from>
    <xdr:to>
      <xdr:col>18</xdr:col>
      <xdr:colOff>356152</xdr:colOff>
      <xdr:row>40</xdr:row>
      <xdr:rowOff>10767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51A0515-35C6-4269-98FF-DC2955BB8E65}"/>
            </a:ext>
          </a:extLst>
        </xdr:cNvPr>
        <xdr:cNvSpPr/>
      </xdr:nvSpPr>
      <xdr:spPr>
        <a:xfrm>
          <a:off x="4342487" y="2658717"/>
          <a:ext cx="2590056" cy="3414920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1">
              <a:solidFill>
                <a:schemeClr val="tx1"/>
              </a:solidFill>
            </a:rPr>
            <a:t>YAYASAN AL MADINA</a:t>
          </a:r>
        </a:p>
      </xdr:txBody>
    </xdr:sp>
    <xdr:clientData/>
  </xdr:twoCellAnchor>
  <xdr:twoCellAnchor>
    <xdr:from>
      <xdr:col>12</xdr:col>
      <xdr:colOff>219075</xdr:colOff>
      <xdr:row>16</xdr:row>
      <xdr:rowOff>8060</xdr:rowOff>
    </xdr:from>
    <xdr:to>
      <xdr:col>12</xdr:col>
      <xdr:colOff>219808</xdr:colOff>
      <xdr:row>40</xdr:row>
      <xdr:rowOff>104775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5021E8D-B83D-49EA-8F60-E91191F2A5B0}"/>
            </a:ext>
          </a:extLst>
        </xdr:cNvPr>
        <xdr:cNvCxnSpPr/>
      </xdr:nvCxnSpPr>
      <xdr:spPr>
        <a:xfrm flipH="1">
          <a:off x="4505325" y="2484560"/>
          <a:ext cx="733" cy="37733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153665</xdr:colOff>
      <xdr:row>24</xdr:row>
      <xdr:rowOff>62089</xdr:rowOff>
    </xdr:from>
    <xdr:to>
      <xdr:col>12</xdr:col>
      <xdr:colOff>305220</xdr:colOff>
      <xdr:row>25</xdr:row>
      <xdr:rowOff>45444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439915" y="3757789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169051</xdr:colOff>
      <xdr:row>34</xdr:row>
      <xdr:rowOff>45682</xdr:rowOff>
    </xdr:from>
    <xdr:to>
      <xdr:col>12</xdr:col>
      <xdr:colOff>320606</xdr:colOff>
      <xdr:row>35</xdr:row>
      <xdr:rowOff>36078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E88E4D0F-D662-4516-BA18-D1B262151D72}"/>
            </a:ext>
          </a:extLst>
        </xdr:cNvPr>
        <xdr:cNvGrpSpPr/>
      </xdr:nvGrpSpPr>
      <xdr:grpSpPr>
        <a:xfrm rot="21333083">
          <a:off x="4455301" y="5265382"/>
          <a:ext cx="151555" cy="1427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0EC04A06-7647-4CE0-9AE9-92E53BF8BE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55570D88-F30F-4CDF-870D-72D267682139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04C71D0-F57A-42E0-934D-CE5DEFA62BC2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173895</xdr:colOff>
      <xdr:row>33</xdr:row>
      <xdr:rowOff>68589</xdr:rowOff>
    </xdr:from>
    <xdr:to>
      <xdr:col>12</xdr:col>
      <xdr:colOff>325450</xdr:colOff>
      <xdr:row>34</xdr:row>
      <xdr:rowOff>51944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4460145" y="5135889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340663</xdr:colOff>
      <xdr:row>34</xdr:row>
      <xdr:rowOff>53092</xdr:rowOff>
    </xdr:from>
    <xdr:to>
      <xdr:col>12</xdr:col>
      <xdr:colOff>142543</xdr:colOff>
      <xdr:row>34</xdr:row>
      <xdr:rowOff>141219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4245913" y="5272792"/>
          <a:ext cx="182880" cy="88127"/>
          <a:chOff x="5810250" y="2026920"/>
          <a:chExt cx="182880" cy="91440"/>
        </a:xfrm>
        <a:solidFill>
          <a:schemeClr val="tx1"/>
        </a:solidFill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41232</xdr:colOff>
      <xdr:row>34</xdr:row>
      <xdr:rowOff>59255</xdr:rowOff>
    </xdr:from>
    <xdr:to>
      <xdr:col>13</xdr:col>
      <xdr:colOff>356289</xdr:colOff>
      <xdr:row>35</xdr:row>
      <xdr:rowOff>38864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4712623" y="5194472"/>
          <a:ext cx="315057" cy="128696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8</xdr:col>
      <xdr:colOff>347870</xdr:colOff>
      <xdr:row>31</xdr:row>
      <xdr:rowOff>149085</xdr:rowOff>
    </xdr:from>
    <xdr:to>
      <xdr:col>11</xdr:col>
      <xdr:colOff>66260</xdr:colOff>
      <xdr:row>37</xdr:row>
      <xdr:rowOff>99392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847BFD-B380-4DDC-B241-783556DCE52A}"/>
            </a:ext>
          </a:extLst>
        </xdr:cNvPr>
        <xdr:cNvSpPr txBox="1"/>
      </xdr:nvSpPr>
      <xdr:spPr>
        <a:xfrm>
          <a:off x="3114261" y="4837042"/>
          <a:ext cx="861390" cy="86139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C12-200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CC1-A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TRF 3P 50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APP 53 KVA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225137</xdr:colOff>
      <xdr:row>7</xdr:row>
      <xdr:rowOff>103909</xdr:rowOff>
    </xdr:from>
    <xdr:to>
      <xdr:col>18</xdr:col>
      <xdr:colOff>452270</xdr:colOff>
      <xdr:row>54</xdr:row>
      <xdr:rowOff>65960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BC9FD4-884E-6F10-7030-26F6DD5F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1864" y="1350818"/>
          <a:ext cx="8106906" cy="7287642"/>
        </a:xfrm>
        <a:prstGeom prst="rect">
          <a:avLst/>
        </a:prstGeom>
      </xdr:spPr>
    </xdr:pic>
    <xdr:clientData/>
  </xdr:twoCellAnchor>
  <xdr:twoCellAnchor>
    <xdr:from>
      <xdr:col>12</xdr:col>
      <xdr:colOff>380999</xdr:colOff>
      <xdr:row>19</xdr:row>
      <xdr:rowOff>0</xdr:rowOff>
    </xdr:from>
    <xdr:to>
      <xdr:col>14</xdr:col>
      <xdr:colOff>277090</xdr:colOff>
      <xdr:row>25</xdr:row>
      <xdr:rowOff>51954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6840681" y="3117273"/>
          <a:ext cx="1108364" cy="987136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ot.prasetyo\Downloads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  <sheetName val="HARGA SATUAN (2)"/>
    </sheetNames>
    <sheetDataSet>
      <sheetData sheetId="0"/>
      <sheetData sheetId="1">
        <row r="8">
          <cell r="C8" t="str">
            <v>PT. DIMENSI PUTRA KARYA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97" t="s">
        <v>1133</v>
      </c>
      <c r="C4" s="497"/>
      <c r="D4" s="497"/>
      <c r="E4" s="497"/>
      <c r="F4" s="497"/>
      <c r="G4" s="497"/>
      <c r="H4" s="49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98" t="s">
        <v>0</v>
      </c>
      <c r="C7" s="498" t="s">
        <v>1</v>
      </c>
      <c r="D7" s="499" t="s">
        <v>42</v>
      </c>
      <c r="E7" s="499" t="s">
        <v>43</v>
      </c>
      <c r="F7" s="499" t="s">
        <v>1134</v>
      </c>
      <c r="G7" s="500" t="s">
        <v>41</v>
      </c>
      <c r="H7" s="496" t="s">
        <v>1041</v>
      </c>
      <c r="I7" s="496" t="s">
        <v>1136</v>
      </c>
      <c r="J7" s="496" t="s">
        <v>1025</v>
      </c>
      <c r="K7" s="490" t="s">
        <v>1023</v>
      </c>
      <c r="L7" s="491"/>
    </row>
    <row r="8" spans="1:12" ht="15" customHeight="1">
      <c r="B8" s="498"/>
      <c r="C8" s="498"/>
      <c r="D8" s="499"/>
      <c r="E8" s="499"/>
      <c r="F8" s="499"/>
      <c r="G8" s="500"/>
      <c r="H8" s="496"/>
      <c r="I8" s="496"/>
      <c r="J8" s="496"/>
      <c r="K8" s="492"/>
      <c r="L8" s="493"/>
    </row>
    <row r="9" spans="1:12" ht="15" customHeight="1">
      <c r="B9" s="498"/>
      <c r="C9" s="498"/>
      <c r="D9" s="499"/>
      <c r="E9" s="499"/>
      <c r="F9" s="499"/>
      <c r="G9" s="500"/>
      <c r="H9" s="496"/>
      <c r="I9" s="496"/>
      <c r="J9" s="496"/>
      <c r="K9" s="494"/>
      <c r="L9" s="49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SUMIFS(RAB!$F$15:$F$45,RAB!$C$15:$C$45,C714)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SUMIFS(RAB!$F$15:$F$45,RAB!$C$15:$C$45,C715)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SUMIFS(RAB!$F$15:$F$45,RAB!$C$15:$C$45,C716)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SUMIFS(RAB!$F$15:$F$45,RAB!$C$15:$C$45,C717)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SUMIFS(RAB!$F$15:$F$45,RAB!$C$15:$C$45,C718)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SUMIFS(RAB!$F$15:$F$45,RAB!$C$15:$C$45,C719)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SUMIFS(RAB!$F$15:$F$45,RAB!$C$15:$C$45,C720)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SUMIFS(RAB!$F$15:$F$45,RAB!$C$15:$C$45,C721)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SUMIFS(RAB!$F$15:$F$45,RAB!$C$15:$C$45,C722)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SUMIFS(RAB!$F$15:$F$45,RAB!$C$15:$C$45,C723)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SUMIFS(RAB!$F$15:$F$45,RAB!$C$15:$C$45,C724)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SUMIFS(RAB!$F$15:$F$45,RAB!$C$15:$C$45,C725)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SUMIFS(RAB!$F$15:$F$45,RAB!$C$15:$C$45,C726)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SUMIFS(RAB!$F$15:$F$45,RAB!$C$15:$C$45,C727)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SUMIFS(RAB!$F$15:$F$45,RAB!$C$15:$C$45,C728)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SUMIFS(RAB!$F$15:$F$45,RAB!$C$15:$C$45,C729)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SUMIFS(RAB!$F$15:$F$45,RAB!$C$15:$C$45,C730)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SUMIFS(RAB!$F$15:$F$45,RAB!$C$15:$C$45,C731)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SUMIFS(RAB!$F$15:$F$45,RAB!$C$15:$C$45,C732)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SUMIFS(RAB!$F$15:$F$45,RAB!$C$15:$C$45,C733)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SUMIFS(RAB!$F$15:$F$45,RAB!$C$15:$C$45,C734)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SUMIFS(RAB!$F$15:$F$45,RAB!$C$15:$C$45,C735)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SUMIFS(RAB!$F$15:$F$45,RAB!$C$15:$C$45,C736)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SUMIFS(RAB!$F$15:$F$45,RAB!$C$15:$C$45,C737)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SUMIFS(RAB!$F$15:$F$45,RAB!$C$15:$C$45,C738)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SUMIFS(RAB!$F$15:$F$45,RAB!$C$15:$C$45,C739)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SUMIFS(RAB!$F$15:$F$45,RAB!$C$15:$C$45,C740)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SUMIFS(RAB!$F$15:$F$45,RAB!$C$15:$C$45,C741)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SUMIFS(RAB!$F$15:$F$45,RAB!$C$15:$C$45,C742)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SUMIFS(RAB!$F$15:$F$45,RAB!$C$15:$C$45,C743)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SUMIFS(RAB!$F$15:$F$45,RAB!$C$15:$C$45,C744)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SUMIFS(RAB!$F$15:$F$45,RAB!$C$15:$C$45,C745)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SUMIFS(RAB!$F$15:$F$45,RAB!$C$15:$C$45,C746)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SUMIFS(RAB!$F$15:$F$45,RAB!$C$15:$C$45,C747)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SUMIFS(RAB!$F$15:$F$45,RAB!$C$15:$C$45,C748)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SUMIFS(RAB!$F$15:$F$45,RAB!$C$15:$C$45,C749)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SUMIFS(RAB!$F$15:$F$45,RAB!$C$15:$C$45,C750)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SUMIFS(RAB!$F$15:$F$45,RAB!$C$15:$C$45,C751)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SUMIFS(RAB!$F$15:$F$45,RAB!$C$15:$C$45,C752)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SUMIFS(RAB!$F$15:$F$45,RAB!$C$15:$C$45,C753)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SUMIFS(RAB!$F$15:$F$45,RAB!$C$15:$C$45,C754)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SUMIFS(RAB!$F$15:$F$45,RAB!$C$15:$C$45,C755)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SUMIFS(RAB!$F$15:$F$45,RAB!$C$15:$C$45,C756)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SUMIFS(RAB!$F$15:$F$45,RAB!$C$15:$C$45,C757)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SUMIFS(RAB!$F$15:$F$45,RAB!$C$15:$C$45,C758)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SUMIFS(RAB!$F$15:$F$45,RAB!$C$15:$C$45,C759)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SUMIFS(RAB!$F$15:$F$45,RAB!$C$15:$C$45,C760)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SUMIFS(RAB!$F$15:$F$45,RAB!$C$15:$C$45,C761)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SUMIFS(RAB!$F$15:$F$45,RAB!$C$15:$C$45,C762)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SUMIFS(RAB!$F$15:$F$45,RAB!$C$15:$C$45,C763)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SUMIFS(RAB!$F$15:$F$45,RAB!$C$15:$C$45,C764)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SUMIFS(RAB!$F$15:$F$45,RAB!$C$15:$C$45,C765)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SUMIFS(RAB!$F$15:$F$45,RAB!$C$15:$C$45,C766)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SUMIFS(RAB!$F$15:$F$45,RAB!$C$15:$C$45,C767)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SUMIFS(RAB!$F$15:$F$45,RAB!$C$15:$C$45,C768)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SUMIFS(RAB!$F$15:$F$45,RAB!$C$15:$C$45,C769)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SUMIFS(RAB!$F$15:$F$45,RAB!$C$15:$C$45,C770)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SUMIFS(RAB!$F$15:$F$45,RAB!$C$15:$C$45,C771)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SUMIFS(RAB!$F$15:$F$45,RAB!$C$15:$C$45,C772)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SUMIFS(RAB!$F$15:$F$45,RAB!$C$15:$C$45,C773)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SUMIFS(RAB!$F$15:$F$45,RAB!$C$15:$C$45,C774)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SUMIFS(RAB!$F$15:$F$45,RAB!$C$15:$C$45,C775)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SUMIFS(RAB!$F$15:$F$45,RAB!$C$15:$C$45,C776)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SUMIFS(RAB!$F$15:$F$45,RAB!$C$15:$C$45,C777)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SUMIFS(RAB!$F$15:$F$45,RAB!$C$15:$C$45,C778)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SUMIFS(RAB!$F$15:$F$45,RAB!$C$15:$C$45,C779)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SUMIFS(RAB!$F$15:$F$45,RAB!$C$15:$C$45,C780)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SUMIFS(RAB!$F$15:$F$45,RAB!$C$15:$C$45,C781)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SUMIFS(RAB!$F$15:$F$45,RAB!$C$15:$C$45,C782)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SUMIFS(RAB!$F$15:$F$45,RAB!$C$15:$C$45,C783)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SUMIFS(RAB!$F$15:$F$45,RAB!$C$15:$C$45,C784)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SUMIFS(RAB!$F$15:$F$45,RAB!$C$15:$C$45,C785)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SUMIFS(RAB!$F$15:$F$45,RAB!$C$15:$C$45,C786)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SUMIFS(RAB!$F$15:$F$45,RAB!$C$15:$C$45,C787)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SUMIFS(RAB!$F$15:$F$45,RAB!$C$15:$C$45,C788)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SUMIFS(RAB!$F$15:$F$45,RAB!$C$15:$C$45,C789)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SUMIFS(RAB!$F$15:$F$45,RAB!$C$15:$C$45,C790)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SUMIFS(RAB!$F$15:$F$45,RAB!$C$15:$C$45,C791)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SUMIFS(RAB!$F$15:$F$45,RAB!$C$15:$C$45,C792)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SUMIFS(RAB!$F$15:$F$45,RAB!$C$15:$C$45,C793)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SUMIFS(RAB!$F$15:$F$45,RAB!$C$15:$C$45,C794)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SUMIFS(RAB!$F$15:$F$45,RAB!$C$15:$C$45,C795)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SUMIFS(RAB!$F$15:$F$45,RAB!$C$15:$C$45,C796)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SUMIFS(RAB!$F$15:$F$45,RAB!$C$15:$C$45,C797)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SUMIFS(RAB!$F$15:$F$45,RAB!$C$15:$C$45,C798)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SUMIFS(RAB!$F$15:$F$45,RAB!$C$15:$C$45,C799)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SUMIFS(RAB!$F$15:$F$45,RAB!$C$15:$C$45,C800)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SUMIFS(RAB!$F$15:$F$45,RAB!$C$15:$C$45,C801)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SUMIFS(RAB!$F$15:$F$45,RAB!$C$15:$C$45,C802)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SUMIFS(RAB!$F$15:$F$45,RAB!$C$15:$C$45,C803)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SUMIFS(RAB!$F$15:$F$45,RAB!$C$15:$C$45,C804)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SUMIFS(RAB!$F$15:$F$45,RAB!$C$15:$C$45,C805)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SUMIFS(RAB!$F$15:$F$45,RAB!$C$15:$C$45,C806)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SUMIFS(RAB!$F$15:$F$45,RAB!$C$15:$C$45,C807)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SUMIFS(RAB!$F$15:$F$45,RAB!$C$15:$C$45,C808)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SUMIFS(RAB!$F$15:$F$45,RAB!$C$15:$C$45,C809)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SUMIFS(RAB!$F$15:$F$45,RAB!$C$15:$C$45,C810)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SUMIFS(RAB!$F$15:$F$45,RAB!$C$15:$C$45,C811)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SUMIFS(RAB!$F$15:$F$45,RAB!$C$15:$C$45,C812)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SUMIFS(RAB!$F$15:$F$45,RAB!$C$15:$C$45,C813)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SUMIFS(RAB!$F$15:$F$45,RAB!$C$15:$C$45,C814)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SUMIFS(RAB!$F$15:$F$45,RAB!$C$15:$C$45,C815)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SUMIFS(RAB!$F$15:$F$45,RAB!$C$15:$C$45,C816)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SUMIFS(RAB!$F$15:$F$45,RAB!$C$15:$C$45,C817)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SUMIFS(RAB!$F$15:$F$45,RAB!$C$15:$C$45,C818)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SUMIFS(RAB!$F$15:$F$45,RAB!$C$15:$C$45,C819)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SUMIFS(RAB!$F$15:$F$45,RAB!$C$15:$C$45,C820)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SUMIFS(RAB!$F$15:$F$45,RAB!$C$15:$C$45,C821)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SUMIFS(RAB!$F$15:$F$45,RAB!$C$15:$C$45,C822)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SUMIFS(RAB!$F$15:$F$45,RAB!$C$15:$C$45,C823)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SUMIFS(RAB!$F$15:$F$45,RAB!$C$15:$C$45,C824)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SUMIFS(RAB!$F$15:$F$45,RAB!$C$15:$C$45,C825)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SUMIFS(RAB!$F$15:$F$45,RAB!$C$15:$C$45,C826)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SUMIFS(RAB!$F$15:$F$45,RAB!$C$15:$C$45,C827)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SUMIFS(RAB!$F$15:$F$45,RAB!$C$15:$C$45,C828)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SUMIFS(RAB!$F$15:$F$45,RAB!$C$15:$C$45,C829)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SUMIFS(RAB!$F$15:$F$45,RAB!$C$15:$C$45,C830)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SUMIFS(RAB!$F$15:$F$45,RAB!$C$15:$C$45,C831)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SUMIFS(RAB!$F$15:$F$45,RAB!$C$15:$C$45,C832)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SUMIFS(RAB!$F$15:$F$45,RAB!$C$15:$C$45,C833)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SUMIFS(RAB!$F$15:$F$45,RAB!$C$15:$C$45,C834)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SUMIFS(RAB!$F$15:$F$45,RAB!$C$15:$C$45,C835)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SUMIFS(RAB!$F$15:$F$45,RAB!$C$15:$C$45,C836)</f>
        <v>35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SUMIFS(RAB!$F$15:$F$45,RAB!$C$15:$C$45,C837)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SUMIFS(RAB!$F$15:$F$45,RAB!$C$15:$C$45,C838)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SUMIFS(RAB!$F$15:$F$45,RAB!$C$15:$C$45,C839)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SUMIFS(RAB!$F$15:$F$45,RAB!$C$15:$C$45,C840)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SUMIFS(RAB!$F$15:$F$45,RAB!$C$15:$C$45,C841)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SUMIFS(RAB!$F$15:$F$45,RAB!$C$15:$C$45,C842)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SUMIFS(RAB!$F$15:$F$45,RAB!$C$15:$C$45,C843)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SUMIFS(RAB!$F$15:$F$45,RAB!$C$15:$C$45,C844)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SUMIFS(RAB!$F$15:$F$45,RAB!$C$15:$C$45,C845)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SUMIFS(RAB!$F$15:$F$45,RAB!$C$15:$C$45,C846)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SUMIFS(RAB!$F$15:$F$45,RAB!$C$15:$C$45,C847)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SUMIFS(RAB!$F$15:$F$45,RAB!$C$15:$C$45,C848)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SUMIFS(RAB!$F$15:$F$45,RAB!$C$15:$C$45,C849)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SUMIFS(RAB!$F$15:$F$45,RAB!$C$15:$C$45,C850)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SUMIFS(RAB!$F$15:$F$45,RAB!$C$15:$C$45,C851)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SUMIFS(RAB!$F$15:$F$45,RAB!$C$15:$C$45,C852)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SUMIFS(RAB!$F$15:$F$45,RAB!$C$15:$C$45,C853)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SUMIFS(RAB!$F$15:$F$45,RAB!$C$15:$C$45,C854)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SUMIFS(RAB!$F$15:$F$45,RAB!$C$15:$C$45,C855)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SUMIFS(RAB!$F$15:$F$45,RAB!$C$15:$C$45,C856)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SUMIFS(RAB!$F$15:$F$45,RAB!$C$15:$C$45,C857)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SUMIFS(RAB!$F$15:$F$45,RAB!$C$15:$C$45,C858)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SUMIFS(RAB!$F$15:$F$45,RAB!$C$15:$C$45,C859)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SUMIFS(RAB!$F$15:$F$45,RAB!$C$15:$C$45,C860)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SUMIFS(RAB!$F$15:$F$45,RAB!$C$15:$C$45,C861)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SUMIFS(RAB!$F$15:$F$45,RAB!$C$15:$C$45,C862)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SUMIFS(RAB!$F$15:$F$45,RAB!$C$15:$C$45,C863)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SUMIFS(RAB!$F$15:$F$45,RAB!$C$15:$C$45,C864)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SUMIFS(RAB!$F$15:$F$45,RAB!$C$15:$C$45,C865)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SUMIFS(RAB!$F$15:$F$45,RAB!$C$15:$C$45,C866)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SUMIFS(RAB!$F$15:$F$45,RAB!$C$15:$C$45,C867)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SUMIFS(RAB!$F$15:$F$45,RAB!$C$15:$C$45,C868)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SUMIFS(RAB!$F$15:$F$45,RAB!$C$15:$C$45,C869)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SUMIFS(RAB!$F$15:$F$45,RAB!$C$15:$C$45,C870)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SUMIFS(RAB!$F$15:$F$45,RAB!$C$15:$C$45,C871)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SUMIFS(RAB!$F$15:$F$45,RAB!$C$15:$C$45,C872)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SUMIFS(RAB!$F$15:$F$45,RAB!$C$15:$C$45,C873)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SUMIFS(RAB!$F$15:$F$45,RAB!$C$15:$C$45,C874)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SUMIFS(RAB!$F$15:$F$45,RAB!$C$15:$C$45,C875)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SUMIFS(RAB!$F$15:$F$45,RAB!$C$15:$C$45,C876)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SUMIFS(RAB!$F$15:$F$45,RAB!$C$15:$C$45,C877)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SUMIFS(RAB!$F$15:$F$45,RAB!$C$15:$C$45,C878)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SUMIFS(RAB!$F$15:$F$45,RAB!$C$15:$C$45,C879)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SUMIFS(RAB!$F$15:$F$45,RAB!$C$15:$C$45,C880)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SUMIFS(RAB!$F$15:$F$45,RAB!$C$15:$C$45,C881)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SUMIFS(RAB!$F$15:$F$45,RAB!$C$15:$C$45,C882)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SUMIFS(RAB!$F$15:$F$45,RAB!$C$15:$C$45,C883)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SUMIFS(RAB!$F$15:$F$45,RAB!$C$15:$C$45,C884)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SUMIFS(RAB!$F$15:$F$45,RAB!$C$15:$C$45,C885)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SUMIFS(RAB!$F$15:$F$45,RAB!$C$15:$C$45,C886)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SUMIFS(RAB!$F$15:$F$45,RAB!$C$15:$C$45,C887)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SUMIFS(RAB!$F$15:$F$45,RAB!$C$15:$C$45,C888)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SUMIFS(RAB!$F$15:$F$45,RAB!$C$15:$C$45,C889)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SUMIFS(RAB!$F$15:$F$45,RAB!$C$15:$C$45,C890)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SUMIFS(RAB!$F$15:$F$45,RAB!$C$15:$C$45,C891)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SUMIFS(RAB!$F$15:$F$45,RAB!$C$15:$C$45,C892)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SUMIFS(RAB!$F$15:$F$45,RAB!$C$15:$C$45,C893)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SUMIFS(RAB!$F$15:$F$45,RAB!$C$15:$C$45,C894)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SUMIFS(RAB!$F$15:$F$45,RAB!$C$15:$C$45,C895)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SUMIFS(RAB!$F$15:$F$45,RAB!$C$15:$C$45,C896)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SUMIFS(RAB!$F$15:$F$45,RAB!$C$15:$C$45,C897)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SUMIFS(RAB!$F$15:$F$45,RAB!$C$15:$C$45,C898)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SUMIFS(RAB!$F$15:$F$45,RAB!$C$15:$C$45,C899)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SUMIFS(RAB!$F$15:$F$45,RAB!$C$15:$C$45,C900)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SUMIFS(RAB!$F$15:$F$45,RAB!$C$15:$C$45,C901)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SUMIFS(RAB!$F$15:$F$45,RAB!$C$15:$C$45,C902)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SUMIFS(RAB!$F$15:$F$45,RAB!$C$15:$C$45,C903)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SUMIFS(RAB!$F$15:$F$45,RAB!$C$15:$C$45,C904)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SUMIFS(RAB!$F$15:$F$45,RAB!$C$15:$C$45,C905)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SUMIFS(RAB!$F$15:$F$45,RAB!$C$15:$C$45,C906)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SUMIFS(RAB!$F$15:$F$45,RAB!$C$15:$C$45,C907)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SUMIFS(RAB!$F$15:$F$45,RAB!$C$15:$C$45,C908)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SUMIFS(RAB!$F$15:$F$45,RAB!$C$15:$C$45,C909)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SUMIFS(RAB!$F$15:$F$45,RAB!$C$15:$C$45,C910)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SUMIFS(RAB!$F$15:$F$45,RAB!$C$15:$C$45,C911)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SUMIFS(RAB!$F$15:$F$45,RAB!$C$15:$C$45,C912)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SUMIFS(RAB!$F$15:$F$45,RAB!$C$15:$C$45,C913)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SUMIFS(RAB!$F$15:$F$45,RAB!$C$15:$C$45,C914)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SUMIFS(RAB!$F$15:$F$45,RAB!$C$15:$C$45,C915)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SUMIFS(RAB!$F$15:$F$45,RAB!$C$15:$C$45,C916)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SUMIFS(RAB!$F$15:$F$45,RAB!$C$15:$C$45,C917)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SUMIFS(RAB!$F$15:$F$45,RAB!$C$15:$C$45,C918)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SUMIFS(RAB!$F$15:$F$45,RAB!$C$15:$C$45,C919)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SUMIFS(RAB!$F$15:$F$45,RAB!$C$15:$C$45,C920)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SUMIFS(RAB!$F$15:$F$45,RAB!$C$15:$C$45,C921)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SUMIFS(RAB!$F$15:$F$45,RAB!$C$15:$C$45,C922)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SUMIFS(RAB!$F$15:$F$45,RAB!$C$15:$C$45,C923)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SUMIFS(RAB!$F$15:$F$45,RAB!$C$15:$C$45,C924)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SUMIFS(RAB!$F$15:$F$45,RAB!$C$15:$C$45,C925)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SUMIFS(RAB!$F$15:$F$45,RAB!$C$15:$C$45,C926)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SUMIFS(RAB!$F$15:$F$45,RAB!$C$15:$C$45,C927)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SUMIFS(RAB!$F$15:$F$45,RAB!$C$15:$C$45,C928)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SUMIFS(RAB!$F$15:$F$45,RAB!$C$15:$C$45,C929)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SUMIFS(RAB!$F$15:$F$45,RAB!$C$15:$C$45,C930)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SUMIFS(RAB!$F$15:$F$45,RAB!$C$15:$C$45,C931)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SUMIFS(RAB!$F$15:$F$45,RAB!$C$15:$C$45,C932)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SUMIFS(RAB!$F$15:$F$45,RAB!$C$15:$C$45,C933)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SUMIFS(RAB!$F$15:$F$45,RAB!$C$15:$C$45,C934)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SUMIFS(RAB!$F$15:$F$45,RAB!$C$15:$C$45,C935)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SUMIFS(RAB!$F$15:$F$45,RAB!$C$15:$C$45,C936)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SUMIFS(RAB!$F$15:$F$45,RAB!$C$15:$C$45,C937)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SUMIFS(RAB!$F$15:$F$45,RAB!$C$15:$C$45,C938)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SUMIFS(RAB!$F$15:$F$45,RAB!$C$15:$C$45,C939)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SUMIFS(RAB!$F$15:$F$45,RAB!$C$15:$C$45,C940)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SUMIFS(RAB!$F$15:$F$45,RAB!$C$15:$C$45,C941)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SUMIFS(RAB!$F$15:$F$45,RAB!$C$15:$C$45,C942)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SUMIFS(RAB!$F$15:$F$45,RAB!$C$15:$C$45,C943)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SUMIFS(RAB!$F$15:$F$45,RAB!$C$15:$C$45,C944)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SUMIFS(RAB!$F$15:$F$45,RAB!$C$15:$C$45,C945)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SUMIFS(RAB!$F$15:$F$45,RAB!$C$15:$C$45,C946)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SUMIFS(RAB!$F$15:$F$45,RAB!$C$15:$C$45,C947)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SUMIFS(RAB!$F$15:$F$45,RAB!$C$15:$C$45,C948)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SUMIFS(RAB!$F$15:$F$45,RAB!$C$15:$C$45,C949)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SUMIFS(RAB!$F$15:$F$45,RAB!$C$15:$C$45,C950)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SUMIFS(RAB!$F$15:$F$45,RAB!$C$15:$C$45,C951)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SUMIFS(RAB!$F$15:$F$45,RAB!$C$15:$C$45,C952)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SUMIFS(RAB!$F$15:$F$45,RAB!$C$15:$C$45,C953)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SUMIFS(RAB!$F$15:$F$45,RAB!$C$15:$C$45,C954)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SUMIFS(RAB!$F$15:$F$45,RAB!$C$15:$C$45,C955)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SUMIFS(RAB!$F$15:$F$45,RAB!$C$15:$C$45,C956)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SUMIFS(RAB!$F$15:$F$45,RAB!$C$15:$C$45,C957)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SUMIFS(RAB!$F$15:$F$45,RAB!$C$15:$C$45,C958)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SUMIFS(RAB!$F$15:$F$45,RAB!$C$15:$C$45,C959)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SUMIFS(RAB!$F$15:$F$45,RAB!$C$15:$C$45,C960)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SUMIFS(RAB!$F$15:$F$45,RAB!$C$15:$C$45,C961)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SUMIFS(RAB!$F$15:$F$45,RAB!$C$15:$C$45,C962)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SUMIFS(RAB!$F$15:$F$45,RAB!$C$15:$C$45,C963)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SUMIFS(RAB!$F$15:$F$45,RAB!$C$15:$C$45,C964)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SUMIFS(RAB!$F$15:$F$45,RAB!$C$15:$C$45,C965)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SUMIFS(RAB!$F$15:$F$45,RAB!$C$15:$C$45,C966)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SUMIFS(RAB!$F$15:$F$45,RAB!$C$15:$C$45,C967)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SUMIFS(RAB!$F$15:$F$45,RAB!$C$15:$C$45,C968)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SUMIFS(RAB!$F$15:$F$45,RAB!$C$15:$C$45,C969)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SUMIFS(RAB!$F$15:$F$45,RAB!$C$15:$C$45,C970)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SUMIFS(RAB!$F$15:$F$45,RAB!$C$15:$C$45,C971)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SUMIFS(RAB!$F$15:$F$45,RAB!$C$15:$C$45,C972)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SUMIFS(RAB!$F$15:$F$45,RAB!$C$15:$C$45,C973)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SUMIFS(RAB!$F$15:$F$45,RAB!$C$15:$C$45,C974)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SUMIFS(RAB!$F$15:$F$45,RAB!$C$15:$C$45,C975)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SUMIFS(RAB!$F$15:$F$45,RAB!$C$15:$C$45,C976)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SUMIFS(RAB!$F$15:$F$45,RAB!$C$15:$C$45,C977)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SUMIFS(RAB!$F$15:$F$45,RAB!$C$15:$C$45,C978)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SUMIFS(RAB!$F$15:$F$45,RAB!$C$15:$C$45,C979)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SUMIFS(RAB!$F$15:$F$45,RAB!$C$15:$C$45,C980)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SUMIFS(RAB!$F$15:$F$45,RAB!$C$15:$C$45,C981)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SUMIFS(RAB!$F$15:$F$45,RAB!$C$15:$C$45,C982)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SUMIFS(RAB!$F$15:$F$45,RAB!$C$15:$C$45,C983)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SUMIFS(RAB!$F$15:$F$45,RAB!$C$15:$C$45,C984)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SUMIFS(RAB!$F$15:$F$45,RAB!$C$15:$C$45,C985)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SUMIFS(RAB!$F$15:$F$45,RAB!$C$15:$C$45,C986)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SUMIFS(RAB!$F$15:$F$45,RAB!$C$15:$C$45,C987)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SUMIFS(RAB!$F$15:$F$45,RAB!$C$15:$C$45,C988)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SUMIFS(RAB!$F$15:$F$45,RAB!$C$15:$C$45,C989)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SUMIFS(RAB!$F$15:$F$45,RAB!$C$15:$C$45,C990)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SUMIFS(RAB!$F$15:$F$45,RAB!$C$15:$C$45,C991)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SUMIFS(RAB!$F$15:$F$45,RAB!$C$15:$C$45,C992)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SUMIFS(RAB!$F$15:$F$45,RAB!$C$15:$C$45,C993)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SUMIFS(RAB!$F$15:$F$45,RAB!$C$15:$C$45,C994)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SUMIFS(RAB!$F$15:$F$45,RAB!$C$15:$C$45,C995)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SUMIFS(RAB!$F$15:$F$45,RAB!$C$15:$C$45,C996)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SUMIFS(RAB!$F$15:$F$45,RAB!$C$15:$C$45,C997)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SUMIFS(RAB!$F$15:$F$45,RAB!$C$15:$C$45,C998)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SUMIFS(RAB!$F$15:$F$45,RAB!$C$15:$C$45,C999)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SUMIFS(RAB!$F$15:$F$45,RAB!$C$15:$C$45,C1000)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SUMIFS(RAB!$F$15:$F$45,RAB!$C$15:$C$45,C1001)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SUMIFS(RAB!$F$15:$F$45,RAB!$C$15:$C$45,C1002)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SUMIFS(RAB!$F$15:$F$45,RAB!$C$15:$C$45,C1003)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SUMIFS(RAB!$F$15:$F$45,RAB!$C$15:$C$45,C1004)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SUMIFS(RAB!$F$15:$F$45,RAB!$C$15:$C$45,C1005)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SUMIFS(RAB!$F$15:$F$45,RAB!$C$15:$C$45,C1006)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SUMIFS(RAB!$F$15:$F$45,RAB!$C$15:$C$45,C1007)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SUMIFS(RAB!$F$15:$F$45,RAB!$C$15:$C$45,C1008)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SUMIFS(RAB!$F$15:$F$45,RAB!$C$15:$C$45,C1009)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SUMIFS(RAB!$F$15:$F$45,RAB!$C$15:$C$45,C1010)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SUMIFS(RAB!$F$15:$F$45,RAB!$C$15:$C$45,C1011)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SUMIFS(RAB!$F$15:$F$45,RAB!$C$15:$C$45,C1012)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SUMIFS(RAB!$F$15:$F$45,RAB!$C$15:$C$45,C1013)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SUMIFS(RAB!$F$15:$F$45,RAB!$C$15:$C$45,C1014)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SUMIFS(RAB!$F$15:$F$45,RAB!$C$15:$C$45,C1015)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SUMIFS(RAB!$F$15:$F$45,RAB!$C$15:$C$45,C1016)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SUMIFS(RAB!$F$15:$F$45,RAB!$C$15:$C$45,C1017)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SUMIFS(RAB!$F$15:$F$45,RAB!$C$15:$C$45,C1018)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SUMIFS(RAB!$F$15:$F$45,RAB!$C$15:$C$45,C1019)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SUMIFS(RAB!$F$15:$F$45,RAB!$C$15:$C$45,C1020)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SUMIFS(RAB!$F$15:$F$45,RAB!$C$15:$C$45,C1021)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SUMIFS(RAB!$F$15:$F$45,RAB!$C$15:$C$45,C1022)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SUMIFS(RAB!$F$15:$F$45,RAB!$C$15:$C$45,C1023)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SUMIFS(RAB!$F$15:$F$45,RAB!$C$15:$C$45,C1024)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SUMIFS(RAB!$F$15:$F$45,RAB!$C$15:$C$45,C1025)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SUMIFS(RAB!$F$15:$F$45,RAB!$C$15:$C$45,C1026)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SUMIFS(RAB!$F$15:$F$45,RAB!$C$15:$C$45,C1027)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SUMIFS(RAB!$F$15:$F$45,RAB!$C$15:$C$45,C1028)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SUMIFS(RAB!$F$15:$F$45,RAB!$C$15:$C$45,C1029)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SUMIFS(RAB!$F$15:$F$45,RAB!$C$15:$C$45,C1030)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SUMIFS(RAB!$F$15:$F$45,RAB!$C$15:$C$45,C1031)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SUMIFS(RAB!$F$15:$F$45,RAB!$C$15:$C$45,C1032)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SUMIFS(RAB!$F$15:$F$45,RAB!$C$15:$C$45,C1033)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SUMIFS(RAB!$F$15:$F$45,RAB!$C$15:$C$45,C1034)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SUMIFS(RAB!$F$15:$F$45,RAB!$C$15:$C$45,C1035)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SUMIFS(RAB!$F$15:$F$45,RAB!$C$15:$C$45,C1036)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SUMIFS(RAB!$F$15:$F$45,RAB!$C$15:$C$45,C1037)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SUMIFS(RAB!$F$15:$F$45,RAB!$C$15:$C$45,C1038)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SUMIFS(RAB!$F$15:$F$45,RAB!$C$15:$C$45,C1039)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SUMIFS(RAB!$F$15:$F$45,RAB!$C$15:$C$45,C1040)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SUMIFS(RAB!$F$15:$F$45,RAB!$C$15:$C$45,C1041)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SUMIFS(RAB!$F$15:$F$45,RAB!$C$15:$C$45,C1042)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SUMIFS(RAB!$F$15:$F$45,RAB!$C$15:$C$45,C1043)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SUMIFS(RAB!$F$15:$F$45,RAB!$C$15:$C$45,C1044)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SUMIFS(RAB!$F$15:$F$45,RAB!$C$15:$C$45,C1045)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SUMIFS(RAB!$F$15:$F$45,RAB!$C$15:$C$45,C1046)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SUMIFS(RAB!$F$15:$F$45,RAB!$C$15:$C$45,C1047)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SUMIFS(RAB!$F$15:$F$45,RAB!$C$15:$C$45,C1048)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SUMIFS(RAB!$F$15:$F$45,RAB!$C$15:$C$45,C1049)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SUMIFS(RAB!$F$15:$F$45,RAB!$C$15:$C$45,C1050)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SUMIFS(RAB!$F$15:$F$45,RAB!$C$15:$C$45,C1051)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SUMIFS(RAB!$F$15:$F$45,RAB!$C$15:$C$45,C1052)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SUMIFS(RAB!$F$15:$F$45,RAB!$C$15:$C$45,C1053)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SUMIFS(RAB!$F$15:$F$45,RAB!$C$15:$C$45,C1054)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SUMIFS(RAB!$F$15:$F$45,RAB!$C$15:$C$45,C1055)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SUMIFS(RAB!$F$15:$F$45,RAB!$C$15:$C$45,C1056)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SUMIFS(RAB!$F$15:$F$45,RAB!$C$15:$C$45,C1057)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SUMIFS(RAB!$F$15:$F$45,RAB!$C$15:$C$45,C1058)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SUMIFS(RAB!$F$15:$F$45,RAB!$C$15:$C$45,C1059)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SUMIFS(RAB!$F$15:$F$45,RAB!$C$15:$C$45,C1060)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SUMIFS(RAB!$F$15:$F$45,RAB!$C$15:$C$45,C1061)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SUMIFS(RAB!$F$15:$F$45,RAB!$C$15:$C$45,C1062)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SUMIFS(RAB!$F$15:$F$45,RAB!$C$15:$C$45,C1063)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SUMIFS(RAB!$F$15:$F$45,RAB!$C$15:$C$45,C1064)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SUMIFS(RAB!$F$15:$F$45,RAB!$C$15:$C$45,C1065)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SUMIFS(RAB!$F$15:$F$45,RAB!$C$15:$C$45,C1066)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SUMIFS(RAB!$F$15:$F$45,RAB!$C$15:$C$45,C1067)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SUMIFS(RAB!$F$15:$F$45,RAB!$C$15:$C$45,C1068)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SUMIFS(RAB!$F$15:$F$45,RAB!$C$15:$C$45,C1069)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SUMIFS(RAB!$F$15:$F$45,RAB!$C$15:$C$45,C1070)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SUMIFS(RAB!$F$15:$F$45,RAB!$C$15:$C$45,C1071)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SUMIFS(RAB!$F$15:$F$45,RAB!$C$15:$C$45,C1072)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SUMIFS(RAB!$F$15:$F$45,RAB!$C$15:$C$45,C1073)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SUMIFS(RAB!$F$15:$F$45,RAB!$C$15:$C$45,C1074)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SUMIFS(RAB!$F$15:$F$45,RAB!$C$15:$C$45,C1075)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SUMIFS(RAB!$F$15:$F$45,RAB!$C$15:$C$45,C1076)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SUMIFS(RAB!$F$15:$F$45,RAB!$C$15:$C$45,C1077)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SUMIFS(RAB!$F$15:$F$45,RAB!$C$15:$C$45,C1078)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SUMIFS(RAB!$F$15:$F$45,RAB!$C$15:$C$45,C1079)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SUMIFS(RAB!$F$15:$F$45,RAB!$C$15:$C$45,C1080)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SUMIFS(RAB!$F$15:$F$45,RAB!$C$15:$C$45,C1081)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SUMIFS(RAB!$F$15:$F$45,RAB!$C$15:$C$45,C1082)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SUMIFS(RAB!$F$15:$F$45,RAB!$C$15:$C$45,C1083)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SUMIFS(RAB!$F$15:$F$45,RAB!$C$15:$C$45,C1084)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SUMIFS(RAB!$F$15:$F$45,RAB!$C$15:$C$45,C1085)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SUMIFS(RAB!$F$15:$F$45,RAB!$C$15:$C$45,C1086)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SUMIFS(RAB!$F$15:$F$45,RAB!$C$15:$C$45,C1087)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SUMIFS(RAB!$F$15:$F$45,RAB!$C$15:$C$45,C1088)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SUMIFS(RAB!$F$15:$F$45,RAB!$C$15:$C$45,C1089)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SUMIFS(RAB!$F$15:$F$45,RAB!$C$15:$C$45,C1090)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SUMIFS(RAB!$F$15:$F$45,RAB!$C$15:$C$45,C1091)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SUMIFS(RAB!$F$15:$F$45,RAB!$C$15:$C$45,C1092)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SUMIFS(RAB!$F$15:$F$45,RAB!$C$15:$C$45,C1093)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SUMIFS(RAB!$F$15:$F$45,RAB!$C$15:$C$45,C1094)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SUMIFS(RAB!$F$15:$F$45,RAB!$C$15:$C$45,C1095)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SUMIFS(RAB!$F$15:$F$45,RAB!$C$15:$C$45,C1096)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SUMIFS(RAB!$F$15:$F$45,RAB!$C$15:$C$45,C1097)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SUMIFS(RAB!$F$15:$F$45,RAB!$C$15:$C$45,C1098)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SUMIFS(RAB!$F$15:$F$45,RAB!$C$15:$C$45,C1099)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SUMIFS(RAB!$F$15:$F$45,RAB!$C$15:$C$45,C1100)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SUMIFS(RAB!$F$15:$F$45,RAB!$C$15:$C$45,C1101)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SUMIFS(RAB!$F$15:$F$45,RAB!$C$15:$C$45,C1102)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SUMIFS(RAB!$F$15:$F$45,RAB!$C$15:$C$45,C1103)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SUMIFS(RAB!$F$15:$F$45,RAB!$C$15:$C$45,C1104)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SUMIFS(RAB!$F$15:$F$45,RAB!$C$15:$C$45,C1105)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SUMIFS(RAB!$F$15:$F$45,RAB!$C$15:$C$45,C1106)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SUMIFS(RAB!$F$15:$F$45,RAB!$C$15:$C$45,C1107)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SUMIFS(RAB!$F$15:$F$45,RAB!$C$15:$C$45,C1108)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SUMIFS(RAB!$F$15:$F$45,RAB!$C$15:$C$45,C1109)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SUMIFS(RAB!$F$15:$F$45,RAB!$C$15:$C$45,C1110)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SUMIFS(RAB!$F$15:$F$45,RAB!$C$15:$C$45,C1111)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SUMIFS(RAB!$F$15:$F$45,RAB!$C$15:$C$45,C1112)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SUMIFS(RAB!$F$15:$F$45,RAB!$C$15:$C$45,C1113)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SUMIFS(RAB!$F$15:$F$45,RAB!$C$15:$C$45,C1114)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SUMIFS(RAB!$F$15:$F$45,RAB!$C$15:$C$45,C1115)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SUMIFS(RAB!$F$15:$F$45,RAB!$C$15:$C$45,C1116)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SUMIFS(RAB!$F$15:$F$45,RAB!$C$15:$C$45,C1117)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SUMIFS(RAB!$F$15:$F$45,RAB!$C$15:$C$45,C1118)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SUMIFS(RAB!$F$15:$F$45,RAB!$C$15:$C$45,C1119)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SUMIFS(RAB!$F$15:$F$45,RAB!$C$15:$C$45,C1120)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SUMIFS(RAB!$F$15:$F$45,RAB!$C$15:$C$45,C1121)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SUMIFS(RAB!$F$15:$F$45,RAB!$C$15:$C$45,C1122)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SUMIFS(RAB!$F$15:$F$45,RAB!$C$15:$C$45,C1123)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SUMIFS(RAB!$F$15:$F$45,RAB!$C$15:$C$45,C1124)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SUMIFS(RAB!$F$15:$F$45,RAB!$C$15:$C$45,C1125)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SUMIFS(RAB!$F$15:$F$45,RAB!$C$15:$C$45,C1126)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SUMIFS(RAB!$F$15:$F$45,RAB!$C$15:$C$45,C1127)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SUMIFS(RAB!$F$15:$F$45,RAB!$C$15:$C$45,C1128)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SUMIFS(RAB!$F$15:$F$45,RAB!$C$15:$C$45,C1129)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SUMIFS(RAB!$F$15:$F$45,RAB!$C$15:$C$45,C1130)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SUMIFS(RAB!$F$15:$F$45,RAB!$C$15:$C$45,C1131)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SUMIFS(RAB!$F$15:$F$45,RAB!$C$15:$C$45,C1132)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SUMIFS(RAB!$F$15:$F$45,RAB!$C$15:$C$45,C1133)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SUMIFS(RAB!$F$15:$F$45,RAB!$C$15:$C$45,C1134)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SUMIFS(RAB!$F$15:$F$45,RAB!$C$15:$C$45,C1135)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SUMIFS(RAB!$F$15:$F$45,RAB!$C$15:$C$45,C1136)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SUMIFS(RAB!$F$15:$F$45,RAB!$C$15:$C$45,C1137)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SUMIFS(RAB!$F$15:$F$45,RAB!$C$15:$C$45,C1138)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SUMIFS(RAB!$F$15:$F$45,RAB!$C$15:$C$45,C1139)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SUMIFS(RAB!$F$15:$F$45,RAB!$C$15:$C$45,C1140)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SUMIFS(RAB!$F$15:$F$45,RAB!$C$15:$C$45,C1141)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SUMIFS(RAB!$F$15:$F$45,RAB!$C$15:$C$45,C1142)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SUMIFS(RAB!$F$15:$F$45,RAB!$C$15:$C$45,C1143)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SUMIFS(RAB!$F$15:$F$45,RAB!$C$15:$C$45,C1144)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SUMIFS(RAB!$F$15:$F$45,RAB!$C$15:$C$45,C1145)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SUMIFS(RAB!$F$15:$F$45,RAB!$C$15:$C$45,C1146)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SUMIFS(RAB!$F$15:$F$45,RAB!$C$15:$C$45,C1147)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SUMIFS(RAB!$F$15:$F$45,RAB!$C$15:$C$45,C1148)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SUMIFS(RAB!$F$15:$F$45,RAB!$C$15:$C$45,C1149)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SUMIFS(RAB!$F$15:$F$45,RAB!$C$15:$C$45,C1150)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SUMIFS(RAB!$F$15:$F$45,RAB!$C$15:$C$45,C1151)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SUMIFS(RAB!$F$15:$F$45,RAB!$C$15:$C$45,C1152)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SUMIFS(RAB!$F$15:$F$45,RAB!$C$15:$C$45,C1153)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SUMIFS(RAB!$F$15:$F$45,RAB!$C$15:$C$45,C1154)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SUMIFS(RAB!$F$15:$F$45,RAB!$C$15:$C$45,C1155)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SUMIFS(RAB!$F$15:$F$45,RAB!$C$15:$C$45,C1156)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SUMIFS(RAB!$F$15:$F$45,RAB!$C$15:$C$45,C1157)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SUMIFS(RAB!$F$15:$F$45,RAB!$C$15:$C$45,C1158)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SUMIFS(RAB!$F$15:$F$45,RAB!$C$15:$C$45,C1159)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SUMIFS(RAB!$F$15:$F$45,RAB!$C$15:$C$45,C1160)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SUMIFS(RAB!$F$15:$F$45,RAB!$C$15:$C$45,C1161)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SUMIFS(RAB!$F$15:$F$45,RAB!$C$15:$C$45,C1162)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SUMIFS(RAB!$F$15:$F$45,RAB!$C$15:$C$45,C1163)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SUMIFS(RAB!$F$15:$F$45,RAB!$C$15:$C$45,C1164)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SUMIFS(RAB!$F$15:$F$45,RAB!$C$15:$C$45,C1165)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SUMIFS(RAB!$F$15:$F$45,RAB!$C$15:$C$45,C1166)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SUMIFS(RAB!$F$15:$F$45,RAB!$C$15:$C$45,C1167)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SUMIFS(RAB!$F$15:$F$45,RAB!$C$15:$C$45,C1168)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SUMIFS(RAB!$F$15:$F$45,RAB!$C$15:$C$45,C1169)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SUMIFS(RAB!$F$15:$F$45,RAB!$C$15:$C$45,C1170)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SUMIFS(RAB!$F$15:$F$45,RAB!$C$15:$C$45,C1171)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SUMIFS(RAB!$F$15:$F$45,RAB!$C$15:$C$45,C1172)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SUMIFS(RAB!$F$15:$F$45,RAB!$C$15:$C$45,C1173)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SUMIFS(RAB!$F$15:$F$45,RAB!$C$15:$C$45,C1174)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SUMIFS(RAB!$F$15:$F$45,RAB!$C$15:$C$45,C1175)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SUMIFS(RAB!$F$15:$F$45,RAB!$C$15:$C$45,C1176)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SUMIFS(RAB!$F$15:$F$45,RAB!$C$15:$C$45,C1177)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SUMIFS(RAB!$F$15:$F$45,RAB!$C$15:$C$45,C1178)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SUMIFS(RAB!$F$15:$F$45,RAB!$C$15:$C$45,C1179)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SUMIFS(RAB!$F$15:$F$45,RAB!$C$15:$C$45,C1180)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SUMIFS(RAB!$F$15:$F$45,RAB!$C$15:$C$45,C1181)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SUMIFS(RAB!$F$15:$F$45,RAB!$C$15:$C$45,C1182)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SUMIFS(RAB!$F$15:$F$45,RAB!$C$15:$C$45,C1183)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SUMIFS(RAB!$F$15:$F$45,RAB!$C$15:$C$45,C1184)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SUMIFS(RAB!$F$15:$F$45,RAB!$C$15:$C$45,C1185)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SUMIFS(RAB!$F$15:$F$45,RAB!$C$15:$C$45,C1186)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SUMIFS(RAB!$F$15:$F$45,RAB!$C$15:$C$45,C1187)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SUMIFS(RAB!$F$15:$F$45,RAB!$C$15:$C$45,C1188)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SUMIFS(RAB!$F$15:$F$45,RAB!$C$15:$C$45,C1189)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SUMIFS(RAB!$F$15:$F$45,RAB!$C$15:$C$45,C1190)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SUMIFS(RAB!$F$15:$F$45,RAB!$C$15:$C$45,C1191)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SUMIFS(RAB!$F$15:$F$45,RAB!$C$15:$C$45,C1192)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SUMIFS(RAB!$F$15:$F$45,RAB!$C$15:$C$45,C1193)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SUMIFS(RAB!$F$15:$F$45,RAB!$C$15:$C$45,C1194)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SUMIFS(RAB!$F$15:$F$45,RAB!$C$15:$C$45,C1195)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SUMIFS(RAB!$F$15:$F$45,RAB!$C$15:$C$45,C1196)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SUMIFS(RAB!$F$15:$F$45,RAB!$C$15:$C$45,C1197)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SUMIFS(RAB!$F$15:$F$45,RAB!$C$15:$C$45,C1198)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SUMIFS(RAB!$F$15:$F$45,RAB!$C$15:$C$45,C1199)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SUMIFS(RAB!$F$15:$F$45,RAB!$C$15:$C$45,C1200)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SUMIFS(RAB!$F$15:$F$45,RAB!$C$15:$C$45,C1201)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SUMIFS(RAB!$F$15:$F$45,RAB!$C$15:$C$45,C1202)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SUMIFS(RAB!$F$15:$F$45,RAB!$C$15:$C$45,C1203)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SUMIFS(RAB!$F$15:$F$45,RAB!$C$15:$C$45,C1204)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SUMIFS(RAB!$F$15:$F$45,RAB!$C$15:$C$45,C1205)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SUMIFS(RAB!$F$15:$F$45,RAB!$C$15:$C$45,C1206)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SUMIFS(RAB!$F$15:$F$45,RAB!$C$15:$C$45,C1207)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SUMIFS(RAB!$F$15:$F$45,RAB!$C$15:$C$45,C1208)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SUMIFS(RAB!$F$15:$F$45,RAB!$C$15:$C$45,C1209)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SUMIFS(RAB!$F$15:$F$45,RAB!$C$15:$C$45,C1210)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SUMIFS(RAB!$F$15:$F$45,RAB!$C$15:$C$45,C1211)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SUMIFS(RAB!$F$15:$F$45,RAB!$C$15:$C$45,C1212)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SUMIFS(RAB!$F$15:$F$45,RAB!$C$15:$C$45,C1213)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SUMIFS(RAB!$F$15:$F$45,RAB!$C$15:$C$45,C1214)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SUMIFS(RAB!$F$15:$F$45,RAB!$C$15:$C$45,C1215)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SUMIFS(RAB!$F$15:$F$45,RAB!$C$15:$C$45,C1216)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SUMIFS(RAB!$F$15:$F$45,RAB!$C$15:$C$45,C1217)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SUMIFS(RAB!$F$15:$F$45,RAB!$C$15:$C$45,C1218)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SUMIFS(RAB!$F$15:$F$45,RAB!$C$15:$C$45,C1219)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SUMIFS(RAB!$F$15:$F$45,RAB!$C$15:$C$45,C1220)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SUMIFS(RAB!$F$15:$F$45,RAB!$C$15:$C$45,C1221)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SUMIFS(RAB!$F$15:$F$45,RAB!$C$15:$C$45,C1222)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SUMIFS(RAB!$F$15:$F$45,RAB!$C$15:$C$45,C1223)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SUMIFS(RAB!$F$15:$F$45,RAB!$C$15:$C$45,C1224)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SUMIFS(RAB!$F$15:$F$45,RAB!$C$15:$C$45,C1225)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SUMIFS(RAB!$F$15:$F$45,RAB!$C$15:$C$45,C1226)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SUMIFS(RAB!$F$15:$F$45,RAB!$C$15:$C$45,C1227)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SUMIFS(RAB!$F$15:$F$45,RAB!$C$15:$C$45,C1228)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SUMIFS(RAB!$F$15:$F$45,RAB!$C$15:$C$45,C1229)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SUMIFS(RAB!$F$15:$F$45,RAB!$C$15:$C$45,C1230)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SUMIFS(RAB!$F$15:$F$45,RAB!$C$15:$C$45,C1231)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SUMIFS(RAB!$F$15:$F$45,RAB!$C$15:$C$45,C1232)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SUMIFS(RAB!$F$15:$F$45,RAB!$C$15:$C$45,C1233)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SUMIFS(RAB!$F$15:$F$45,RAB!$C$15:$C$45,C1234)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SUMIFS(RAB!$F$15:$F$45,RAB!$C$15:$C$45,C1235)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SUMIFS(RAB!$F$15:$F$45,RAB!$C$15:$C$45,C1236)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SUMIFS(RAB!$F$15:$F$45,RAB!$C$15:$C$45,C1237)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SUMIFS(RAB!$F$15:$F$45,RAB!$C$15:$C$45,C1238)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SUMIFS(RAB!$F$15:$F$45,RAB!$C$15:$C$45,C1239)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SUMIFS(RAB!$F$15:$F$45,RAB!$C$15:$C$45,C1240)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SUMIFS(RAB!$F$15:$F$45,RAB!$C$15:$C$45,C1241)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SUMIFS(RAB!$F$15:$F$45,RAB!$C$15:$C$45,C1242)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SUMIFS(RAB!$F$15:$F$45,RAB!$C$15:$C$45,C1243)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SUMIFS(RAB!$F$15:$F$45,RAB!$C$15:$C$45,C1244)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SUMIFS(RAB!$F$15:$F$45,RAB!$C$15:$C$45,C1245)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SUMIFS(RAB!$F$15:$F$45,RAB!$C$15:$C$45,C1246)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SUMIFS(RAB!$F$15:$F$45,RAB!$C$15:$C$45,C1247)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SUMIFS(RAB!$F$15:$F$45,RAB!$C$15:$C$45,C1248)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SUMIFS(RAB!$F$15:$F$45,RAB!$C$15:$C$45,C1249)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SUMIFS(RAB!$F$15:$F$45,RAB!$C$15:$C$45,C1250)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SUMIFS(RAB!$F$15:$F$45,RAB!$C$15:$C$45,C1251)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SUMIFS(RAB!$F$15:$F$45,RAB!$C$15:$C$45,C1252)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SUMIFS(RAB!$F$15:$F$45,RAB!$C$15:$C$45,C1253)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SUMIFS(RAB!$F$15:$F$45,RAB!$C$15:$C$45,C1254)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SUMIFS(RAB!$F$15:$F$45,RAB!$C$15:$C$45,C1255)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SUMIFS(RAB!$F$15:$F$45,RAB!$C$15:$C$45,C1256)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SUMIFS(RAB!$F$15:$F$45,RAB!$C$15:$C$45,C1257)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SUMIFS(RAB!$F$15:$F$45,RAB!$C$15:$C$45,C1258)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SUMIFS(RAB!$F$15:$F$45,RAB!$C$15:$C$45,C1259)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SUMIFS(RAB!$F$15:$F$45,RAB!$C$15:$C$45,C1260)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SUMIFS(RAB!$F$15:$F$45,RAB!$C$15:$C$45,C1261)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SUMIFS(RAB!$F$15:$F$45,RAB!$C$15:$C$45,C1262)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SUMIFS(RAB!$F$15:$F$45,RAB!$C$15:$C$45,C1263)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SUMIFS(RAB!$F$15:$F$45,RAB!$C$15:$C$45,C1264)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SUMIFS(RAB!$F$15:$F$45,RAB!$C$15:$C$45,C1265)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SUMIFS(RAB!$F$15:$F$45,RAB!$C$15:$C$45,C1266)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SUMIFS(RAB!$F$15:$F$45,RAB!$C$15:$C$45,C1267)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SUMIFS(RAB!$F$15:$F$45,RAB!$C$15:$C$45,C1268)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SUMIFS(RAB!$F$15:$F$45,RAB!$C$15:$C$45,C1269)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SUMIFS(RAB!$F$15:$F$45,RAB!$C$15:$C$45,C1270)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SUMIFS(RAB!$F$15:$F$45,RAB!$C$15:$C$45,C1271)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SUMIFS(RAB!$F$15:$F$45,RAB!$C$15:$C$45,C1272)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SUMIFS(RAB!$F$15:$F$45,RAB!$C$15:$C$45,C1273)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SUMIFS(RAB!$F$15:$F$45,RAB!$C$15:$C$45,C1274)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SUMIFS(RAB!$F$15:$F$45,RAB!$C$15:$C$45,C1275)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SUMIFS(RAB!$F$15:$F$45,RAB!$C$15:$C$45,C1276)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SUMIFS(RAB!$F$15:$F$45,RAB!$C$15:$C$45,C1277)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SUMIFS(RAB!$F$15:$F$45,RAB!$C$15:$C$45,C1278)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SUMIFS(RAB!$F$15:$F$45,RAB!$C$15:$C$45,C1279)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SUMIFS(RAB!$F$15:$F$45,RAB!$C$15:$C$45,C1280)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SUMIFS(RAB!$F$15:$F$45,RAB!$C$15:$C$45,C1281)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SUMIFS(RAB!$F$15:$F$45,RAB!$C$15:$C$45,C1282)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SUMIFS(RAB!$F$15:$F$45,RAB!$C$15:$C$45,C1283)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SUMIFS(RAB!$F$15:$F$45,RAB!$C$15:$C$45,C1284)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SUMIFS(RAB!$F$15:$F$45,RAB!$C$15:$C$45,C1285)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SUMIFS(RAB!$F$15:$F$45,RAB!$C$15:$C$45,C1286)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SUMIFS(RAB!$F$15:$F$45,RAB!$C$15:$C$45,C1287)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SUMIFS(RAB!$F$15:$F$45,RAB!$C$15:$C$45,C1288)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SUMIFS(RAB!$F$15:$F$45,RAB!$C$15:$C$45,C1289)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SUMIFS(RAB!$F$15:$F$45,RAB!$C$15:$C$45,C1290)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SUMIFS(RAB!$F$15:$F$45,RAB!$C$15:$C$45,C1291)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SUMIFS(RAB!$F$15:$F$45,RAB!$C$15:$C$45,C1292)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SUMIFS(RAB!$F$15:$F$45,RAB!$C$15:$C$45,C1293)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SUMIFS(RAB!$F$15:$F$45,RAB!$C$15:$C$45,C1294)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SUMIFS(RAB!$F$15:$F$45,RAB!$C$15:$C$45,C1295)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SUMIFS(RAB!$F$15:$F$45,RAB!$C$15:$C$45,C1296)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SUMIFS(RAB!$F$15:$F$45,RAB!$C$15:$C$45,C1297)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SUMIFS(RAB!$F$15:$F$45,RAB!$C$15:$C$45,C1298)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SUMIFS(RAB!$F$15:$F$45,RAB!$C$15:$C$45,C1299)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SUMIFS(RAB!$F$15:$F$45,RAB!$C$15:$C$45,C1300)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SUMIFS(RAB!$F$15:$F$45,RAB!$C$15:$C$45,C1301)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SUMIFS(RAB!$F$15:$F$45,RAB!$C$15:$C$45,C1302)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SUMIFS(RAB!$F$15:$F$45,RAB!$C$15:$C$45,C1303)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SUMIFS(RAB!$F$15:$F$45,RAB!$C$15:$C$45,C1304)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SUMIFS(RAB!$F$15:$F$45,RAB!$C$15:$C$45,C1305)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SUMIFS(RAB!$F$15:$F$45,RAB!$C$15:$C$45,C1306)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SUMIFS(RAB!$F$15:$F$45,RAB!$C$15:$C$45,C1307)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SUMIFS(RAB!$F$15:$F$45,RAB!$C$15:$C$45,C1308)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SUMIFS(RAB!$F$15:$F$45,RAB!$C$15:$C$45,C1309)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SUMIFS(RAB!$F$15:$F$45,RAB!$C$15:$C$45,C1310)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SUMIFS(RAB!$F$15:$F$45,RAB!$C$15:$C$45,C1311)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SUMIFS(RAB!$F$15:$F$45,RAB!$C$15:$C$45,C1312)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SUMIFS(RAB!$F$15:$F$45,RAB!$C$15:$C$45,C1313)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SUMIFS(RAB!$F$15:$F$45,RAB!$C$15:$C$45,C1314)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SUMIFS(RAB!$F$15:$F$45,RAB!$C$15:$C$45,C1315)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SUMIFS(RAB!$F$15:$F$45,RAB!$C$15:$C$45,C1316)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SUMIFS(RAB!$F$15:$F$45,RAB!$C$15:$C$45,C1317)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SUMIFS(RAB!$F$15:$F$45,RAB!$C$15:$C$45,C1318)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SUMIFS(RAB!$F$15:$F$45,RAB!$C$15:$C$45,C1319)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SUMIFS(RAB!$F$15:$F$45,RAB!$C$15:$C$45,C1320)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7" t="s">
        <v>1126</v>
      </c>
      <c r="C4" s="517"/>
      <c r="D4" s="517"/>
      <c r="E4" s="517"/>
      <c r="F4" s="517"/>
      <c r="G4" s="517"/>
      <c r="H4" s="517"/>
      <c r="I4" s="517"/>
      <c r="J4" s="517"/>
      <c r="K4" s="51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10" t="str">
        <f>RAB!G6</f>
        <v>YAYSAN AL MADINA</v>
      </c>
      <c r="H6" s="510"/>
      <c r="I6" s="510"/>
      <c r="J6" s="510"/>
      <c r="K6" s="510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MERAK DEMPET DS MERAK  RT 1 RW 1, MERAK,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8" t="s">
        <v>0</v>
      </c>
      <c r="C11" s="520" t="s">
        <v>1</v>
      </c>
      <c r="D11" s="523" t="s">
        <v>42</v>
      </c>
      <c r="E11" s="523" t="s">
        <v>43</v>
      </c>
      <c r="F11" s="523" t="s">
        <v>2</v>
      </c>
      <c r="G11" s="524" t="s">
        <v>41</v>
      </c>
      <c r="H11" s="523" t="s">
        <v>3</v>
      </c>
      <c r="I11" s="523"/>
      <c r="J11" s="523"/>
      <c r="K11" s="527"/>
      <c r="M11" s="33"/>
      <c r="N11" s="33"/>
      <c r="O11" s="33"/>
      <c r="P11" s="33"/>
      <c r="R11" s="34"/>
      <c r="S11" s="74"/>
      <c r="T11" s="74"/>
    </row>
    <row r="12" spans="1:21" ht="15" customHeight="1">
      <c r="B12" s="519"/>
      <c r="C12" s="521"/>
      <c r="D12" s="513"/>
      <c r="E12" s="513"/>
      <c r="F12" s="513"/>
      <c r="G12" s="525"/>
      <c r="H12" s="515" t="s">
        <v>46</v>
      </c>
      <c r="I12" s="515" t="s">
        <v>5</v>
      </c>
      <c r="J12" s="513" t="s">
        <v>47</v>
      </c>
      <c r="K12" s="51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9"/>
      <c r="C13" s="522"/>
      <c r="D13" s="513"/>
      <c r="E13" s="513"/>
      <c r="F13" s="513"/>
      <c r="G13" s="526"/>
      <c r="H13" s="516"/>
      <c r="I13" s="516"/>
      <c r="J13" s="513"/>
      <c r="K13" s="51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11" t="s">
        <v>1007</v>
      </c>
      <c r="D38" s="511"/>
      <c r="E38" s="511"/>
      <c r="F38" s="511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12" t="s">
        <v>462</v>
      </c>
      <c r="D39" s="512"/>
      <c r="E39" s="512"/>
      <c r="F39" s="512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01" t="s">
        <v>463</v>
      </c>
      <c r="D40" s="501"/>
      <c r="E40" s="501"/>
      <c r="F40" s="50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04" t="e">
        <f ca="1">"Terbilang : ( "&amp;L42&amp;" Rupiah )"</f>
        <v>#NAME?</v>
      </c>
      <c r="C41" s="505"/>
      <c r="D41" s="505"/>
      <c r="E41" s="505"/>
      <c r="F41" s="505"/>
      <c r="G41" s="505"/>
      <c r="H41" s="505"/>
      <c r="I41" s="505"/>
      <c r="J41" s="505"/>
      <c r="K41" s="506"/>
      <c r="L41" s="44"/>
      <c r="R41" s="58"/>
      <c r="S41" s="58"/>
      <c r="T41" s="58"/>
    </row>
    <row r="42" spans="1:20" s="36" customFormat="1">
      <c r="A42" s="30"/>
      <c r="B42" s="507"/>
      <c r="C42" s="508"/>
      <c r="D42" s="508"/>
      <c r="E42" s="508"/>
      <c r="F42" s="508"/>
      <c r="G42" s="508"/>
      <c r="H42" s="508"/>
      <c r="I42" s="508"/>
      <c r="J42" s="508"/>
      <c r="K42" s="509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02"/>
      <c r="I45" s="502"/>
      <c r="J45" s="503"/>
      <c r="K45" s="50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02"/>
      <c r="I46" s="502"/>
      <c r="J46" s="503"/>
      <c r="K46" s="50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02"/>
      <c r="I47" s="502"/>
      <c r="J47" s="503"/>
      <c r="K47" s="50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02"/>
      <c r="I52" s="502"/>
      <c r="J52" s="503"/>
      <c r="K52" s="50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SUMIFS(RAB!$F$15:$F$45,RAB!$C$15:$C$45,'REKAP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SUMIFS(RAB!$F$15:$F$45,RAB!$C$15:$C$45,'REKAP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SUMIFS(RAB!$F$15:$F$45,RAB!$C$15:$C$45,'REKAP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SUMIFS(RAB!$F$15:$F$45,RAB!$C$15:$C$45,'REKAP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SUMIFS(RAB!$F$15:$F$45,RAB!$C$15:$C$45,'REKAP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SUMIFS(RAB!$F$15:$F$45,RAB!$C$15:$C$45,'REKAP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SUMIFS(RAB!$F$15:$F$45,RAB!$C$15:$C$45,'REKAP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SUMIFS(RAB!$F$15:$F$45,RAB!$C$15:$C$45,'REKAP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SUMIFS(RAB!$F$15:$F$45,RAB!$C$15:$C$45,'REKAP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SUMIFS(RAB!$F$15:$F$45,RAB!$C$15:$C$45,'REKAP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SUMIFS(RAB!$F$15:$F$45,RAB!$C$15:$C$45,'REKAP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SUMIFS(RAB!$F$15:$F$45,RAB!$C$15:$C$45,'REKAP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SUMIFS(RAB!$F$15:$F$45,RAB!$C$15:$C$45,'REKAP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SUMIFS(RAB!$F$15:$F$45,RAB!$C$15:$C$45,'REKAP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SUMIFS(RAB!$F$15:$F$45,RAB!$C$15:$C$45,'REKAP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SUMIFS(RAB!$F$15:$F$45,RAB!$C$15:$C$45,'REKAP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SUMIFS(RAB!$F$15:$F$45,RAB!$C$15:$C$45,'REKAP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SUMIFS(RAB!$F$15:$F$45,RAB!$C$15:$C$45,'REKAP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SUMIFS(RAB!$F$15:$F$45,RAB!$C$15:$C$45,'REKAP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SUMIFS(RAB!$F$15:$F$45,RAB!$C$15:$C$45,'REKAP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7" t="s">
        <v>1033</v>
      </c>
      <c r="C4" s="517"/>
      <c r="D4" s="517"/>
      <c r="E4" s="517"/>
      <c r="F4" s="517"/>
      <c r="G4" s="517"/>
      <c r="H4" s="517"/>
      <c r="I4" s="517"/>
      <c r="J4" s="517"/>
      <c r="K4" s="51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10" t="str">
        <f>RAB!G6</f>
        <v>YAYSAN AL MADINA</v>
      </c>
      <c r="H6" s="510"/>
      <c r="I6" s="510"/>
      <c r="J6" s="510"/>
      <c r="K6" s="510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MERAK DEMPET DS MERAK  RT 1 RW 1, MERAK,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8" t="s">
        <v>0</v>
      </c>
      <c r="C11" s="520" t="s">
        <v>1</v>
      </c>
      <c r="D11" s="523" t="s">
        <v>42</v>
      </c>
      <c r="E11" s="523" t="s">
        <v>43</v>
      </c>
      <c r="F11" s="523" t="s">
        <v>2</v>
      </c>
      <c r="G11" s="524" t="s">
        <v>41</v>
      </c>
      <c r="H11" s="523" t="s">
        <v>3</v>
      </c>
      <c r="I11" s="523"/>
      <c r="J11" s="523"/>
      <c r="K11" s="527"/>
      <c r="M11" s="33"/>
      <c r="N11" s="33"/>
      <c r="O11" s="33"/>
      <c r="P11" s="33"/>
      <c r="R11" s="34"/>
      <c r="S11" s="74"/>
      <c r="T11" s="74"/>
    </row>
    <row r="12" spans="1:21" ht="15" customHeight="1">
      <c r="B12" s="519"/>
      <c r="C12" s="521"/>
      <c r="D12" s="513"/>
      <c r="E12" s="513"/>
      <c r="F12" s="513"/>
      <c r="G12" s="525"/>
      <c r="H12" s="515" t="s">
        <v>46</v>
      </c>
      <c r="I12" s="515" t="s">
        <v>5</v>
      </c>
      <c r="J12" s="513" t="s">
        <v>47</v>
      </c>
      <c r="K12" s="51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9"/>
      <c r="C13" s="522"/>
      <c r="D13" s="513"/>
      <c r="E13" s="513"/>
      <c r="F13" s="513"/>
      <c r="G13" s="526"/>
      <c r="H13" s="516"/>
      <c r="I13" s="516"/>
      <c r="J13" s="513"/>
      <c r="K13" s="51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1907500</v>
      </c>
      <c r="I18" s="42">
        <f t="shared" ca="1" si="2"/>
        <v>0</v>
      </c>
      <c r="J18" s="42">
        <f t="shared" ca="1" si="3"/>
        <v>0</v>
      </c>
      <c r="K18" s="43">
        <f t="shared" ca="1" si="0"/>
        <v>1907500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11" t="s">
        <v>1007</v>
      </c>
      <c r="D168" s="511"/>
      <c r="E168" s="511"/>
      <c r="F168" s="511"/>
      <c r="G168" s="77" t="s">
        <v>9</v>
      </c>
      <c r="H168" s="55">
        <f ca="1">SUM(H14:H167)</f>
        <v>17056000</v>
      </c>
      <c r="I168" s="55">
        <f ca="1">SUM(I14:I167)</f>
        <v>0</v>
      </c>
      <c r="J168" s="55">
        <f ca="1">SUM(J14:J167)</f>
        <v>0</v>
      </c>
      <c r="K168" s="55">
        <f ca="1">SUM(K14:K167)</f>
        <v>17056000</v>
      </c>
      <c r="L168" s="44"/>
      <c r="R168" s="99"/>
      <c r="S168" s="99"/>
      <c r="T168" s="99"/>
    </row>
    <row r="169" spans="1:20" s="36" customFormat="1">
      <c r="A169" s="30"/>
      <c r="B169" s="56"/>
      <c r="C169" s="512" t="s">
        <v>462</v>
      </c>
      <c r="D169" s="512"/>
      <c r="E169" s="512"/>
      <c r="F169" s="512"/>
      <c r="G169" s="59" t="s">
        <v>9</v>
      </c>
      <c r="H169" s="60">
        <f ca="1">H168*0.1</f>
        <v>1705600</v>
      </c>
      <c r="I169" s="60">
        <f ca="1">I168*0.1</f>
        <v>0</v>
      </c>
      <c r="J169" s="60">
        <f ca="1">J168*0.1</f>
        <v>0</v>
      </c>
      <c r="K169" s="60">
        <f ca="1">K168*0.1</f>
        <v>1705600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01" t="s">
        <v>463</v>
      </c>
      <c r="D170" s="501"/>
      <c r="E170" s="501"/>
      <c r="F170" s="501"/>
      <c r="G170" s="61" t="s">
        <v>9</v>
      </c>
      <c r="H170" s="78">
        <f ca="1">SUM(H168:H169)</f>
        <v>18761600</v>
      </c>
      <c r="I170" s="78">
        <f ca="1">SUM(I168:I169)</f>
        <v>0</v>
      </c>
      <c r="J170" s="61">
        <f ca="1">SUM(J168:J169)</f>
        <v>0</v>
      </c>
      <c r="K170" s="61">
        <f ca="1">SUM(K168:K169)</f>
        <v>18761600</v>
      </c>
      <c r="L170" s="44"/>
      <c r="R170" s="99"/>
      <c r="S170" s="99"/>
      <c r="T170" s="99"/>
    </row>
    <row r="171" spans="1:20" s="36" customFormat="1">
      <c r="A171" s="30"/>
      <c r="B171" s="504" t="e">
        <f ca="1">"Terbilang : ( "&amp;L172&amp;" Rupiah )"</f>
        <v>#NAME?</v>
      </c>
      <c r="C171" s="505"/>
      <c r="D171" s="505"/>
      <c r="E171" s="505"/>
      <c r="F171" s="505"/>
      <c r="G171" s="505"/>
      <c r="H171" s="505"/>
      <c r="I171" s="505"/>
      <c r="J171" s="505"/>
      <c r="K171" s="506"/>
      <c r="L171" s="44"/>
      <c r="R171" s="58"/>
      <c r="S171" s="58"/>
      <c r="T171" s="58"/>
    </row>
    <row r="172" spans="1:20" s="36" customFormat="1">
      <c r="A172" s="30"/>
      <c r="B172" s="507"/>
      <c r="C172" s="508"/>
      <c r="D172" s="508"/>
      <c r="E172" s="508"/>
      <c r="F172" s="508"/>
      <c r="G172" s="508"/>
      <c r="H172" s="508"/>
      <c r="I172" s="508"/>
      <c r="J172" s="508"/>
      <c r="K172" s="509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02"/>
      <c r="I175" s="502"/>
      <c r="J175" s="503"/>
      <c r="K175" s="50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02"/>
      <c r="I176" s="502"/>
      <c r="J176" s="503"/>
      <c r="K176" s="50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02"/>
      <c r="I177" s="502"/>
      <c r="J177" s="503"/>
      <c r="K177" s="50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02"/>
      <c r="I182" s="502"/>
      <c r="J182" s="503"/>
      <c r="K182" s="50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SUMIFS(RAB!$F$15:$F$45,RAB!$C$15:$C$45,C224)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SUMIFS(RAB!$F$15:$F$45,RAB!$C$15:$C$45,C225)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SUMIFS(RAB!$F$15:$F$45,RAB!$C$15:$C$45,C226)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SUMIFS(RAB!$F$15:$F$45,RAB!$C$15:$C$45,C227)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SUMIFS(RAB!$F$15:$F$45,RAB!$C$15:$C$45,C228)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SUMIFS(RAB!$F$15:$F$45,RAB!$C$15:$C$45,C229)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SUMIFS(RAB!$F$15:$F$45,RAB!$C$15:$C$45,C230)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SUMIFS(RAB!$F$15:$F$45,RAB!$C$15:$C$45,C231)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SUMIFS(RAB!$F$15:$F$45,RAB!$C$15:$C$45,C232)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SUMIFS(RAB!$F$15:$F$45,RAB!$C$15:$C$45,C233)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SUMIFS(RAB!$F$15:$F$45,RAB!$C$15:$C$45,C234)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SUMIFS(RAB!$F$15:$F$45,RAB!$C$15:$C$45,C235)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SUMIFS(RAB!$F$15:$F$45,RAB!$C$15:$C$45,C236)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SUMIFS(RAB!$F$15:$F$45,RAB!$C$15:$C$45,C237)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SUMIFS(RAB!$F$15:$F$45,RAB!$C$15:$C$45,C238)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SUMIFS(RAB!$F$15:$F$45,RAB!$C$15:$C$45,C239)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SUMIFS(RAB!$F$15:$F$45,RAB!$C$15:$C$45,C240)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SUMIFS(RAB!$F$15:$F$45,RAB!$C$15:$C$45,C241)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SUMIFS(RAB!$F$15:$F$45,RAB!$C$15:$C$45,C242)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SUMIFS(RAB!$F$15:$F$45,RAB!$C$15:$C$45,C243)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SUMIFS(RAB!$F$15:$F$45,RAB!$C$15:$C$45,C244)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SUMIFS(RAB!$F$15:$F$45,RAB!$C$15:$C$45,C245)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SUMIFS(RAB!$F$15:$F$45,RAB!$C$15:$C$45,C246)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SUMIFS(RAB!$F$15:$F$45,RAB!$C$15:$C$45,C247)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SUMIFS(RAB!$F$15:$F$45,RAB!$C$15:$C$45,C248)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SUMIFS(RAB!$F$15:$F$45,RAB!$C$15:$C$45,C249)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SUMIFS(RAB!$F$15:$F$45,RAB!$C$15:$C$45,C250)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SUMIFS(RAB!$F$15:$F$45,RAB!$C$15:$C$45,C251)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SUMIFS(RAB!$F$15:$F$45,RAB!$C$15:$C$45,C252)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SUMIFS(RAB!$F$15:$F$45,RAB!$C$15:$C$45,C253)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SUMIFS(RAB!$F$15:$F$45,RAB!$C$15:$C$45,C254)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SUMIFS(RAB!$F$15:$F$45,RAB!$C$15:$C$45,C255)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SUMIFS(RAB!$F$15:$F$45,RAB!$C$15:$C$45,C256)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SUMIFS(RAB!$F$15:$F$45,RAB!$C$15:$C$45,C257)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SUMIFS(RAB!$F$15:$F$45,RAB!$C$15:$C$45,C258)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SUMIFS(RAB!$F$15:$F$45,RAB!$C$15:$C$45,C259)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SUMIFS(RAB!$F$15:$F$45,RAB!$C$15:$C$45,C260)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SUMIFS(RAB!$F$15:$F$45,RAB!$C$15:$C$45,C261)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SUMIFS(RAB!$F$15:$F$45,RAB!$C$15:$C$45,C262)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SUMIFS(RAB!$F$15:$F$45,RAB!$C$15:$C$45,C263)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SUMIFS(RAB!$F$15:$F$45,RAB!$C$15:$C$45,C264)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SUMIFS(RAB!$F$15:$F$45,RAB!$C$15:$C$45,C265)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SUMIFS(RAB!$F$15:$F$45,RAB!$C$15:$C$45,C266)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SUMIFS(RAB!$F$15:$F$45,RAB!$C$15:$C$45,C267)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SUMIFS(RAB!$F$15:$F$45,RAB!$C$15:$C$45,C268)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SUMIFS(RAB!$F$15:$F$45,RAB!$C$15:$C$45,C269)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SUMIFS(RAB!$F$15:$F$45,RAB!$C$15:$C$45,C270)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SUMIFS(RAB!$F$15:$F$45,RAB!$C$15:$C$45,C271)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SUMIFS(RAB!$F$15:$F$45,RAB!$C$15:$C$45,C272)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SUMIFS(RAB!$F$15:$F$45,RAB!$C$15:$C$45,C273)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SUMIFS(RAB!$F$15:$F$45,RAB!$C$15:$C$45,C274)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SUMIFS(RAB!$F$15:$F$45,RAB!$C$15:$C$45,C275)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SUMIFS(RAB!$F$15:$F$45,RAB!$C$15:$C$45,C276)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SUMIFS(RAB!$F$15:$F$45,RAB!$C$15:$C$45,C277)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SUMIFS(RAB!$F$15:$F$45,RAB!$C$15:$C$45,C278)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SUMIFS(RAB!$F$15:$F$45,RAB!$C$15:$C$45,C279)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SUMIFS(RAB!$F$15:$F$45,RAB!$C$15:$C$45,C280)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SUMIFS(RAB!$F$15:$F$45,RAB!$C$15:$C$45,C281)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SUMIFS(RAB!$F$15:$F$45,RAB!$C$15:$C$45,C282)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SUMIFS(RAB!$F$15:$F$45,RAB!$C$15:$C$45,C283)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SUMIFS(RAB!$F$15:$F$45,RAB!$C$15:$C$45,C284)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SUMIFS(RAB!$F$15:$F$45,RAB!$C$15:$C$45,C285)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SUMIFS(RAB!$F$15:$F$45,RAB!$C$15:$C$45,C286)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SUMIFS(RAB!$F$15:$F$45,RAB!$C$15:$C$45,C287)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SUMIFS(RAB!$F$15:$F$45,RAB!$C$15:$C$45,C288)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SUMIFS(RAB!$F$15:$F$45,RAB!$C$15:$C$45,C289)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SUMIFS(RAB!$F$15:$F$45,RAB!$C$15:$C$45,C290)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SUMIFS(RAB!$F$15:$F$45,RAB!$C$15:$C$45,C291)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SUMIFS(RAB!$F$15:$F$45,RAB!$C$15:$C$45,C292)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SUMIFS(RAB!$F$15:$F$45,RAB!$C$15:$C$45,C293)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SUMIFS(RAB!$F$15:$F$45,RAB!$C$15:$C$45,C294)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SUMIFS(RAB!$F$15:$F$45,RAB!$C$15:$C$45,C295)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SUMIFS(RAB!$F$15:$F$45,RAB!$C$15:$C$45,C296)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SUMIFS(RAB!$F$15:$F$45,RAB!$C$15:$C$45,C297)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SUMIFS(RAB!$F$15:$F$45,RAB!$C$15:$C$45,C298)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SUMIFS(RAB!$F$15:$F$45,RAB!$C$15:$C$45,C299)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SUMIFS(RAB!$F$15:$F$45,RAB!$C$15:$C$45,C300)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SUMIFS(RAB!$F$15:$F$45,RAB!$C$15:$C$45,C301)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SUMIFS(RAB!$F$15:$F$45,RAB!$C$15:$C$45,C302)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SUMIFS(RAB!$F$15:$F$45,RAB!$C$15:$C$45,C303)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SUMIFS(RAB!$F$15:$F$45,RAB!$C$15:$C$45,C304)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SUMIFS(RAB!$F$15:$F$45,RAB!$C$15:$C$45,C305)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SUMIFS(RAB!$F$15:$F$45,RAB!$C$15:$C$45,C306)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SUMIFS(RAB!$F$15:$F$45,RAB!$C$15:$C$45,C307)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SUMIFS(RAB!$F$15:$F$45,RAB!$C$15:$C$45,C308)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SUMIFS(RAB!$F$15:$F$45,RAB!$C$15:$C$45,C309)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SUMIFS(RAB!$F$15:$F$45,RAB!$C$15:$C$45,C310)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SUMIFS(RAB!$F$15:$F$45,RAB!$C$15:$C$45,C311)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SUMIFS(RAB!$F$15:$F$45,RAB!$C$15:$C$45,C312)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SUMIFS(RAB!$F$15:$F$45,RAB!$C$15:$C$45,C313)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SUMIFS(RAB!$F$15:$F$45,RAB!$C$15:$C$45,C314)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SUMIFS(RAB!$F$15:$F$45,RAB!$C$15:$C$45,C315)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SUMIFS(RAB!$F$15:$F$45,RAB!$C$15:$C$45,C316)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SUMIFS(RAB!$F$15:$F$45,RAB!$C$15:$C$45,C317)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SUMIFS(RAB!$F$15:$F$45,RAB!$C$15:$C$45,C318)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SUMIFS(RAB!$F$15:$F$45,RAB!$C$15:$C$45,C319)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SUMIFS(RAB!$F$15:$F$45,RAB!$C$15:$C$45,C320)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SUMIFS(RAB!$F$15:$F$45,RAB!$C$15:$C$45,C321)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SUMIFS(RAB!$F$15:$F$45,RAB!$C$15:$C$45,C322)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SUMIFS(RAB!$F$15:$F$45,RAB!$C$15:$C$45,C323)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SUMIFS(RAB!$F$15:$F$45,RAB!$C$15:$C$45,C324)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SUMIFS(RAB!$F$15:$F$45,RAB!$C$15:$C$45,C325)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SUMIFS(RAB!$F$15:$F$45,RAB!$C$15:$C$45,C326)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SUMIFS(RAB!$F$15:$F$45,RAB!$C$15:$C$45,C327)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SUMIFS(RAB!$F$15:$F$45,RAB!$C$15:$C$45,C328)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SUMIFS(RAB!$F$15:$F$45,RAB!$C$15:$C$45,C329)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SUMIFS(RAB!$F$15:$F$45,RAB!$C$15:$C$45,C330)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SUMIFS(RAB!$F$15:$F$45,RAB!$C$15:$C$45,C331)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SUMIFS(RAB!$F$15:$F$45,RAB!$C$15:$C$45,C332)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SUMIFS(RAB!$F$15:$F$45,RAB!$C$15:$C$45,C333)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SUMIFS(RAB!$F$15:$F$45,RAB!$C$15:$C$45,C334)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SUMIFS(RAB!$F$15:$F$45,RAB!$C$15:$C$45,C335)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SUMIFS(RAB!$F$15:$F$45,RAB!$C$15:$C$45,C336)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SUMIFS(RAB!$F$15:$F$45,RAB!$C$15:$C$45,C337)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SUMIFS(RAB!$F$15:$F$45,RAB!$C$15:$C$45,C338)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SUMIFS(RAB!$F$15:$F$45,RAB!$C$15:$C$45,C339)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SUMIFS(RAB!$F$15:$F$45,RAB!$C$15:$C$45,C340)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SUMIFS(RAB!$F$15:$F$45,RAB!$C$15:$C$45,C341)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SUMIFS(RAB!$F$15:$F$45,RAB!$C$15:$C$45,C342)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SUMIFS(RAB!$F$15:$F$45,RAB!$C$15:$C$45,C343)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SUMIFS(RAB!$F$15:$F$45,RAB!$C$15:$C$45,C344)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SUMIFS(RAB!$F$15:$F$45,RAB!$C$15:$C$45,C345)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SUMIFS(RAB!$F$15:$F$45,RAB!$C$15:$C$45,C346)</f>
        <v>35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SUMIFS(RAB!$F$15:$F$45,RAB!$C$15:$C$45,C347)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SUMIFS(RAB!$F$15:$F$45,RAB!$C$15:$C$45,C348)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SUMIFS(RAB!$F$15:$F$45,RAB!$C$15:$C$45,C349)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SUMIFS(RAB!$F$15:$F$45,RAB!$C$15:$C$45,C350)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SUMIFS(RAB!$F$15:$F$45,RAB!$C$15:$C$45,C351)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SUMIFS(RAB!$F$15:$F$45,RAB!$C$15:$C$45,C352)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SUMIFS(RAB!$F$15:$F$45,RAB!$C$15:$C$45,C353)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SUMIFS(RAB!$F$15:$F$45,RAB!$C$15:$C$45,C354)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SUMIFS(RAB!$F$15:$F$45,RAB!$C$15:$C$45,C355)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SUMIFS(RAB!$F$15:$F$45,RAB!$C$15:$C$45,C356)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SUMIFS(RAB!$F$15:$F$45,RAB!$C$15:$C$45,C357)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SUMIFS(RAB!$F$15:$F$45,RAB!$C$15:$C$45,C358)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SUMIFS(RAB!$F$15:$F$45,RAB!$C$15:$C$45,C359)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SUMIFS(RAB!$F$15:$F$45,RAB!$C$15:$C$45,C360)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SUMIFS(RAB!$F$15:$F$45,RAB!$C$15:$C$45,C361)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SUMIFS(RAB!$F$15:$F$45,RAB!$C$15:$C$45,C362)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SUMIFS(RAB!$F$15:$F$45,RAB!$C$15:$C$45,C363)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SUMIFS(RAB!$F$15:$F$45,RAB!$C$15:$C$45,C364)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SUMIFS(RAB!$F$15:$F$45,RAB!$C$15:$C$45,C365)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SUMIFS(RAB!$F$15:$F$45,RAB!$C$15:$C$45,C366)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SUMIFS(RAB!$F$15:$F$45,RAB!$C$15:$C$45,C367)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SUMIFS(RAB!$F$15:$F$45,RAB!$C$15:$C$45,C368)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SUMIFS(RAB!$F$15:$F$45,RAB!$C$15:$C$45,C369)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SUMIFS(RAB!$F$15:$F$45,RAB!$C$15:$C$45,C370)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SUMIFS(RAB!$F$15:$F$45,RAB!$C$15:$C$45,C371)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SUMIFS(RAB!$F$15:$F$45,RAB!$C$15:$C$45,C372)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SUMIFS(RAB!$F$15:$F$45,RAB!$C$15:$C$45,C373)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0" activePane="bottomRight" state="frozen"/>
      <selection activeCell="C28" sqref="C28"/>
      <selection pane="topRight" activeCell="C28" sqref="C28"/>
      <selection pane="bottomLeft" activeCell="C28" sqref="C28"/>
      <selection pane="bottomRight" activeCell="C230" sqref="C23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9" t="s">
        <v>41</v>
      </c>
      <c r="C2" s="52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0" t="s">
        <v>23</v>
      </c>
      <c r="C4" s="531" t="s">
        <v>1011</v>
      </c>
      <c r="D4" s="531" t="s">
        <v>42</v>
      </c>
      <c r="E4" s="530" t="s">
        <v>43</v>
      </c>
      <c r="F4" s="108" t="s">
        <v>1604</v>
      </c>
      <c r="G4" s="108" t="s">
        <v>1603</v>
      </c>
      <c r="H4" s="528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0"/>
      <c r="C5" s="531"/>
      <c r="D5" s="531"/>
      <c r="E5" s="530"/>
      <c r="F5" s="93"/>
      <c r="G5" s="93"/>
      <c r="H5" s="528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36" t="s">
        <v>1452</v>
      </c>
      <c r="C2" s="536"/>
      <c r="D2" s="536"/>
      <c r="E2" s="536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41" t="s">
        <v>1530</v>
      </c>
      <c r="C4" s="542"/>
      <c r="D4" s="542"/>
      <c r="E4" s="543"/>
      <c r="F4" s="388"/>
      <c r="G4" s="388"/>
      <c r="H4" s="389"/>
      <c r="I4" s="568" t="s">
        <v>1531</v>
      </c>
      <c r="J4" s="569"/>
      <c r="K4" s="569"/>
      <c r="L4" s="570"/>
    </row>
    <row r="5" spans="1:12" ht="34.5" customHeight="1">
      <c r="A5" s="204"/>
      <c r="B5" s="391" t="s">
        <v>1378</v>
      </c>
      <c r="C5" s="235" t="s">
        <v>9</v>
      </c>
      <c r="D5" s="537" t="str">
        <f>DATA!D14</f>
        <v>YAYSAN AL MADINA</v>
      </c>
      <c r="E5" s="538"/>
      <c r="F5" s="208"/>
      <c r="G5" s="208"/>
      <c r="I5" s="392" t="s">
        <v>1378</v>
      </c>
      <c r="J5" s="235" t="s">
        <v>9</v>
      </c>
      <c r="K5" s="571" t="str">
        <f>D5</f>
        <v>YAYSAN AL MADINA</v>
      </c>
      <c r="L5" s="572"/>
    </row>
    <row r="6" spans="1:12" ht="31.5" customHeight="1">
      <c r="A6" s="204"/>
      <c r="B6" s="391" t="s">
        <v>1527</v>
      </c>
      <c r="C6" s="235" t="s">
        <v>9</v>
      </c>
      <c r="D6" s="546">
        <f>DATA!D17*1000</f>
        <v>23000</v>
      </c>
      <c r="E6" s="547"/>
      <c r="F6" s="208"/>
      <c r="G6" s="208"/>
      <c r="I6" s="392" t="s">
        <v>1528</v>
      </c>
      <c r="J6" s="235" t="s">
        <v>9</v>
      </c>
      <c r="K6" s="573">
        <f>DATA!D20*1000</f>
        <v>53000</v>
      </c>
      <c r="L6" s="574"/>
    </row>
    <row r="7" spans="1:12" ht="30.75" customHeight="1">
      <c r="A7" s="204"/>
      <c r="B7" s="391" t="s">
        <v>1439</v>
      </c>
      <c r="C7" s="235" t="s">
        <v>9</v>
      </c>
      <c r="D7" s="544">
        <f>DATA!D18</f>
        <v>3</v>
      </c>
      <c r="E7" s="545"/>
      <c r="F7" s="390" t="s">
        <v>1451</v>
      </c>
      <c r="I7" s="392" t="s">
        <v>1439</v>
      </c>
      <c r="J7" s="235" t="s">
        <v>9</v>
      </c>
      <c r="K7" s="575">
        <f>DATA!D21</f>
        <v>3</v>
      </c>
      <c r="L7" s="576"/>
    </row>
    <row r="8" spans="1:12" ht="51" customHeight="1">
      <c r="A8" s="204"/>
      <c r="B8" s="391" t="s">
        <v>1440</v>
      </c>
      <c r="C8" s="235" t="s">
        <v>9</v>
      </c>
      <c r="D8" s="544">
        <f>DATA!D19</f>
        <v>380</v>
      </c>
      <c r="E8" s="545"/>
      <c r="F8" s="390" t="s">
        <v>1451</v>
      </c>
      <c r="G8" s="385">
        <v>220</v>
      </c>
      <c r="I8" s="392" t="s">
        <v>1440</v>
      </c>
      <c r="J8" s="235" t="s">
        <v>9</v>
      </c>
      <c r="K8" s="575">
        <f>DATA!D22</f>
        <v>380</v>
      </c>
      <c r="L8" s="576"/>
    </row>
    <row r="9" spans="1:12" ht="30" customHeight="1" thickBot="1">
      <c r="A9" s="204"/>
      <c r="B9" s="397" t="s">
        <v>1539</v>
      </c>
      <c r="C9" s="387" t="s">
        <v>9</v>
      </c>
      <c r="D9" s="539">
        <f>IF(D7=1,D6/(380/3^0.5),(D6/(380*3^0.5)))</f>
        <v>34.94488471410893</v>
      </c>
      <c r="E9" s="540"/>
      <c r="F9" s="207"/>
      <c r="G9" s="386">
        <v>380</v>
      </c>
      <c r="I9" s="398" t="s">
        <v>1539</v>
      </c>
      <c r="J9" s="387" t="s">
        <v>9</v>
      </c>
      <c r="K9" s="577">
        <f>IF(K7=1,K6/(380/3^0.5),(K6/(380*3^0.5)))</f>
        <v>80.525169123816227</v>
      </c>
      <c r="L9" s="578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48"/>
      <c r="E12" s="549"/>
      <c r="F12" s="208"/>
      <c r="G12" s="208"/>
      <c r="I12" s="414" t="s">
        <v>1532</v>
      </c>
      <c r="J12" s="415" t="s">
        <v>9</v>
      </c>
      <c r="K12" s="548"/>
      <c r="L12" s="549"/>
    </row>
    <row r="13" spans="1:12" ht="31.5" customHeight="1">
      <c r="A13" s="204"/>
      <c r="B13" s="422" t="s">
        <v>1379</v>
      </c>
      <c r="C13" s="402" t="s">
        <v>9</v>
      </c>
      <c r="D13" s="552"/>
      <c r="E13" s="553"/>
      <c r="F13" s="208"/>
      <c r="G13" s="208"/>
      <c r="I13" s="416" t="s">
        <v>1379</v>
      </c>
      <c r="J13" s="402" t="s">
        <v>9</v>
      </c>
      <c r="K13" s="552"/>
      <c r="L13" s="553"/>
    </row>
    <row r="14" spans="1:12" ht="30.75" customHeight="1">
      <c r="A14" s="204"/>
      <c r="B14" s="422" t="s">
        <v>1533</v>
      </c>
      <c r="C14" s="402" t="s">
        <v>9</v>
      </c>
      <c r="D14" s="560"/>
      <c r="E14" s="561"/>
      <c r="F14" s="390" t="s">
        <v>1451</v>
      </c>
      <c r="G14" s="394">
        <v>50</v>
      </c>
      <c r="I14" s="416" t="s">
        <v>1533</v>
      </c>
      <c r="J14" s="402" t="s">
        <v>9</v>
      </c>
      <c r="K14" s="562">
        <v>100</v>
      </c>
      <c r="L14" s="563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64">
        <v>35</v>
      </c>
      <c r="E16" s="565"/>
      <c r="F16" s="390"/>
      <c r="G16" s="394">
        <v>160</v>
      </c>
      <c r="I16" s="416" t="s">
        <v>1535</v>
      </c>
      <c r="J16" s="402" t="s">
        <v>9</v>
      </c>
      <c r="K16" s="566">
        <f>K9</f>
        <v>80.525169123816227</v>
      </c>
      <c r="L16" s="567"/>
    </row>
    <row r="17" spans="1:12" ht="34.5" customHeight="1">
      <c r="A17" s="204"/>
      <c r="B17" s="422" t="s">
        <v>1536</v>
      </c>
      <c r="C17" s="402" t="s">
        <v>9</v>
      </c>
      <c r="D17" s="554">
        <f>IF(D15=1,D14/(20/3^0.5),(D14/(20*3^0.5)))</f>
        <v>0</v>
      </c>
      <c r="E17" s="555"/>
      <c r="F17" s="390" t="s">
        <v>1451</v>
      </c>
      <c r="G17" s="395">
        <v>200</v>
      </c>
      <c r="I17" s="416" t="s">
        <v>1536</v>
      </c>
      <c r="J17" s="402" t="s">
        <v>9</v>
      </c>
      <c r="K17" s="558">
        <f>IF(K15=1,K14/(20/3^0.5),(K14/(20*3^0.5)))</f>
        <v>2.8867513459481291</v>
      </c>
      <c r="L17" s="559"/>
    </row>
    <row r="18" spans="1:12" ht="34.5" customHeight="1">
      <c r="A18" s="204"/>
      <c r="B18" s="422" t="s">
        <v>1537</v>
      </c>
      <c r="C18" s="402" t="s">
        <v>9</v>
      </c>
      <c r="D18" s="554">
        <f>IF(D15=1,D14/(380/3^0.5),(D14/(380*3^0.5)))*1000</f>
        <v>0</v>
      </c>
      <c r="E18" s="555"/>
      <c r="F18" s="390" t="s">
        <v>1451</v>
      </c>
      <c r="G18" s="395">
        <v>250</v>
      </c>
      <c r="I18" s="416" t="s">
        <v>1537</v>
      </c>
      <c r="J18" s="402" t="s">
        <v>9</v>
      </c>
      <c r="K18" s="558">
        <f>IF(K15=1,K14/(380/3^0.5),(K14/(380*3^0.5)))*1000</f>
        <v>151.93428136569102</v>
      </c>
      <c r="L18" s="559"/>
    </row>
    <row r="19" spans="1:12" ht="30" customHeight="1">
      <c r="A19" s="204"/>
      <c r="B19" s="423" t="s">
        <v>1529</v>
      </c>
      <c r="C19" s="401" t="s">
        <v>9</v>
      </c>
      <c r="D19" s="554">
        <f>IF(D15=1,D14/(380/3^0.5),(D14/(380*3^0.5)))</f>
        <v>0</v>
      </c>
      <c r="E19" s="555"/>
      <c r="F19" s="207"/>
      <c r="G19" s="386"/>
      <c r="I19" s="418" t="s">
        <v>1529</v>
      </c>
      <c r="J19" s="401" t="s">
        <v>9</v>
      </c>
      <c r="K19" s="558">
        <f>IF(K15=1,K14/(380/3^0.5),(K14/(380*3^0.5)))</f>
        <v>0.15193428136569101</v>
      </c>
      <c r="L19" s="559"/>
    </row>
    <row r="20" spans="1:12" ht="30" customHeight="1" thickBot="1">
      <c r="A20" s="204"/>
      <c r="B20" s="424" t="s">
        <v>1538</v>
      </c>
      <c r="C20" s="420" t="s">
        <v>9</v>
      </c>
      <c r="D20" s="550" t="e">
        <f>D16/D18</f>
        <v>#DIV/0!</v>
      </c>
      <c r="E20" s="551"/>
      <c r="F20" s="207"/>
      <c r="G20" s="386"/>
      <c r="I20" s="419" t="s">
        <v>1529</v>
      </c>
      <c r="J20" s="420" t="s">
        <v>9</v>
      </c>
      <c r="K20" s="556">
        <f>K16/K18</f>
        <v>0.52999999999999992</v>
      </c>
      <c r="L20" s="557"/>
    </row>
    <row r="21" spans="1:12" ht="9.75" customHeight="1">
      <c r="A21" s="204"/>
      <c r="B21" s="409" t="s">
        <v>1538</v>
      </c>
      <c r="C21" s="410" t="s">
        <v>9</v>
      </c>
      <c r="D21" s="535">
        <v>1</v>
      </c>
      <c r="E21" s="535"/>
      <c r="F21" s="411"/>
      <c r="G21" s="412"/>
      <c r="H21" s="413"/>
      <c r="I21" s="409" t="s">
        <v>1529</v>
      </c>
      <c r="J21" s="410" t="s">
        <v>9</v>
      </c>
      <c r="K21" s="535">
        <v>1</v>
      </c>
      <c r="L21" s="535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32"/>
      <c r="C24" s="533"/>
      <c r="D24" s="533"/>
      <c r="E24" s="534"/>
      <c r="I24" s="532"/>
      <c r="J24" s="533"/>
      <c r="K24" s="533"/>
      <c r="L24" s="534"/>
    </row>
    <row r="26" spans="1:12">
      <c r="D26" s="404"/>
    </row>
    <row r="27" spans="1:12">
      <c r="D27" s="40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" zoomScale="85" zoomScaleNormal="85" workbookViewId="0">
      <selection activeCell="D15" sqref="D15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79"/>
      <c r="C1" s="579"/>
      <c r="D1" s="579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30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29070000</v>
      </c>
    </row>
    <row r="10" spans="2:11" ht="20.100000000000001" customHeight="1">
      <c r="B10" s="249" t="s">
        <v>1444</v>
      </c>
      <c r="C10" s="250" t="s">
        <v>9</v>
      </c>
      <c r="D10" s="256">
        <f ca="1">RAB!K51</f>
        <v>21460234.811250001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429204.69622500002</v>
      </c>
    </row>
    <row r="12" spans="2:11" ht="9" customHeight="1">
      <c r="B12" s="580"/>
      <c r="C12" s="580"/>
      <c r="D12" s="580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1624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1623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23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3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380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53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900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900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969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K25" sqref="K25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81" t="s">
        <v>1356</v>
      </c>
      <c r="C3" s="581"/>
      <c r="D3" s="581"/>
      <c r="E3" s="581"/>
      <c r="F3" s="263" t="str">
        <f>DATA!D14</f>
        <v>YAYSAN AL MADINA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82" t="s">
        <v>1348</v>
      </c>
      <c r="C5" s="582" t="s">
        <v>1357</v>
      </c>
      <c r="D5" s="583" t="s">
        <v>1358</v>
      </c>
      <c r="E5" s="583" t="s">
        <v>1359</v>
      </c>
      <c r="F5" s="582" t="s">
        <v>1360</v>
      </c>
      <c r="G5" s="582"/>
      <c r="H5" s="582"/>
      <c r="I5" s="582"/>
      <c r="J5" s="582"/>
      <c r="K5" s="582" t="s">
        <v>1361</v>
      </c>
      <c r="L5" s="582"/>
      <c r="M5" s="265"/>
      <c r="N5" s="586" t="s">
        <v>1362</v>
      </c>
      <c r="O5" s="583" t="s">
        <v>1363</v>
      </c>
      <c r="P5" s="583" t="s">
        <v>1364</v>
      </c>
      <c r="Q5" s="583" t="s">
        <v>1365</v>
      </c>
      <c r="R5" s="266"/>
      <c r="S5" s="267"/>
      <c r="T5" s="584" t="s">
        <v>1366</v>
      </c>
      <c r="U5" s="268"/>
    </row>
    <row r="6" spans="1:21" ht="20.100000000000001" customHeight="1">
      <c r="B6" s="582"/>
      <c r="C6" s="582"/>
      <c r="D6" s="582"/>
      <c r="E6" s="582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87"/>
      <c r="O6" s="582"/>
      <c r="P6" s="582"/>
      <c r="Q6" s="582"/>
      <c r="R6" s="266"/>
      <c r="S6" s="267"/>
      <c r="T6" s="582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9600</v>
      </c>
      <c r="D7" s="274">
        <f>C7*4/24</f>
        <v>1600</v>
      </c>
      <c r="E7" s="274">
        <f>C7-D7</f>
        <v>8000</v>
      </c>
      <c r="F7" s="275">
        <f ca="1">DATA!D10/1000000</f>
        <v>21.46023481125</v>
      </c>
      <c r="G7" s="276">
        <f ca="1">DATA!$D$11/1000000</f>
        <v>0.42920469622500002</v>
      </c>
      <c r="H7" s="276">
        <f>C7*DATA!$D$5/1000000</f>
        <v>10.407600440511208</v>
      </c>
      <c r="I7" s="276">
        <f>(C7*DATA!$D$5*DATA!$D$7)/1000000</f>
        <v>0.23417100991150216</v>
      </c>
      <c r="J7" s="274">
        <f ca="1">SUM(F7:I7)</f>
        <v>32.531210957897706</v>
      </c>
      <c r="K7" s="277">
        <f>DATA!D9/1000000</f>
        <v>29.07</v>
      </c>
      <c r="L7" s="274">
        <f>((D7*DATA!$D$23)/1000000)+((E7*DATA!$D$24)/1000000)</f>
        <v>8.64</v>
      </c>
      <c r="M7" s="274">
        <f>K7+L7</f>
        <v>37.71</v>
      </c>
      <c r="N7" s="274">
        <f ca="1">M7-J7</f>
        <v>5.1787890421022951</v>
      </c>
      <c r="O7" s="272">
        <v>1</v>
      </c>
      <c r="P7" s="274">
        <f ca="1">O7*N7</f>
        <v>5.1787890421022951</v>
      </c>
      <c r="Q7" s="274">
        <f ca="1">P7</f>
        <v>5.1787890421022951</v>
      </c>
      <c r="S7" s="262" t="str">
        <f ca="1">IF(Q7&lt;0,"a","")</f>
        <v/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14400</v>
      </c>
      <c r="D8" s="274">
        <f>C8*4/24</f>
        <v>2400</v>
      </c>
      <c r="E8" s="274">
        <f t="shared" ref="E8:E32" si="0">C8-D8</f>
        <v>12000</v>
      </c>
      <c r="F8" s="272"/>
      <c r="G8" s="276">
        <f ca="1">DATA!$D$11/1000000</f>
        <v>0.42920469622500002</v>
      </c>
      <c r="H8" s="276">
        <f>C8*DATA!$D$5/1000000</f>
        <v>15.61140066076681</v>
      </c>
      <c r="I8" s="276">
        <f>(C8*DATA!$D$5*DATA!$D$7)/1000000</f>
        <v>0.35125651486725318</v>
      </c>
      <c r="J8" s="274">
        <f t="shared" ref="J8:J32" ca="1" si="1">SUM(F8:I8)</f>
        <v>16.391861871859064</v>
      </c>
      <c r="K8" s="279"/>
      <c r="L8" s="274">
        <f>((D8*DATA!$D$23)/1000000)+((E8*DATA!$D$24)/1000000)</f>
        <v>12.96</v>
      </c>
      <c r="M8" s="274">
        <f t="shared" ref="M8:M32" si="2">K8+L8</f>
        <v>12.96</v>
      </c>
      <c r="N8" s="274">
        <f ca="1">M8-J8</f>
        <v>-3.4318618718590628</v>
      </c>
      <c r="O8" s="273">
        <f>1/(1+'[87]Asumsi I'!$C$3)^(KKF!A8)</f>
        <v>0.89285714285714279</v>
      </c>
      <c r="P8" s="274">
        <f ca="1">O8*N8</f>
        <v>-3.0641623855884488</v>
      </c>
      <c r="Q8" s="274">
        <f ca="1">Q7+P8</f>
        <v>2.1146266565138463</v>
      </c>
      <c r="S8" s="262" t="str">
        <f t="shared" ref="S8:S32" ca="1" si="3">IF(Q8&lt;0,"a","")</f>
        <v/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14400</v>
      </c>
      <c r="D9" s="274">
        <f t="shared" ref="D9:D32" si="5">C9*4/24</f>
        <v>2400</v>
      </c>
      <c r="E9" s="274">
        <f t="shared" si="0"/>
        <v>12000</v>
      </c>
      <c r="F9" s="272"/>
      <c r="G9" s="276">
        <f ca="1">DATA!$D$11/1000000</f>
        <v>0.42920469622500002</v>
      </c>
      <c r="H9" s="276">
        <f>C9*DATA!$D$5/1000000</f>
        <v>15.61140066076681</v>
      </c>
      <c r="I9" s="276">
        <f>(C9*DATA!$D$5*DATA!$D$7)/1000000</f>
        <v>0.35125651486725318</v>
      </c>
      <c r="J9" s="274">
        <f t="shared" ca="1" si="1"/>
        <v>16.391861871859064</v>
      </c>
      <c r="K9" s="274"/>
      <c r="L9" s="274">
        <f>((D9*DATA!$D$23)/1000000)+((E9*DATA!$D$24)/1000000)</f>
        <v>12.96</v>
      </c>
      <c r="M9" s="274">
        <f t="shared" si="2"/>
        <v>12.96</v>
      </c>
      <c r="N9" s="274">
        <f t="shared" ref="N9:N32" ca="1" si="6">M9-J9</f>
        <v>-3.4318618718590628</v>
      </c>
      <c r="O9" s="280">
        <f>1/(1+'[87]Asumsi I'!$C$3)^(KKF!A9)</f>
        <v>0.79719387755102034</v>
      </c>
      <c r="P9" s="274">
        <f t="shared" ref="P9:P32" ca="1" si="7">O9*N9</f>
        <v>-2.7358592728468292</v>
      </c>
      <c r="Q9" s="274">
        <f ca="1">Q8+P9</f>
        <v>-0.62123261633298288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14400</v>
      </c>
      <c r="D10" s="274">
        <f t="shared" si="5"/>
        <v>2400</v>
      </c>
      <c r="E10" s="274">
        <f t="shared" si="0"/>
        <v>12000</v>
      </c>
      <c r="F10" s="272"/>
      <c r="G10" s="276">
        <f ca="1">DATA!$D$11/1000000</f>
        <v>0.42920469622500002</v>
      </c>
      <c r="H10" s="276">
        <f>C10*DATA!$D$5/1000000</f>
        <v>15.61140066076681</v>
      </c>
      <c r="I10" s="276">
        <f>(C10*DATA!$D$5*DATA!$D$7)/1000000</f>
        <v>0.35125651486725318</v>
      </c>
      <c r="J10" s="274">
        <f t="shared" ca="1" si="1"/>
        <v>16.391861871859064</v>
      </c>
      <c r="K10" s="272"/>
      <c r="L10" s="274">
        <f>((D10*DATA!$D$23)/1000000)+((E10*DATA!$D$24)/1000000)</f>
        <v>12.96</v>
      </c>
      <c r="M10" s="274">
        <f t="shared" si="2"/>
        <v>12.96</v>
      </c>
      <c r="N10" s="274">
        <f t="shared" ca="1" si="6"/>
        <v>-3.4318618718590628</v>
      </c>
      <c r="O10" s="273">
        <f>1/(1+'[87]Asumsi I'!$C$3)^(KKF!A10)</f>
        <v>0.71178024781341087</v>
      </c>
      <c r="P10" s="274">
        <f t="shared" ca="1" si="7"/>
        <v>-2.4427314936132398</v>
      </c>
      <c r="Q10" s="274">
        <f t="shared" ref="Q10:Q30" ca="1" si="9">Q9+P10</f>
        <v>-3.0639641099462227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14400</v>
      </c>
      <c r="D11" s="274">
        <f t="shared" si="5"/>
        <v>2400</v>
      </c>
      <c r="E11" s="274">
        <f t="shared" si="0"/>
        <v>12000</v>
      </c>
      <c r="F11" s="272"/>
      <c r="G11" s="276">
        <f ca="1">DATA!$D$11/1000000</f>
        <v>0.42920469622500002</v>
      </c>
      <c r="H11" s="276">
        <f>C11*DATA!$D$5/1000000</f>
        <v>15.61140066076681</v>
      </c>
      <c r="I11" s="276">
        <f>(C11*DATA!$D$5*DATA!$D$7)/1000000</f>
        <v>0.35125651486725318</v>
      </c>
      <c r="J11" s="274">
        <f t="shared" ca="1" si="1"/>
        <v>16.391861871859064</v>
      </c>
      <c r="K11" s="272"/>
      <c r="L11" s="274">
        <f>((D11*DATA!$D$23)/1000000)+((E11*DATA!$D$24)/1000000)</f>
        <v>12.96</v>
      </c>
      <c r="M11" s="274">
        <f t="shared" si="2"/>
        <v>12.96</v>
      </c>
      <c r="N11" s="274">
        <f t="shared" ca="1" si="6"/>
        <v>-3.4318618718590628</v>
      </c>
      <c r="O11" s="273">
        <f>1/(1+'[87]Asumsi I'!$C$3)^(KKF!A11)</f>
        <v>0.63551807840483121</v>
      </c>
      <c r="P11" s="274">
        <f t="shared" ca="1" si="7"/>
        <v>-2.1810102621546785</v>
      </c>
      <c r="Q11" s="274">
        <f t="shared" ca="1" si="9"/>
        <v>-5.2449743721009012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14400</v>
      </c>
      <c r="D12" s="274">
        <f t="shared" si="5"/>
        <v>2400</v>
      </c>
      <c r="E12" s="274">
        <f t="shared" si="0"/>
        <v>12000</v>
      </c>
      <c r="F12" s="272"/>
      <c r="G12" s="276">
        <f ca="1">DATA!$D$11/1000000</f>
        <v>0.42920469622500002</v>
      </c>
      <c r="H12" s="276">
        <f>C12*DATA!$D$5/1000000</f>
        <v>15.61140066076681</v>
      </c>
      <c r="I12" s="276">
        <f>(C12*DATA!$D$5*DATA!$D$7)/1000000</f>
        <v>0.35125651486725318</v>
      </c>
      <c r="J12" s="274">
        <f t="shared" ca="1" si="1"/>
        <v>16.391861871859064</v>
      </c>
      <c r="K12" s="272"/>
      <c r="L12" s="274">
        <f>((D12*DATA!$D$23)/1000000)+((E12*DATA!$D$24)/1000000)</f>
        <v>12.96</v>
      </c>
      <c r="M12" s="274">
        <f t="shared" si="2"/>
        <v>12.96</v>
      </c>
      <c r="N12" s="274">
        <f t="shared" ca="1" si="6"/>
        <v>-3.4318618718590628</v>
      </c>
      <c r="O12" s="273">
        <f>1/(1+'[87]Asumsi I'!$C$3)^(KKF!A12)</f>
        <v>0.56742685571859919</v>
      </c>
      <c r="P12" s="274">
        <f t="shared" ca="1" si="7"/>
        <v>-1.9473305912095342</v>
      </c>
      <c r="Q12" s="274">
        <f t="shared" ca="1" si="9"/>
        <v>-7.1923049633104359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14400</v>
      </c>
      <c r="D13" s="274">
        <f t="shared" si="5"/>
        <v>2400</v>
      </c>
      <c r="E13" s="274">
        <f t="shared" si="0"/>
        <v>12000</v>
      </c>
      <c r="F13" s="272"/>
      <c r="G13" s="276">
        <f ca="1">DATA!$D$11/1000000</f>
        <v>0.42920469622500002</v>
      </c>
      <c r="H13" s="276">
        <f>C13*DATA!$D$5/1000000</f>
        <v>15.61140066076681</v>
      </c>
      <c r="I13" s="276">
        <f>(C13*DATA!$D$5*DATA!$D$7)/1000000</f>
        <v>0.35125651486725318</v>
      </c>
      <c r="J13" s="274">
        <f t="shared" ca="1" si="1"/>
        <v>16.391861871859064</v>
      </c>
      <c r="K13" s="272"/>
      <c r="L13" s="274">
        <f>((D13*DATA!$D$23)/1000000)+((E13*DATA!$D$24)/1000000)</f>
        <v>12.96</v>
      </c>
      <c r="M13" s="274">
        <f t="shared" si="2"/>
        <v>12.96</v>
      </c>
      <c r="N13" s="274">
        <f t="shared" ca="1" si="6"/>
        <v>-3.4318618718590628</v>
      </c>
      <c r="O13" s="273">
        <f>1/(1+'[87]Asumsi I'!$C$3)^(KKF!A13)</f>
        <v>0.50663112117732068</v>
      </c>
      <c r="P13" s="274">
        <f t="shared" ca="1" si="7"/>
        <v>-1.7386880278656554</v>
      </c>
      <c r="Q13" s="274">
        <f t="shared" ca="1" si="9"/>
        <v>-8.9309929911760904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14400</v>
      </c>
      <c r="D14" s="274">
        <f t="shared" si="5"/>
        <v>2400</v>
      </c>
      <c r="E14" s="274">
        <f t="shared" si="0"/>
        <v>12000</v>
      </c>
      <c r="F14" s="272"/>
      <c r="G14" s="276">
        <f ca="1">DATA!$D$11/1000000</f>
        <v>0.42920469622500002</v>
      </c>
      <c r="H14" s="276">
        <f>C14*DATA!$D$5/1000000</f>
        <v>15.61140066076681</v>
      </c>
      <c r="I14" s="276">
        <f>(C14*DATA!$D$5*DATA!$D$7)/1000000</f>
        <v>0.35125651486725318</v>
      </c>
      <c r="J14" s="274">
        <f t="shared" ca="1" si="1"/>
        <v>16.391861871859064</v>
      </c>
      <c r="K14" s="272"/>
      <c r="L14" s="274">
        <f>((D14*DATA!$D$23)/1000000)+((E14*DATA!$D$24)/1000000)</f>
        <v>12.96</v>
      </c>
      <c r="M14" s="274">
        <f t="shared" si="2"/>
        <v>12.96</v>
      </c>
      <c r="N14" s="274">
        <f t="shared" ca="1" si="6"/>
        <v>-3.4318618718590628</v>
      </c>
      <c r="O14" s="273">
        <f>1/(1+'[87]Asumsi I'!$C$3)^(KKF!A14)</f>
        <v>0.45234921533689343</v>
      </c>
      <c r="P14" s="274">
        <f t="shared" ca="1" si="7"/>
        <v>-1.5524000248800494</v>
      </c>
      <c r="Q14" s="274">
        <f t="shared" ca="1" si="9"/>
        <v>-10.483393016056139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14400</v>
      </c>
      <c r="D15" s="274">
        <f t="shared" si="5"/>
        <v>2400</v>
      </c>
      <c r="E15" s="274">
        <f t="shared" si="0"/>
        <v>12000</v>
      </c>
      <c r="F15" s="272"/>
      <c r="G15" s="276">
        <f ca="1">DATA!$D$11/1000000</f>
        <v>0.42920469622500002</v>
      </c>
      <c r="H15" s="276">
        <f>C15*DATA!$D$5/1000000</f>
        <v>15.61140066076681</v>
      </c>
      <c r="I15" s="276">
        <f>(C15*DATA!$D$5*DATA!$D$7)/1000000</f>
        <v>0.35125651486725318</v>
      </c>
      <c r="J15" s="274">
        <f t="shared" ca="1" si="1"/>
        <v>16.391861871859064</v>
      </c>
      <c r="K15" s="272"/>
      <c r="L15" s="274">
        <f>((D15*DATA!$D$23)/1000000)+((E15*DATA!$D$24)/1000000)</f>
        <v>12.96</v>
      </c>
      <c r="M15" s="274">
        <f t="shared" si="2"/>
        <v>12.96</v>
      </c>
      <c r="N15" s="274">
        <f t="shared" ca="1" si="6"/>
        <v>-3.4318618718590628</v>
      </c>
      <c r="O15" s="273">
        <f>1/(1+'[87]Asumsi I'!$C$3)^(KKF!A15)</f>
        <v>0.4038832279793691</v>
      </c>
      <c r="P15" s="274">
        <f t="shared" ca="1" si="7"/>
        <v>-1.3860714507857583</v>
      </c>
      <c r="Q15" s="274">
        <f t="shared" ca="1" si="9"/>
        <v>-11.869464466841897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14400</v>
      </c>
      <c r="D16" s="274">
        <f t="shared" si="5"/>
        <v>2400</v>
      </c>
      <c r="E16" s="274">
        <f t="shared" si="0"/>
        <v>12000</v>
      </c>
      <c r="F16" s="272"/>
      <c r="G16" s="276">
        <f ca="1">DATA!$D$11/1000000</f>
        <v>0.42920469622500002</v>
      </c>
      <c r="H16" s="276">
        <f>C16*DATA!$D$5/1000000</f>
        <v>15.61140066076681</v>
      </c>
      <c r="I16" s="276">
        <f>(C16*DATA!$D$5*DATA!$D$7)/1000000</f>
        <v>0.35125651486725318</v>
      </c>
      <c r="J16" s="274">
        <f t="shared" ca="1" si="1"/>
        <v>16.391861871859064</v>
      </c>
      <c r="K16" s="272"/>
      <c r="L16" s="274">
        <f>((D16*DATA!$D$23)/1000000)+((E16*DATA!$D$24)/1000000)</f>
        <v>12.96</v>
      </c>
      <c r="M16" s="274">
        <f t="shared" si="2"/>
        <v>12.96</v>
      </c>
      <c r="N16" s="274">
        <f t="shared" ca="1" si="6"/>
        <v>-3.4318618718590628</v>
      </c>
      <c r="O16" s="273">
        <f>1/(1+'[87]Asumsi I'!$C$3)^(KKF!A16)</f>
        <v>0.36061002498157957</v>
      </c>
      <c r="P16" s="274">
        <f t="shared" ca="1" si="7"/>
        <v>-1.237563795344427</v>
      </c>
      <c r="Q16" s="274">
        <f t="shared" ca="1" si="9"/>
        <v>-13.107028262186324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14400</v>
      </c>
      <c r="D17" s="274">
        <f t="shared" si="5"/>
        <v>2400</v>
      </c>
      <c r="E17" s="274">
        <f t="shared" si="0"/>
        <v>12000</v>
      </c>
      <c r="F17" s="272"/>
      <c r="G17" s="276">
        <f ca="1">DATA!$D$11/1000000</f>
        <v>0.42920469622500002</v>
      </c>
      <c r="H17" s="276">
        <f>C17*DATA!$D$5/1000000</f>
        <v>15.61140066076681</v>
      </c>
      <c r="I17" s="276">
        <f>(C17*DATA!$D$5*DATA!$D$7)/1000000</f>
        <v>0.35125651486725318</v>
      </c>
      <c r="J17" s="274">
        <f t="shared" ca="1" si="1"/>
        <v>16.391861871859064</v>
      </c>
      <c r="K17" s="272"/>
      <c r="L17" s="274">
        <f>((D17*DATA!$D$23)/1000000)+((E17*DATA!$D$24)/1000000)</f>
        <v>12.96</v>
      </c>
      <c r="M17" s="274">
        <f t="shared" si="2"/>
        <v>12.96</v>
      </c>
      <c r="N17" s="274">
        <f t="shared" ca="1" si="6"/>
        <v>-3.4318618718590628</v>
      </c>
      <c r="O17" s="273">
        <f>1/(1+'[87]Asumsi I'!$C$3)^(KKF!A17)</f>
        <v>0.32197323659069599</v>
      </c>
      <c r="P17" s="274">
        <f t="shared" ca="1" si="7"/>
        <v>-1.1049676744146668</v>
      </c>
      <c r="Q17" s="274">
        <f t="shared" ca="1" si="9"/>
        <v>-14.21199593660099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14400</v>
      </c>
      <c r="D18" s="274">
        <f t="shared" si="5"/>
        <v>2400</v>
      </c>
      <c r="E18" s="274">
        <f t="shared" si="0"/>
        <v>12000</v>
      </c>
      <c r="F18" s="272"/>
      <c r="G18" s="276">
        <f ca="1">DATA!$D$11/1000000</f>
        <v>0.42920469622500002</v>
      </c>
      <c r="H18" s="276">
        <f>C18*DATA!$D$5/1000000</f>
        <v>15.61140066076681</v>
      </c>
      <c r="I18" s="276">
        <f>(C18*DATA!$D$5*DATA!$D$7)/1000000</f>
        <v>0.35125651486725318</v>
      </c>
      <c r="J18" s="274">
        <f t="shared" ca="1" si="1"/>
        <v>16.391861871859064</v>
      </c>
      <c r="K18" s="272"/>
      <c r="L18" s="274">
        <f>((D18*DATA!$D$23)/1000000)+((E18*DATA!$D$24)/1000000)</f>
        <v>12.96</v>
      </c>
      <c r="M18" s="274">
        <f t="shared" si="2"/>
        <v>12.96</v>
      </c>
      <c r="N18" s="274">
        <f t="shared" ca="1" si="6"/>
        <v>-3.4318618718590628</v>
      </c>
      <c r="O18" s="273">
        <f>1/(1+'[87]Asumsi I'!$C$3)^(KKF!A18)</f>
        <v>0.28747610409883567</v>
      </c>
      <c r="P18" s="274">
        <f t="shared" ca="1" si="7"/>
        <v>-0.98657828072738096</v>
      </c>
      <c r="Q18" s="274">
        <f t="shared" ca="1" si="9"/>
        <v>-15.198574217328371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14400</v>
      </c>
      <c r="D19" s="274">
        <f t="shared" si="5"/>
        <v>2400</v>
      </c>
      <c r="E19" s="274">
        <f t="shared" si="0"/>
        <v>12000</v>
      </c>
      <c r="F19" s="272"/>
      <c r="G19" s="276">
        <f ca="1">DATA!$D$11/1000000</f>
        <v>0.42920469622500002</v>
      </c>
      <c r="H19" s="276">
        <f>C19*DATA!$D$5/1000000</f>
        <v>15.61140066076681</v>
      </c>
      <c r="I19" s="276">
        <f>(C19*DATA!$D$5*DATA!$D$7)/1000000</f>
        <v>0.35125651486725318</v>
      </c>
      <c r="J19" s="274">
        <f t="shared" ca="1" si="1"/>
        <v>16.391861871859064</v>
      </c>
      <c r="K19" s="272"/>
      <c r="L19" s="274">
        <f>((D19*DATA!$D$23)/1000000)+((E19*DATA!$D$24)/1000000)</f>
        <v>12.96</v>
      </c>
      <c r="M19" s="274">
        <f t="shared" si="2"/>
        <v>12.96</v>
      </c>
      <c r="N19" s="274">
        <f t="shared" ca="1" si="6"/>
        <v>-3.4318618718590628</v>
      </c>
      <c r="O19" s="273">
        <f>1/(1+'[87]Asumsi I'!$C$3)^(KKF!A19)</f>
        <v>0.25667509294538904</v>
      </c>
      <c r="P19" s="274">
        <f t="shared" ca="1" si="7"/>
        <v>-0.88087346493516172</v>
      </c>
      <c r="Q19" s="274">
        <f t="shared" ca="1" si="9"/>
        <v>-16.079447682263535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14400</v>
      </c>
      <c r="D20" s="274">
        <f t="shared" si="5"/>
        <v>2400</v>
      </c>
      <c r="E20" s="274">
        <f t="shared" si="0"/>
        <v>12000</v>
      </c>
      <c r="F20" s="272"/>
      <c r="G20" s="276">
        <f ca="1">DATA!$D$11/1000000</f>
        <v>0.42920469622500002</v>
      </c>
      <c r="H20" s="276">
        <f>C20*DATA!$D$5/1000000</f>
        <v>15.61140066076681</v>
      </c>
      <c r="I20" s="276">
        <f>(C20*DATA!$D$5*DATA!$D$7)/1000000</f>
        <v>0.35125651486725318</v>
      </c>
      <c r="J20" s="274">
        <f t="shared" ca="1" si="1"/>
        <v>16.391861871859064</v>
      </c>
      <c r="K20" s="272"/>
      <c r="L20" s="274">
        <f>((D20*DATA!$D$23)/1000000)+((E20*DATA!$D$24)/1000000)</f>
        <v>12.96</v>
      </c>
      <c r="M20" s="274">
        <f t="shared" si="2"/>
        <v>12.96</v>
      </c>
      <c r="N20" s="274">
        <f t="shared" ca="1" si="6"/>
        <v>-3.4318618718590628</v>
      </c>
      <c r="O20" s="273">
        <f>1/(1+'[87]Asumsi I'!$C$3)^(KKF!A20)</f>
        <v>0.22917419012981158</v>
      </c>
      <c r="P20" s="274">
        <f t="shared" ca="1" si="7"/>
        <v>-0.78649416512067993</v>
      </c>
      <c r="Q20" s="274">
        <f t="shared" ca="1" si="9"/>
        <v>-16.865941847384214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14400</v>
      </c>
      <c r="D21" s="274">
        <f t="shared" si="5"/>
        <v>2400</v>
      </c>
      <c r="E21" s="274">
        <f t="shared" si="0"/>
        <v>12000</v>
      </c>
      <c r="F21" s="272"/>
      <c r="G21" s="276">
        <f ca="1">DATA!$D$11/1000000</f>
        <v>0.42920469622500002</v>
      </c>
      <c r="H21" s="276">
        <f>C21*DATA!$D$5/1000000</f>
        <v>15.61140066076681</v>
      </c>
      <c r="I21" s="276">
        <f>(C21*DATA!$D$5*DATA!$D$7)/1000000</f>
        <v>0.35125651486725318</v>
      </c>
      <c r="J21" s="274">
        <f t="shared" ca="1" si="1"/>
        <v>16.391861871859064</v>
      </c>
      <c r="K21" s="272"/>
      <c r="L21" s="274">
        <f>((D21*DATA!$D$23)/1000000)+((E21*DATA!$D$24)/1000000)</f>
        <v>12.96</v>
      </c>
      <c r="M21" s="274">
        <f t="shared" si="2"/>
        <v>12.96</v>
      </c>
      <c r="N21" s="274">
        <f t="shared" ca="1" si="6"/>
        <v>-3.4318618718590628</v>
      </c>
      <c r="O21" s="273">
        <f>1/(1+'[87]Asumsi I'!$C$3)^(KKF!A21)</f>
        <v>0.20461981261590317</v>
      </c>
      <c r="P21" s="274">
        <f t="shared" ca="1" si="7"/>
        <v>-0.70222693314346418</v>
      </c>
      <c r="Q21" s="274">
        <f t="shared" ca="1" si="9"/>
        <v>-17.568168780527678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14400</v>
      </c>
      <c r="D22" s="274">
        <f t="shared" si="5"/>
        <v>2400</v>
      </c>
      <c r="E22" s="274">
        <f t="shared" si="0"/>
        <v>12000</v>
      </c>
      <c r="F22" s="272"/>
      <c r="G22" s="276">
        <f ca="1">DATA!$D$11/1000000</f>
        <v>0.42920469622500002</v>
      </c>
      <c r="H22" s="276">
        <f>C22*DATA!$D$5/1000000</f>
        <v>15.61140066076681</v>
      </c>
      <c r="I22" s="276">
        <f>(C22*DATA!$D$5*DATA!$D$7)/1000000</f>
        <v>0.35125651486725318</v>
      </c>
      <c r="J22" s="274">
        <f t="shared" ca="1" si="1"/>
        <v>16.391861871859064</v>
      </c>
      <c r="K22" s="272"/>
      <c r="L22" s="274">
        <f>((D22*DATA!$D$23)/1000000)+((E22*DATA!$D$24)/1000000)</f>
        <v>12.96</v>
      </c>
      <c r="M22" s="274">
        <f t="shared" si="2"/>
        <v>12.96</v>
      </c>
      <c r="N22" s="274">
        <f t="shared" ca="1" si="6"/>
        <v>-3.4318618718590628</v>
      </c>
      <c r="O22" s="273">
        <f>1/(1+'[87]Asumsi I'!$C$3)^(KKF!A22)</f>
        <v>0.18269626126419927</v>
      </c>
      <c r="P22" s="274">
        <f t="shared" ca="1" si="7"/>
        <v>-0.62698833316380731</v>
      </c>
      <c r="Q22" s="274">
        <f t="shared" ca="1" si="9"/>
        <v>-18.195157113691486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14400</v>
      </c>
      <c r="D23" s="274">
        <f t="shared" si="5"/>
        <v>2400</v>
      </c>
      <c r="E23" s="274">
        <f t="shared" si="0"/>
        <v>12000</v>
      </c>
      <c r="F23" s="272"/>
      <c r="G23" s="276">
        <f ca="1">DATA!$D$11/1000000</f>
        <v>0.42920469622500002</v>
      </c>
      <c r="H23" s="276">
        <f>C23*DATA!$D$5/1000000</f>
        <v>15.61140066076681</v>
      </c>
      <c r="I23" s="276">
        <f>(C23*DATA!$D$5*DATA!$D$7)/1000000</f>
        <v>0.35125651486725318</v>
      </c>
      <c r="J23" s="274">
        <f t="shared" ca="1" si="1"/>
        <v>16.391861871859064</v>
      </c>
      <c r="K23" s="272"/>
      <c r="L23" s="274">
        <f>((D23*DATA!$D$23)/1000000)+((E23*DATA!$D$24)/1000000)</f>
        <v>12.96</v>
      </c>
      <c r="M23" s="274">
        <f t="shared" si="2"/>
        <v>12.96</v>
      </c>
      <c r="N23" s="274">
        <f t="shared" ca="1" si="6"/>
        <v>-3.4318618718590628</v>
      </c>
      <c r="O23" s="273">
        <f>1/(1+'[87]Asumsi I'!$C$3)^(KKF!A23)</f>
        <v>0.16312166184303503</v>
      </c>
      <c r="P23" s="274">
        <f t="shared" ca="1" si="7"/>
        <v>-0.55981101175339931</v>
      </c>
      <c r="Q23" s="274">
        <f t="shared" ca="1" si="9"/>
        <v>-18.754968125444886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14400</v>
      </c>
      <c r="D24" s="274">
        <f t="shared" si="5"/>
        <v>2400</v>
      </c>
      <c r="E24" s="274">
        <f t="shared" si="0"/>
        <v>12000</v>
      </c>
      <c r="F24" s="272"/>
      <c r="G24" s="276">
        <f ca="1">DATA!$D$11/1000000</f>
        <v>0.42920469622500002</v>
      </c>
      <c r="H24" s="276">
        <f>C24*DATA!$D$5/1000000</f>
        <v>15.61140066076681</v>
      </c>
      <c r="I24" s="276">
        <f>(C24*DATA!$D$5*DATA!$D$7)/1000000</f>
        <v>0.35125651486725318</v>
      </c>
      <c r="J24" s="274">
        <f t="shared" ca="1" si="1"/>
        <v>16.391861871859064</v>
      </c>
      <c r="K24" s="272"/>
      <c r="L24" s="274">
        <f>((D24*DATA!$D$23)/1000000)+((E24*DATA!$D$24)/1000000)</f>
        <v>12.96</v>
      </c>
      <c r="M24" s="274">
        <f t="shared" si="2"/>
        <v>12.96</v>
      </c>
      <c r="N24" s="274">
        <f t="shared" ca="1" si="6"/>
        <v>-3.4318618718590628</v>
      </c>
      <c r="O24" s="273">
        <f>1/(1+'[87]Asumsi I'!$C$3)^(KKF!A24)</f>
        <v>0.14564434093128129</v>
      </c>
      <c r="P24" s="274">
        <f t="shared" ca="1" si="7"/>
        <v>-0.49983126049410653</v>
      </c>
      <c r="Q24" s="274">
        <f t="shared" ca="1" si="9"/>
        <v>-19.254799385938991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14400</v>
      </c>
      <c r="D25" s="274">
        <f t="shared" si="5"/>
        <v>2400</v>
      </c>
      <c r="E25" s="274">
        <f t="shared" si="0"/>
        <v>12000</v>
      </c>
      <c r="F25" s="272"/>
      <c r="G25" s="276">
        <f ca="1">DATA!$D$11/1000000</f>
        <v>0.42920469622500002</v>
      </c>
      <c r="H25" s="276">
        <f>C25*DATA!$D$5/1000000</f>
        <v>15.61140066076681</v>
      </c>
      <c r="I25" s="276">
        <f>(C25*DATA!$D$5*DATA!$D$7)/1000000</f>
        <v>0.35125651486725318</v>
      </c>
      <c r="J25" s="274">
        <f t="shared" ca="1" si="1"/>
        <v>16.391861871859064</v>
      </c>
      <c r="K25" s="272"/>
      <c r="L25" s="274">
        <f>((D25*DATA!$D$23)/1000000)+((E25*DATA!$D$24)/1000000)</f>
        <v>12.96</v>
      </c>
      <c r="M25" s="274">
        <f t="shared" si="2"/>
        <v>12.96</v>
      </c>
      <c r="N25" s="274">
        <f t="shared" ca="1" si="6"/>
        <v>-3.4318618718590628</v>
      </c>
      <c r="O25" s="273">
        <f>1/(1+'[87]Asumsi I'!$C$3)^(KKF!A25)</f>
        <v>0.13003959011721541</v>
      </c>
      <c r="P25" s="274">
        <f t="shared" ca="1" si="7"/>
        <v>-0.44627791115545218</v>
      </c>
      <c r="Q25" s="274">
        <f t="shared" ca="1" si="9"/>
        <v>-19.701077297094443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14400</v>
      </c>
      <c r="D26" s="274">
        <f t="shared" si="5"/>
        <v>2400</v>
      </c>
      <c r="E26" s="274">
        <f t="shared" si="0"/>
        <v>12000</v>
      </c>
      <c r="F26" s="272"/>
      <c r="G26" s="276">
        <f ca="1">DATA!$D$11/1000000</f>
        <v>0.42920469622500002</v>
      </c>
      <c r="H26" s="276">
        <f>C26*DATA!$D$5/1000000</f>
        <v>15.61140066076681</v>
      </c>
      <c r="I26" s="276">
        <f>(C26*DATA!$D$5*DATA!$D$7)/1000000</f>
        <v>0.35125651486725318</v>
      </c>
      <c r="J26" s="274">
        <f t="shared" ca="1" si="1"/>
        <v>16.391861871859064</v>
      </c>
      <c r="K26" s="272"/>
      <c r="L26" s="274">
        <f>((D26*DATA!$D$23)/1000000)+((E26*DATA!$D$24)/1000000)</f>
        <v>12.96</v>
      </c>
      <c r="M26" s="274">
        <f t="shared" si="2"/>
        <v>12.96</v>
      </c>
      <c r="N26" s="274">
        <f t="shared" ca="1" si="6"/>
        <v>-3.4318618718590628</v>
      </c>
      <c r="O26" s="273">
        <f>1/(1+'[87]Asumsi I'!$C$3)^(KKF!A26)</f>
        <v>0.1161067768903709</v>
      </c>
      <c r="P26" s="274">
        <f t="shared" ca="1" si="7"/>
        <v>-0.39846242067451082</v>
      </c>
      <c r="Q26" s="274">
        <f t="shared" ca="1" si="9"/>
        <v>-20.099539717768955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14400</v>
      </c>
      <c r="D27" s="274">
        <f t="shared" si="5"/>
        <v>2400</v>
      </c>
      <c r="E27" s="274">
        <f t="shared" si="0"/>
        <v>12000</v>
      </c>
      <c r="F27" s="272"/>
      <c r="G27" s="276">
        <f ca="1">DATA!$D$11/1000000</f>
        <v>0.42920469622500002</v>
      </c>
      <c r="H27" s="276">
        <f>C27*DATA!$D$5/1000000</f>
        <v>15.61140066076681</v>
      </c>
      <c r="I27" s="276">
        <f>(C27*DATA!$D$5*DATA!$D$7)/1000000</f>
        <v>0.35125651486725318</v>
      </c>
      <c r="J27" s="274">
        <f t="shared" ca="1" si="1"/>
        <v>16.391861871859064</v>
      </c>
      <c r="K27" s="272"/>
      <c r="L27" s="274">
        <f>((D27*DATA!$D$23)/1000000)+((E27*DATA!$D$24)/1000000)</f>
        <v>12.96</v>
      </c>
      <c r="M27" s="274">
        <f t="shared" si="2"/>
        <v>12.96</v>
      </c>
      <c r="N27" s="274">
        <f t="shared" ca="1" si="6"/>
        <v>-3.4318618718590628</v>
      </c>
      <c r="O27" s="273">
        <f>1/(1+'[87]Asumsi I'!$C$3)^(KKF!A27)</f>
        <v>0.1036667650806883</v>
      </c>
      <c r="P27" s="274">
        <f t="shared" ca="1" si="7"/>
        <v>-0.35577001845938466</v>
      </c>
      <c r="Q27" s="274">
        <f t="shared" ca="1" si="9"/>
        <v>-20.45530973622834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14400</v>
      </c>
      <c r="D28" s="274">
        <f t="shared" si="5"/>
        <v>2400</v>
      </c>
      <c r="E28" s="274">
        <f t="shared" si="0"/>
        <v>12000</v>
      </c>
      <c r="F28" s="272"/>
      <c r="G28" s="276">
        <f ca="1">DATA!$D$11/1000000</f>
        <v>0.42920469622500002</v>
      </c>
      <c r="H28" s="276">
        <f>C28*DATA!$D$5/1000000</f>
        <v>15.61140066076681</v>
      </c>
      <c r="I28" s="276">
        <f>(C28*DATA!$D$5*DATA!$D$7)/1000000</f>
        <v>0.35125651486725318</v>
      </c>
      <c r="J28" s="274">
        <f t="shared" ca="1" si="1"/>
        <v>16.391861871859064</v>
      </c>
      <c r="K28" s="272"/>
      <c r="L28" s="274">
        <f>((D28*DATA!$D$23)/1000000)+((E28*DATA!$D$24)/1000000)</f>
        <v>12.96</v>
      </c>
      <c r="M28" s="274">
        <f t="shared" si="2"/>
        <v>12.96</v>
      </c>
      <c r="N28" s="274">
        <f t="shared" ca="1" si="6"/>
        <v>-3.4318618718590628</v>
      </c>
      <c r="O28" s="273">
        <f>1/(1+'[87]Asumsi I'!$C$3)^(KKF!A28)</f>
        <v>9.2559611679185971E-2</v>
      </c>
      <c r="P28" s="274">
        <f t="shared" ca="1" si="7"/>
        <v>-0.31765180219587913</v>
      </c>
      <c r="Q28" s="274">
        <f t="shared" ca="1" si="9"/>
        <v>-20.772961538424219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14400</v>
      </c>
      <c r="D29" s="274">
        <f t="shared" si="5"/>
        <v>2400</v>
      </c>
      <c r="E29" s="274">
        <f t="shared" si="0"/>
        <v>12000</v>
      </c>
      <c r="F29" s="272"/>
      <c r="G29" s="276">
        <f ca="1">DATA!$D$11/1000000</f>
        <v>0.42920469622500002</v>
      </c>
      <c r="H29" s="276">
        <f>C29*DATA!$D$5/1000000</f>
        <v>15.61140066076681</v>
      </c>
      <c r="I29" s="276">
        <f>(C29*DATA!$D$5*DATA!$D$7)/1000000</f>
        <v>0.35125651486725318</v>
      </c>
      <c r="J29" s="274">
        <f t="shared" ca="1" si="1"/>
        <v>16.391861871859064</v>
      </c>
      <c r="K29" s="272"/>
      <c r="L29" s="274">
        <f>((D29*DATA!$D$23)/1000000)+((E29*DATA!$D$24)/1000000)</f>
        <v>12.96</v>
      </c>
      <c r="M29" s="274">
        <f t="shared" si="2"/>
        <v>12.96</v>
      </c>
      <c r="N29" s="274">
        <f t="shared" ca="1" si="6"/>
        <v>-3.4318618718590628</v>
      </c>
      <c r="O29" s="273">
        <f>1/(1+'[87]Asumsi I'!$C$3)^(KKF!A29)</f>
        <v>8.2642510427844609E-2</v>
      </c>
      <c r="P29" s="274">
        <f t="shared" ca="1" si="7"/>
        <v>-0.2836176805320349</v>
      </c>
      <c r="Q29" s="274">
        <f t="shared" ca="1" si="9"/>
        <v>-21.056579218956255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14400</v>
      </c>
      <c r="D30" s="274">
        <f t="shared" si="5"/>
        <v>2400</v>
      </c>
      <c r="E30" s="274">
        <f t="shared" si="0"/>
        <v>12000</v>
      </c>
      <c r="F30" s="272"/>
      <c r="G30" s="276">
        <f ca="1">DATA!$D$11/1000000</f>
        <v>0.42920469622500002</v>
      </c>
      <c r="H30" s="276">
        <f>C30*DATA!$D$5/1000000</f>
        <v>15.61140066076681</v>
      </c>
      <c r="I30" s="276">
        <f>(C30*DATA!$D$5*DATA!$D$7)/1000000</f>
        <v>0.35125651486725318</v>
      </c>
      <c r="J30" s="274">
        <f t="shared" ca="1" si="1"/>
        <v>16.391861871859064</v>
      </c>
      <c r="K30" s="272"/>
      <c r="L30" s="274">
        <f>((D30*DATA!$D$23)/1000000)+((E30*DATA!$D$24)/1000000)</f>
        <v>12.96</v>
      </c>
      <c r="M30" s="274">
        <f t="shared" si="2"/>
        <v>12.96</v>
      </c>
      <c r="N30" s="274">
        <f t="shared" ca="1" si="6"/>
        <v>-3.4318618718590628</v>
      </c>
      <c r="O30" s="273">
        <f>1/(1+'[87]Asumsi I'!$C$3)^(KKF!A30)</f>
        <v>7.3787955739146982E-2</v>
      </c>
      <c r="P30" s="274">
        <f t="shared" ca="1" si="7"/>
        <v>-0.25323007190360264</v>
      </c>
      <c r="Q30" s="274">
        <f t="shared" ca="1" si="9"/>
        <v>-21.309809290859857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14400</v>
      </c>
      <c r="D31" s="274">
        <f t="shared" si="5"/>
        <v>2400</v>
      </c>
      <c r="E31" s="274">
        <f t="shared" si="0"/>
        <v>12000</v>
      </c>
      <c r="F31" s="272"/>
      <c r="G31" s="276">
        <f ca="1">DATA!$D$11/1000000</f>
        <v>0.42920469622500002</v>
      </c>
      <c r="H31" s="276">
        <f>C31*DATA!$D$5/1000000</f>
        <v>15.61140066076681</v>
      </c>
      <c r="I31" s="276">
        <f>(C31*DATA!$D$5*DATA!$D$7)/1000000</f>
        <v>0.35125651486725318</v>
      </c>
      <c r="J31" s="274">
        <f t="shared" ca="1" si="1"/>
        <v>16.391861871859064</v>
      </c>
      <c r="K31" s="272"/>
      <c r="L31" s="274">
        <f>((D31*DATA!$D$23)/1000000)+((E31*DATA!$D$24)/1000000)</f>
        <v>12.96</v>
      </c>
      <c r="M31" s="274">
        <f t="shared" si="2"/>
        <v>12.96</v>
      </c>
      <c r="N31" s="274">
        <f t="shared" ca="1" si="6"/>
        <v>-3.4318618718590628</v>
      </c>
      <c r="O31" s="273">
        <f>1/(1+'[87]Asumsi I'!$C$3)^(KKF!A31)</f>
        <v>6.5882103338524081E-2</v>
      </c>
      <c r="P31" s="274">
        <f t="shared" ca="1" si="7"/>
        <v>-0.22609827848535946</v>
      </c>
      <c r="Q31" s="274">
        <f ca="1">Q30+P31</f>
        <v>-21.535907569345216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14400</v>
      </c>
      <c r="D32" s="274">
        <f t="shared" si="5"/>
        <v>2400</v>
      </c>
      <c r="E32" s="274">
        <f t="shared" si="0"/>
        <v>12000</v>
      </c>
      <c r="F32" s="272"/>
      <c r="G32" s="276">
        <f ca="1">DATA!$D$11/1000000</f>
        <v>0.42920469622500002</v>
      </c>
      <c r="H32" s="276">
        <f>C32*DATA!$D$5/1000000</f>
        <v>15.61140066076681</v>
      </c>
      <c r="I32" s="276">
        <f>(C32*DATA!$D$5*DATA!$D$7)/1000000</f>
        <v>0.35125651486725318</v>
      </c>
      <c r="J32" s="274">
        <f t="shared" ca="1" si="1"/>
        <v>16.391861871859064</v>
      </c>
      <c r="K32" s="272"/>
      <c r="L32" s="274">
        <f>((D32*DATA!$D$23)/1000000)+((E32*DATA!$D$24)/1000000)</f>
        <v>12.96</v>
      </c>
      <c r="M32" s="274">
        <f t="shared" si="2"/>
        <v>12.96</v>
      </c>
      <c r="N32" s="274">
        <f t="shared" ca="1" si="6"/>
        <v>-3.4318618718590628</v>
      </c>
      <c r="O32" s="273">
        <f>1/(1+'[87]Asumsi I'!$C$3)^(KKF!A32)</f>
        <v>5.8823306552253637E-2</v>
      </c>
      <c r="P32" s="274">
        <f t="shared" ca="1" si="7"/>
        <v>-0.20187346293335665</v>
      </c>
      <c r="Q32" s="274">
        <f ca="1">Q31+P32</f>
        <v>-21.737781032278573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85" t="s">
        <v>1373</v>
      </c>
      <c r="G33" s="585"/>
      <c r="H33" s="585"/>
      <c r="I33" s="282"/>
      <c r="J33" s="283">
        <f ca="1">SUM(J7:J32)</f>
        <v>442.32775775437455</v>
      </c>
      <c r="K33" s="585" t="s">
        <v>1374</v>
      </c>
      <c r="L33" s="585"/>
      <c r="M33" s="283">
        <f>SUM(M7:M32)</f>
        <v>361.70999999999992</v>
      </c>
      <c r="N33" s="281"/>
      <c r="O33" s="281"/>
      <c r="P33" s="284"/>
      <c r="Q33" s="284"/>
      <c r="S33" s="262">
        <f ca="1">COUNTIF(S7:S32,"a")</f>
        <v>24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-9.4791725811142076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0.81774203327492323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-19.408733064534431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>
        <f ca="1">IRR(N7:N32,DATA!D4)</f>
        <v>0.66267451410360301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6"/>
  <sheetViews>
    <sheetView showGridLines="0" tabSelected="1" zoomScale="85" zoomScaleNormal="85" zoomScaleSheetLayoutView="70" workbookViewId="0">
      <pane ySplit="13" topLeftCell="A17" activePane="bottomLeft" state="frozen"/>
      <selection activeCell="H1093" sqref="H1093"/>
      <selection pane="bottomLeft" activeCell="K7" sqref="K7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588" t="s">
        <v>1035</v>
      </c>
      <c r="P3" s="588"/>
      <c r="Q3" s="304"/>
      <c r="T3" s="302"/>
      <c r="U3" s="303" t="s">
        <v>1040</v>
      </c>
      <c r="V3" s="302"/>
    </row>
    <row r="4" spans="1:22" ht="15.75" customHeight="1">
      <c r="B4" s="589" t="s">
        <v>1022</v>
      </c>
      <c r="C4" s="589"/>
      <c r="D4" s="589"/>
      <c r="E4" s="589"/>
      <c r="F4" s="589"/>
      <c r="G4" s="589"/>
      <c r="H4" s="589"/>
      <c r="I4" s="589"/>
      <c r="J4" s="589"/>
      <c r="K4" s="589"/>
      <c r="O4" s="588"/>
      <c r="P4" s="588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605" t="str">
        <f>DATA!D14</f>
        <v>YAYSAN AL MADINA</v>
      </c>
      <c r="H6" s="605"/>
      <c r="I6" s="605"/>
      <c r="J6" s="605"/>
      <c r="K6" s="605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JL MERAK DEMPET DS MERAK  RT 1 RW 1, MERAK, DEMPET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591" t="s">
        <v>0</v>
      </c>
      <c r="C11" s="593" t="s">
        <v>1</v>
      </c>
      <c r="D11" s="596" t="s">
        <v>42</v>
      </c>
      <c r="E11" s="596" t="s">
        <v>43</v>
      </c>
      <c r="F11" s="596" t="s">
        <v>2</v>
      </c>
      <c r="G11" s="598" t="s">
        <v>41</v>
      </c>
      <c r="H11" s="596" t="s">
        <v>3</v>
      </c>
      <c r="I11" s="596"/>
      <c r="J11" s="596"/>
      <c r="K11" s="615"/>
      <c r="O11" s="309"/>
      <c r="P11" s="310"/>
      <c r="Q11" s="309"/>
      <c r="S11" s="311"/>
      <c r="T11" s="312"/>
      <c r="U11" s="312"/>
      <c r="V11" s="312"/>
    </row>
    <row r="12" spans="1:22" ht="15" customHeight="1">
      <c r="B12" s="592"/>
      <c r="C12" s="594"/>
      <c r="D12" s="597"/>
      <c r="E12" s="597"/>
      <c r="F12" s="597"/>
      <c r="G12" s="599"/>
      <c r="H12" s="601" t="s">
        <v>46</v>
      </c>
      <c r="I12" s="601" t="s">
        <v>5</v>
      </c>
      <c r="J12" s="597" t="s">
        <v>47</v>
      </c>
      <c r="K12" s="616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592"/>
      <c r="C13" s="595"/>
      <c r="D13" s="597"/>
      <c r="E13" s="597"/>
      <c r="F13" s="597"/>
      <c r="G13" s="600"/>
      <c r="H13" s="602"/>
      <c r="I13" s="602"/>
      <c r="J13" s="597"/>
      <c r="K13" s="616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1612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3"/>
      <c r="C15" s="109"/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:H18" ca="1" si="4">IF(OR(D15="MDU",D15="MDU-KD"),(IF($O$3="RAB NON MDU","PLN KD",G15*F15)),0)</f>
        <v>0</v>
      </c>
      <c r="I15" s="317">
        <f t="shared" ref="I15:I18" ca="1" si="5">IF(D15="HDW",G15*F15,0)</f>
        <v>0</v>
      </c>
      <c r="J15" s="317">
        <f t="shared" ref="J15:J18" ca="1" si="6">IF(D15="JASA",G15*F15,0)</f>
        <v>0</v>
      </c>
      <c r="K15" s="318">
        <f t="shared" ref="K15:K18" ca="1" si="7">SUM(H15:J15)</f>
        <v>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4" customFormat="1">
      <c r="A16" s="294" t="e">
        <f>IF(AND(C16=0,#REF!=0,#REF!=0),"BLANKS",1)</f>
        <v>#REF!</v>
      </c>
      <c r="B16" s="437" t="s">
        <v>1611</v>
      </c>
      <c r="C16" s="438" t="s">
        <v>1608</v>
      </c>
      <c r="D16" s="314" t="str">
        <f ca="1">IF(ISERROR(OFFSET('HARGA SATUAN'!$D$6,MATCH(RAB!C16,'HARGA SATUAN'!$C$7:$C$1492,0),0)),"",OFFSET('HARGA SATUAN'!$D$6,MATCH(RAB!C16,'HARGA SATUAN'!$C$7:$C$1492,0),0))</f>
        <v/>
      </c>
      <c r="E16" s="315" t="str">
        <f ca="1">IF(B16="+","Unit",IF(ISERROR(OFFSET('HARGA SATUAN'!$E$6,MATCH(RAB!C16,'HARGA SATUAN'!$C$7:$C$1492,0),0)),"",OFFSET('HARGA SATUAN'!$E$6,MATCH(RAB!C16,'HARGA SATUAN'!$C$7:$C$1492,0),0)))</f>
        <v/>
      </c>
      <c r="F16" s="322"/>
      <c r="G16" s="316">
        <f ca="1">IF(ISERROR(OFFSET('HARGA SATUAN'!$I$6,MATCH(RAB!C16,'HARGA SATUAN'!$C$7:$C$1492,0),0)),0,OFFSET('HARGA SATUAN'!$I$6,MATCH(RAB!C16,'HARGA SATUAN'!$C$7:$C$1492,0),0))</f>
        <v>0</v>
      </c>
      <c r="H16" s="317">
        <f t="shared" ca="1" si="4"/>
        <v>0</v>
      </c>
      <c r="I16" s="317">
        <f t="shared" ca="1" si="5"/>
        <v>0</v>
      </c>
      <c r="J16" s="317">
        <f t="shared" ca="1" si="6"/>
        <v>0</v>
      </c>
      <c r="K16" s="318">
        <f t="shared" ca="1" si="7"/>
        <v>0</v>
      </c>
      <c r="L16" s="323"/>
      <c r="M16" s="323"/>
      <c r="N16" s="323"/>
      <c r="O16" s="319"/>
      <c r="P16" s="319"/>
      <c r="Q16" s="302"/>
      <c r="R16" s="294"/>
      <c r="S16" s="320"/>
      <c r="T16" s="299"/>
      <c r="U16" s="299"/>
      <c r="V16" s="299"/>
    </row>
    <row r="17" spans="1:22" s="324" customFormat="1">
      <c r="A17" s="294"/>
      <c r="B17" s="444"/>
      <c r="C17" s="488"/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ca="1" si="4"/>
        <v>0</v>
      </c>
      <c r="I17" s="317">
        <f t="shared" ca="1" si="5"/>
        <v>0</v>
      </c>
      <c r="J17" s="317">
        <f t="shared" ca="1" si="6"/>
        <v>0</v>
      </c>
      <c r="K17" s="318">
        <f t="shared" ca="1" si="7"/>
        <v>0</v>
      </c>
      <c r="L17" s="323"/>
      <c r="M17" s="323"/>
      <c r="N17" s="323"/>
      <c r="O17" s="319"/>
      <c r="P17" s="319"/>
      <c r="Q17" s="302"/>
      <c r="R17" s="294"/>
      <c r="S17" s="320"/>
      <c r="T17" s="299"/>
      <c r="U17" s="299"/>
      <c r="V17" s="299"/>
    </row>
    <row r="18" spans="1:22" s="324" customFormat="1">
      <c r="A18" s="294"/>
      <c r="B18" s="437" t="s">
        <v>1618</v>
      </c>
      <c r="C18" s="438" t="s">
        <v>1613</v>
      </c>
      <c r="D18" s="314" t="str">
        <f ca="1">IF(ISERROR(OFFSET('HARGA SATUAN'!$D$6,MATCH(RAB!C18,'HARGA SATUAN'!$C$7:$C$1492,0),0)),"",OFFSET('HARGA SATUAN'!$D$6,MATCH(RAB!C18,'HARGA SATUAN'!$C$7:$C$1492,0),0))</f>
        <v/>
      </c>
      <c r="E18" s="315" t="str">
        <f ca="1">IF(B18="+","Unit",IF(ISERROR(OFFSET('HARGA SATUAN'!$E$6,MATCH(RAB!C18,'HARGA SATUAN'!$C$7:$C$1492,0),0)),"",OFFSET('HARGA SATUAN'!$E$6,MATCH(RAB!C18,'HARGA SATUAN'!$C$7:$C$1492,0),0)))</f>
        <v/>
      </c>
      <c r="F18" s="434"/>
      <c r="G18" s="316">
        <f ca="1">IF(ISERROR(OFFSET('HARGA SATUAN'!$I$6,MATCH(RAB!C18,'HARGA SATUAN'!$C$7:$C$1492,0),0)),0,OFFSET('HARGA SATUAN'!$I$6,MATCH(RAB!C18,'HARGA SATUAN'!$C$7:$C$1492,0),0))</f>
        <v>0</v>
      </c>
      <c r="H18" s="317">
        <f t="shared" ca="1" si="4"/>
        <v>0</v>
      </c>
      <c r="I18" s="317">
        <f t="shared" ca="1" si="5"/>
        <v>0</v>
      </c>
      <c r="J18" s="317">
        <f t="shared" ca="1" si="6"/>
        <v>0</v>
      </c>
      <c r="K18" s="318">
        <f t="shared" ca="1" si="7"/>
        <v>0</v>
      </c>
      <c r="L18" s="323"/>
      <c r="M18" s="323"/>
      <c r="N18" s="323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/>
      <c r="B19" s="437"/>
      <c r="C19" s="438"/>
      <c r="D19" s="314" t="str">
        <f ca="1">IF(ISERROR(OFFSET('HARGA SATUAN'!$D$6,MATCH(RAB!C19,'HARGA SATUAN'!$C$7:$C$1492,0),0)),"",OFFSET('HARGA SATUAN'!$D$6,MATCH(RAB!C19,'HARGA SATUAN'!$C$7:$C$1492,0),0))</f>
        <v/>
      </c>
      <c r="E19" s="315" t="str">
        <f ca="1">IF(B19="+","Unit",IF(ISERROR(OFFSET('HARGA SATUAN'!$E$6,MATCH(RAB!C19,'HARGA SATUAN'!$C$7:$C$1492,0),0)),"",OFFSET('HARGA SATUAN'!$E$6,MATCH(RAB!C19,'HARGA SATUAN'!$C$7:$C$1492,0),0)))</f>
        <v/>
      </c>
      <c r="F19" s="434"/>
      <c r="G19" s="316">
        <f ca="1">IF(ISERROR(OFFSET('HARGA SATUAN'!$I$6,MATCH(RAB!C19,'HARGA SATUAN'!$C$7:$C$1492,0),0)),0,OFFSET('HARGA SATUAN'!$I$6,MATCH(RAB!C19,'HARGA SATUAN'!$C$7:$C$1492,0),0))</f>
        <v>0</v>
      </c>
      <c r="H19" s="317">
        <f t="shared" ref="H19" ca="1" si="8">IF(OR(D19="MDU",D19="MDU-KD"),(IF($O$3="RAB NON MDU","PLN KD",G19*F19)),0)</f>
        <v>0</v>
      </c>
      <c r="I19" s="317">
        <f t="shared" ref="I19" ca="1" si="9">IF(D19="HDW",G19*F19,0)</f>
        <v>0</v>
      </c>
      <c r="J19" s="317">
        <f t="shared" ref="J19" ca="1" si="10">IF(D19="JASA",G19*F19,0)</f>
        <v>0</v>
      </c>
      <c r="K19" s="318">
        <f t="shared" ref="K19" ca="1" si="11">SUM(H19:J19)</f>
        <v>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37" t="s">
        <v>1619</v>
      </c>
      <c r="C20" s="438" t="s">
        <v>1609</v>
      </c>
      <c r="D20" s="314" t="str">
        <f ca="1">IF(ISERROR(OFFSET('HARGA SATUAN'!$D$6,MATCH(RAB!C20,'HARGA SATUAN'!$C$7:$C$1492,0),0)),"",OFFSET('HARGA SATUAN'!$D$6,MATCH(RAB!C20,'HARGA SATUAN'!$C$7:$C$1492,0),0))</f>
        <v/>
      </c>
      <c r="E20" s="315" t="str">
        <f ca="1">IF(B20="+","Unit",IF(ISERROR(OFFSET('HARGA SATUAN'!$E$6,MATCH(RAB!C20,'HARGA SATUAN'!$C$7:$C$1492,0),0)),"",OFFSET('HARGA SATUAN'!$E$6,MATCH(RAB!C20,'HARGA SATUAN'!$C$7:$C$1492,0),0)))</f>
        <v/>
      </c>
      <c r="F20" s="434"/>
      <c r="G20" s="316">
        <f ca="1">IF(ISERROR(OFFSET('HARGA SATUAN'!$I$6,MATCH(RAB!C20,'HARGA SATUAN'!$C$7:$C$1492,0),0)),0,OFFSET('HARGA SATUAN'!$I$6,MATCH(RAB!C20,'HARGA SATUAN'!$C$7:$C$1492,0),0))</f>
        <v>0</v>
      </c>
      <c r="H20" s="317">
        <f t="shared" ref="H20" ca="1" si="12">IF(OR(D20="MDU",D20="MDU-KD"),(IF($O$3="RAB NON MDU","PLN KD",G20*F20)),0)</f>
        <v>0</v>
      </c>
      <c r="I20" s="317">
        <f t="shared" ref="I20" ca="1" si="13">IF(D20="HDW",G20*F20,0)</f>
        <v>0</v>
      </c>
      <c r="J20" s="317">
        <f t="shared" ref="J20" ca="1" si="14">IF(D20="JASA",G20*F20,0)</f>
        <v>0</v>
      </c>
      <c r="K20" s="318">
        <f t="shared" ref="K20" ca="1" si="15">SUM(H20:J20)</f>
        <v>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439"/>
      <c r="C21" s="440"/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/>
      </c>
      <c r="F21" s="434"/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ref="H21:H45" ca="1" si="16">IF(OR(D21="MDU",D21="MDU-KD"),(IF($O$3="RAB NON MDU","PLN KD",G21*F21)),0)</f>
        <v>0</v>
      </c>
      <c r="I21" s="317">
        <f t="shared" ref="I21:I45" ca="1" si="17">IF(D21="HDW",G21*F21,0)</f>
        <v>0</v>
      </c>
      <c r="J21" s="317">
        <f t="shared" ref="J21:J45" ca="1" si="18">IF(D21="JASA",G21*F21,0)</f>
        <v>0</v>
      </c>
      <c r="K21" s="318">
        <f t="shared" ref="K21:K45" ca="1" si="19">SUM(H21:J21)</f>
        <v>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35" t="s">
        <v>1034</v>
      </c>
      <c r="C22" s="436" t="s">
        <v>1621</v>
      </c>
      <c r="D22" s="314" t="str">
        <f ca="1">IF(ISERROR(OFFSET('HARGA SATUAN'!$D$6,MATCH(RAB!C22,'HARGA SATUAN'!$C$7:$C$1492,0),0)),"",OFFSET('HARGA SATUAN'!$D$6,MATCH(RAB!C22,'HARGA SATUAN'!$C$7:$C$1492,0),0))</f>
        <v/>
      </c>
      <c r="E22" s="315" t="str">
        <f ca="1">IF(B22="+","Unit",IF(ISERROR(OFFSET('HARGA SATUAN'!$E$6,MATCH(RAB!C22,'HARGA SATUAN'!$C$7:$C$1492,0),0)),"",OFFSET('HARGA SATUAN'!$E$6,MATCH(RAB!C22,'HARGA SATUAN'!$C$7:$C$1492,0),0)))</f>
        <v>Unit</v>
      </c>
      <c r="F22" s="694">
        <v>1</v>
      </c>
      <c r="G22" s="316">
        <f ca="1">IF(ISERROR(OFFSET('HARGA SATUAN'!$I$6,MATCH(RAB!C22,'HARGA SATUAN'!$C$7:$C$1492,0),0)),0,OFFSET('HARGA SATUAN'!$I$6,MATCH(RAB!C22,'HARGA SATUAN'!$C$7:$C$1492,0),0))</f>
        <v>0</v>
      </c>
      <c r="H22" s="317">
        <f t="shared" ref="H22:H28" ca="1" si="20">IF(OR(D22="MDU",D22="MDU-KD"),(IF($O$3="RAB NON MDU","PLN KD",G22*F22)),0)</f>
        <v>0</v>
      </c>
      <c r="I22" s="317">
        <f t="shared" ref="I22:I28" ca="1" si="21">IF(D22="HDW",G22*F22,0)</f>
        <v>0</v>
      </c>
      <c r="J22" s="317">
        <f t="shared" ref="J22:J28" ca="1" si="22">IF(D22="JASA",G22*F22,0)</f>
        <v>0</v>
      </c>
      <c r="K22" s="318">
        <f t="shared" ref="K22:K28" ca="1" si="23">SUM(H22:J22)</f>
        <v>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 ht="30">
      <c r="A23" s="294"/>
      <c r="B23" s="692">
        <v>1</v>
      </c>
      <c r="C23" s="109" t="s">
        <v>1195</v>
      </c>
      <c r="D23" s="314" t="str">
        <f ca="1">IF(ISERROR(OFFSET('HARGA SATUAN'!$D$6,MATCH(RAB!C23,'HARGA SATUAN'!$C$7:$C$1492,0),0)),"",OFFSET('HARGA SATUAN'!$D$6,MATCH(RAB!C23,'HARGA SATUAN'!$C$7:$C$1492,0),0))</f>
        <v>MDU-KD</v>
      </c>
      <c r="E23" s="315" t="str">
        <f ca="1">IF(B23="+","Unit",IF(ISERROR(OFFSET('HARGA SATUAN'!$E$6,MATCH(RAB!C23,'HARGA SATUAN'!$C$7:$C$1492,0),0)),"",OFFSET('HARGA SATUAN'!$E$6,MATCH(RAB!C23,'HARGA SATUAN'!$C$7:$C$1492,0),0)))</f>
        <v>Bh</v>
      </c>
      <c r="F23" s="694">
        <f>F22*1</f>
        <v>1</v>
      </c>
      <c r="G23" s="316">
        <f ca="1">IF(ISERROR(OFFSET('HARGA SATUAN'!$I$6,MATCH(RAB!C23,'HARGA SATUAN'!$C$7:$C$1492,0),0)),0,OFFSET('HARGA SATUAN'!$I$6,MATCH(RAB!C23,'HARGA SATUAN'!$C$7:$C$1492,0),0))</f>
        <v>1504200</v>
      </c>
      <c r="H23" s="317">
        <f t="shared" ca="1" si="20"/>
        <v>1504200</v>
      </c>
      <c r="I23" s="317">
        <f t="shared" ca="1" si="21"/>
        <v>0</v>
      </c>
      <c r="J23" s="317">
        <f t="shared" ca="1" si="22"/>
        <v>0</v>
      </c>
      <c r="K23" s="318">
        <f t="shared" ca="1" si="23"/>
        <v>1504200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692">
        <v>2</v>
      </c>
      <c r="C24" s="693" t="s">
        <v>514</v>
      </c>
      <c r="D24" s="314" t="str">
        <f ca="1">IF(ISERROR(OFFSET('HARGA SATUAN'!$D$6,MATCH(RAB!C24,'HARGA SATUAN'!$C$7:$C$1492,0),0)),"",OFFSET('HARGA SATUAN'!$D$6,MATCH(RAB!C24,'HARGA SATUAN'!$C$7:$C$1492,0),0))</f>
        <v>MDU-KD</v>
      </c>
      <c r="E24" s="315" t="str">
        <f ca="1">IF(B24="+","Unit",IF(ISERROR(OFFSET('HARGA SATUAN'!$E$6,MATCH(RAB!C24,'HARGA SATUAN'!$C$7:$C$1492,0),0)),"",OFFSET('HARGA SATUAN'!$E$6,MATCH(RAB!C24,'HARGA SATUAN'!$C$7:$C$1492,0),0)))</f>
        <v>Unit</v>
      </c>
      <c r="F24" s="694">
        <f>F22*1</f>
        <v>1</v>
      </c>
      <c r="G24" s="316">
        <f ca="1">IF(ISERROR(OFFSET('HARGA SATUAN'!$I$6,MATCH(RAB!C24,'HARGA SATUAN'!$C$7:$C$1492,0),0)),0,OFFSET('HARGA SATUAN'!$I$6,MATCH(RAB!C24,'HARGA SATUAN'!$C$7:$C$1492,0),0))</f>
        <v>13644300</v>
      </c>
      <c r="H24" s="317">
        <f t="shared" ca="1" si="20"/>
        <v>13644300</v>
      </c>
      <c r="I24" s="317">
        <f t="shared" ca="1" si="21"/>
        <v>0</v>
      </c>
      <c r="J24" s="317">
        <f t="shared" ca="1" si="22"/>
        <v>0</v>
      </c>
      <c r="K24" s="318">
        <f t="shared" ca="1" si="23"/>
        <v>13644300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692">
        <v>3</v>
      </c>
      <c r="C25" s="693" t="s">
        <v>1141</v>
      </c>
      <c r="D25" s="314" t="str">
        <f ca="1">IF(ISERROR(OFFSET('HARGA SATUAN'!$D$6,MATCH(RAB!C25,'HARGA SATUAN'!$C$7:$C$1492,0),0)),"",OFFSET('HARGA SATUAN'!$D$6,MATCH(RAB!C25,'HARGA SATUAN'!$C$7:$C$1492,0),0))</f>
        <v>HDW</v>
      </c>
      <c r="E25" s="315" t="str">
        <f ca="1">IF(B25="+","Unit",IF(ISERROR(OFFSET('HARGA SATUAN'!$E$6,MATCH(RAB!C25,'HARGA SATUAN'!$C$7:$C$1492,0),0)),"",OFFSET('HARGA SATUAN'!$E$6,MATCH(RAB!C25,'HARGA SATUAN'!$C$7:$C$1492,0),0)))</f>
        <v>Unit</v>
      </c>
      <c r="F25" s="694">
        <f>F22*1</f>
        <v>1</v>
      </c>
      <c r="G25" s="316">
        <f ca="1">IF(ISERROR(OFFSET('HARGA SATUAN'!$I$6,MATCH(RAB!C25,'HARGA SATUAN'!$C$7:$C$1492,0),0)),0,OFFSET('HARGA SATUAN'!$I$6,MATCH(RAB!C25,'HARGA SATUAN'!$C$7:$C$1492,0),0))</f>
        <v>1113900</v>
      </c>
      <c r="H25" s="317">
        <f t="shared" ca="1" si="20"/>
        <v>0</v>
      </c>
      <c r="I25" s="317">
        <f t="shared" ca="1" si="21"/>
        <v>1113900</v>
      </c>
      <c r="J25" s="317">
        <f t="shared" ca="1" si="22"/>
        <v>0</v>
      </c>
      <c r="K25" s="318">
        <f t="shared" ca="1" si="23"/>
        <v>1113900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692">
        <v>4</v>
      </c>
      <c r="C26" s="109" t="s">
        <v>1457</v>
      </c>
      <c r="D26" s="314" t="str">
        <f ca="1">IF(ISERROR(OFFSET('HARGA SATUAN'!$D$6,MATCH(RAB!C26,'HARGA SATUAN'!$C$7:$C$1492,0),0)),"",OFFSET('HARGA SATUAN'!$D$6,MATCH(RAB!C26,'HARGA SATUAN'!$C$7:$C$1492,0),0))</f>
        <v>MDU-KD</v>
      </c>
      <c r="E26" s="315" t="str">
        <f ca="1">IF(B26="+","Unit",IF(ISERROR(OFFSET('HARGA SATUAN'!$E$6,MATCH(RAB!C26,'HARGA SATUAN'!$C$7:$C$1492,0),0)),"",OFFSET('HARGA SATUAN'!$E$6,MATCH(RAB!C26,'HARGA SATUAN'!$C$7:$C$1492,0),0)))</f>
        <v>Mtr</v>
      </c>
      <c r="F26" s="694">
        <f>F22*35</f>
        <v>35</v>
      </c>
      <c r="G26" s="316">
        <f ca="1">IF(ISERROR(OFFSET('HARGA SATUAN'!$I$6,MATCH(RAB!C26,'HARGA SATUAN'!$C$7:$C$1492,0),0)),0,OFFSET('HARGA SATUAN'!$I$6,MATCH(RAB!C26,'HARGA SATUAN'!$C$7:$C$1492,0),0))</f>
        <v>54500</v>
      </c>
      <c r="H26" s="317">
        <f t="shared" ca="1" si="20"/>
        <v>1907500</v>
      </c>
      <c r="I26" s="317">
        <f t="shared" ca="1" si="21"/>
        <v>0</v>
      </c>
      <c r="J26" s="317">
        <f t="shared" ca="1" si="22"/>
        <v>0</v>
      </c>
      <c r="K26" s="318">
        <f t="shared" ca="1" si="23"/>
        <v>1907500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>
      <c r="A27" s="294"/>
      <c r="B27" s="692">
        <v>5</v>
      </c>
      <c r="C27" s="693" t="s">
        <v>798</v>
      </c>
      <c r="D27" s="314" t="str">
        <f ca="1">IF(ISERROR(OFFSET('HARGA SATUAN'!$D$6,MATCH(RAB!C27,'HARGA SATUAN'!$C$7:$C$1492,0),0)),"",OFFSET('HARGA SATUAN'!$D$6,MATCH(RAB!C27,'HARGA SATUAN'!$C$7:$C$1492,0),0))</f>
        <v>JASA</v>
      </c>
      <c r="E27" s="315" t="str">
        <f ca="1">IF(B27="+","Unit",IF(ISERROR(OFFSET('HARGA SATUAN'!$E$6,MATCH(RAB!C27,'HARGA SATUAN'!$C$7:$C$1492,0),0)),"",OFFSET('HARGA SATUAN'!$E$6,MATCH(RAB!C27,'HARGA SATUAN'!$C$7:$C$1492,0),0)))</f>
        <v>Unit</v>
      </c>
      <c r="F27" s="489">
        <f>F22*1</f>
        <v>1</v>
      </c>
      <c r="G27" s="316">
        <f ca="1">IF(ISERROR(OFFSET('HARGA SATUAN'!$I$6,MATCH(RAB!C27,'HARGA SATUAN'!$C$7:$C$1492,0),0)),0,OFFSET('HARGA SATUAN'!$I$6,MATCH(RAB!C27,'HARGA SATUAN'!$C$7:$C$1492,0),0))</f>
        <v>106400</v>
      </c>
      <c r="H27" s="317">
        <f t="shared" ca="1" si="20"/>
        <v>0</v>
      </c>
      <c r="I27" s="317">
        <f t="shared" ca="1" si="21"/>
        <v>0</v>
      </c>
      <c r="J27" s="317">
        <f t="shared" ca="1" si="22"/>
        <v>106400</v>
      </c>
      <c r="K27" s="318">
        <f t="shared" ca="1" si="23"/>
        <v>106400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>
      <c r="A28" s="294"/>
      <c r="B28" s="439">
        <v>6</v>
      </c>
      <c r="C28" s="443" t="s">
        <v>981</v>
      </c>
      <c r="D28" s="314" t="str">
        <f ca="1">IF(ISERROR(OFFSET('HARGA SATUAN'!$D$6,MATCH(RAB!C28,'HARGA SATUAN'!$C$7:$C$1492,0),0)),"",OFFSET('HARGA SATUAN'!$D$6,MATCH(RAB!C28,'HARGA SATUAN'!$C$7:$C$1492,0),0))</f>
        <v>JASA</v>
      </c>
      <c r="E28" s="315" t="str">
        <f ca="1">IF(B28="+","Unit",IF(ISERROR(OFFSET('HARGA SATUAN'!$E$6,MATCH(RAB!C28,'HARGA SATUAN'!$C$7:$C$1492,0),0)),"",OFFSET('HARGA SATUAN'!$E$6,MATCH(RAB!C28,'HARGA SATUAN'!$C$7:$C$1492,0),0)))</f>
        <v>Unit</v>
      </c>
      <c r="F28" s="434">
        <v>1</v>
      </c>
      <c r="G28" s="316">
        <f ca="1">IF(ISERROR(OFFSET('HARGA SATUAN'!$I$6,MATCH(RAB!C28,'HARGA SATUAN'!$C$7:$C$1492,0),0)),0,OFFSET('HARGA SATUAN'!$I$6,MATCH(RAB!C28,'HARGA SATUAN'!$C$7:$C$1492,0),0))</f>
        <v>63840</v>
      </c>
      <c r="H28" s="317">
        <f t="shared" ca="1" si="20"/>
        <v>0</v>
      </c>
      <c r="I28" s="317">
        <f t="shared" ca="1" si="21"/>
        <v>0</v>
      </c>
      <c r="J28" s="317">
        <f t="shared" ca="1" si="22"/>
        <v>63840</v>
      </c>
      <c r="K28" s="318">
        <f t="shared" ca="1" si="23"/>
        <v>63840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435"/>
      <c r="C29" s="436"/>
      <c r="D29" s="314" t="str">
        <f ca="1">IF(ISERROR(OFFSET('HARGA SATUAN'!$D$6,MATCH(RAB!C29,'HARGA SATUAN'!$C$7:$C$1492,0),0)),"",OFFSET('HARGA SATUAN'!$D$6,MATCH(RAB!C29,'HARGA SATUAN'!$C$7:$C$1492,0),0))</f>
        <v/>
      </c>
      <c r="E29" s="315" t="str">
        <f ca="1">IF(B29="+","Unit",IF(ISERROR(OFFSET('HARGA SATUAN'!$E$6,MATCH(RAB!C29,'HARGA SATUAN'!$C$7:$C$1492,0),0)),"",OFFSET('HARGA SATUAN'!$E$6,MATCH(RAB!C29,'HARGA SATUAN'!$C$7:$C$1492,0),0)))</f>
        <v/>
      </c>
      <c r="F29" s="442"/>
      <c r="G29" s="316">
        <f ca="1">IF(ISERROR(OFFSET('HARGA SATUAN'!$I$6,MATCH(RAB!C29,'HARGA SATUAN'!$C$7:$C$1492,0),0)),0,OFFSET('HARGA SATUAN'!$I$6,MATCH(RAB!C29,'HARGA SATUAN'!$C$7:$C$1492,0),0))</f>
        <v>0</v>
      </c>
      <c r="H29" s="317">
        <f t="shared" ca="1" si="16"/>
        <v>0</v>
      </c>
      <c r="I29" s="317">
        <f t="shared" ca="1" si="17"/>
        <v>0</v>
      </c>
      <c r="J29" s="317">
        <f t="shared" ca="1" si="18"/>
        <v>0</v>
      </c>
      <c r="K29" s="318">
        <f t="shared" ca="1" si="19"/>
        <v>0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439" t="s">
        <v>1034</v>
      </c>
      <c r="C30" s="441" t="s">
        <v>1610</v>
      </c>
      <c r="D30" s="314" t="str">
        <f ca="1">IF(ISERROR(OFFSET('HARGA SATUAN'!$D$6,MATCH(RAB!C30,'HARGA SATUAN'!$C$7:$C$1492,0),0)),"",OFFSET('HARGA SATUAN'!$D$6,MATCH(RAB!C30,'HARGA SATUAN'!$C$7:$C$1492,0),0))</f>
        <v/>
      </c>
      <c r="E30" s="315" t="str">
        <f ca="1">IF(B30="+","Unit",IF(ISERROR(OFFSET('HARGA SATUAN'!$E$6,MATCH(RAB!C30,'HARGA SATUAN'!$C$7:$C$1492,0),0)),"",OFFSET('HARGA SATUAN'!$E$6,MATCH(RAB!C30,'HARGA SATUAN'!$C$7:$C$1492,0),0)))</f>
        <v>Unit</v>
      </c>
      <c r="F30" s="442">
        <v>1</v>
      </c>
      <c r="G30" s="316">
        <f ca="1">IF(ISERROR(OFFSET('HARGA SATUAN'!$I$6,MATCH(RAB!C30,'HARGA SATUAN'!$C$7:$C$1492,0),0)),0,OFFSET('HARGA SATUAN'!$I$6,MATCH(RAB!C30,'HARGA SATUAN'!$C$7:$C$1492,0),0))</f>
        <v>0</v>
      </c>
      <c r="H30" s="317">
        <f t="shared" ca="1" si="16"/>
        <v>0</v>
      </c>
      <c r="I30" s="317">
        <f t="shared" ca="1" si="17"/>
        <v>0</v>
      </c>
      <c r="J30" s="317">
        <f t="shared" ca="1" si="18"/>
        <v>0</v>
      </c>
      <c r="K30" s="318">
        <f t="shared" ca="1" si="19"/>
        <v>0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439">
        <v>1</v>
      </c>
      <c r="C31" s="441" t="s">
        <v>115</v>
      </c>
      <c r="D31" s="314" t="str">
        <f ca="1">IF(ISERROR(OFFSET('HARGA SATUAN'!$D$6,MATCH(RAB!C31,'HARGA SATUAN'!$C$7:$C$1492,0),0)),"",OFFSET('HARGA SATUAN'!$D$6,MATCH(RAB!C31,'HARGA SATUAN'!$C$7:$C$1492,0),0))</f>
        <v>HDW</v>
      </c>
      <c r="E31" s="315" t="str">
        <f ca="1">IF(B31="+","Unit",IF(ISERROR(OFFSET('HARGA SATUAN'!$E$6,MATCH(RAB!C31,'HARGA SATUAN'!$C$7:$C$1492,0),0)),"",OFFSET('HARGA SATUAN'!$E$6,MATCH(RAB!C31,'HARGA SATUAN'!$C$7:$C$1492,0),0)))</f>
        <v>Set</v>
      </c>
      <c r="F31" s="442">
        <f>F30*1</f>
        <v>1</v>
      </c>
      <c r="G31" s="316">
        <f ca="1">IF(ISERROR(OFFSET('HARGA SATUAN'!$I$6,MATCH(RAB!C31,'HARGA SATUAN'!$C$7:$C$1492,0),0)),0,OFFSET('HARGA SATUAN'!$I$6,MATCH(RAB!C31,'HARGA SATUAN'!$C$7:$C$1492,0),0))</f>
        <v>11500</v>
      </c>
      <c r="H31" s="317">
        <f t="shared" ca="1" si="16"/>
        <v>0</v>
      </c>
      <c r="I31" s="317">
        <f t="shared" ca="1" si="17"/>
        <v>11500</v>
      </c>
      <c r="J31" s="317">
        <f t="shared" ca="1" si="18"/>
        <v>0</v>
      </c>
      <c r="K31" s="318">
        <f t="shared" ca="1" si="19"/>
        <v>11500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439">
        <v>2</v>
      </c>
      <c r="C32" s="441" t="s">
        <v>145</v>
      </c>
      <c r="D32" s="314" t="str">
        <f ca="1">IF(ISERROR(OFFSET('HARGA SATUAN'!$D$6,MATCH(RAB!C32,'HARGA SATUAN'!$C$7:$C$1492,0),0)),"",OFFSET('HARGA SATUAN'!$D$6,MATCH(RAB!C32,'HARGA SATUAN'!$C$7:$C$1492,0),0))</f>
        <v>HDW</v>
      </c>
      <c r="E32" s="315" t="str">
        <f ca="1">IF(B32="+","Unit",IF(ISERROR(OFFSET('HARGA SATUAN'!$E$6,MATCH(RAB!C32,'HARGA SATUAN'!$C$7:$C$1492,0),0)),"",OFFSET('HARGA SATUAN'!$E$6,MATCH(RAB!C32,'HARGA SATUAN'!$C$7:$C$1492,0),0)))</f>
        <v>Set</v>
      </c>
      <c r="F32" s="442">
        <f>F30*1</f>
        <v>1</v>
      </c>
      <c r="G32" s="316">
        <f ca="1">IF(ISERROR(OFFSET('HARGA SATUAN'!$I$6,MATCH(RAB!C32,'HARGA SATUAN'!$C$7:$C$1492,0),0)),0,OFFSET('HARGA SATUAN'!$I$6,MATCH(RAB!C32,'HARGA SATUAN'!$C$7:$C$1492,0),0))</f>
        <v>6200</v>
      </c>
      <c r="H32" s="317">
        <f t="shared" ca="1" si="16"/>
        <v>0</v>
      </c>
      <c r="I32" s="317">
        <f t="shared" ca="1" si="17"/>
        <v>6200</v>
      </c>
      <c r="J32" s="317">
        <f t="shared" ca="1" si="18"/>
        <v>0</v>
      </c>
      <c r="K32" s="318">
        <f t="shared" ca="1" si="19"/>
        <v>6200</v>
      </c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439">
        <v>3</v>
      </c>
      <c r="C33" s="441" t="s">
        <v>586</v>
      </c>
      <c r="D33" s="314" t="str">
        <f ca="1">IF(ISERROR(OFFSET('HARGA SATUAN'!$D$6,MATCH(RAB!C33,'HARGA SATUAN'!$C$7:$C$1492,0),0)),"",OFFSET('HARGA SATUAN'!$D$6,MATCH(RAB!C33,'HARGA SATUAN'!$C$7:$C$1492,0),0))</f>
        <v>HDW</v>
      </c>
      <c r="E33" s="315" t="str">
        <f ca="1">IF(B33="+","Unit",IF(ISERROR(OFFSET('HARGA SATUAN'!$E$6,MATCH(RAB!C33,'HARGA SATUAN'!$C$7:$C$1492,0),0)),"",OFFSET('HARGA SATUAN'!$E$6,MATCH(RAB!C33,'HARGA SATUAN'!$C$7:$C$1492,0),0)))</f>
        <v>Btg</v>
      </c>
      <c r="F33" s="442">
        <f>F30*1</f>
        <v>1</v>
      </c>
      <c r="G33" s="316">
        <f ca="1">IF(ISERROR(OFFSET('HARGA SATUAN'!$I$6,MATCH(RAB!C33,'HARGA SATUAN'!$C$7:$C$1492,0),0)),0,OFFSET('HARGA SATUAN'!$I$6,MATCH(RAB!C33,'HARGA SATUAN'!$C$7:$C$1492,0),0))</f>
        <v>45796</v>
      </c>
      <c r="H33" s="317">
        <f t="shared" ca="1" si="16"/>
        <v>0</v>
      </c>
      <c r="I33" s="317">
        <f t="shared" ca="1" si="17"/>
        <v>45796</v>
      </c>
      <c r="J33" s="317">
        <f t="shared" ca="1" si="18"/>
        <v>0</v>
      </c>
      <c r="K33" s="318">
        <f t="shared" ca="1" si="19"/>
        <v>45796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439">
        <v>4</v>
      </c>
      <c r="C34" s="441" t="s">
        <v>118</v>
      </c>
      <c r="D34" s="314" t="str">
        <f ca="1">IF(ISERROR(OFFSET('HARGA SATUAN'!$D$6,MATCH(RAB!C34,'HARGA SATUAN'!$C$7:$C$1492,0),0)),"",OFFSET('HARGA SATUAN'!$D$6,MATCH(RAB!C34,'HARGA SATUAN'!$C$7:$C$1492,0),0))</f>
        <v>HDW</v>
      </c>
      <c r="E34" s="315" t="str">
        <f ca="1">IF(B34="+","Unit",IF(ISERROR(OFFSET('HARGA SATUAN'!$E$6,MATCH(RAB!C34,'HARGA SATUAN'!$C$7:$C$1492,0),0)),"",OFFSET('HARGA SATUAN'!$E$6,MATCH(RAB!C34,'HARGA SATUAN'!$C$7:$C$1492,0),0)))</f>
        <v>Set</v>
      </c>
      <c r="F34" s="442">
        <f>F30*1</f>
        <v>1</v>
      </c>
      <c r="G34" s="316">
        <f ca="1">IF(ISERROR(OFFSET('HARGA SATUAN'!$I$6,MATCH(RAB!C34,'HARGA SATUAN'!$C$7:$C$1492,0),0)),0,OFFSET('HARGA SATUAN'!$I$6,MATCH(RAB!C34,'HARGA SATUAN'!$C$7:$C$1492,0),0))</f>
        <v>5300</v>
      </c>
      <c r="H34" s="317">
        <f t="shared" ca="1" si="16"/>
        <v>0</v>
      </c>
      <c r="I34" s="317">
        <f t="shared" ca="1" si="17"/>
        <v>5300</v>
      </c>
      <c r="J34" s="317">
        <f t="shared" ca="1" si="18"/>
        <v>0</v>
      </c>
      <c r="K34" s="318">
        <f t="shared" ca="1" si="19"/>
        <v>5300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439">
        <v>5</v>
      </c>
      <c r="C35" s="441" t="s">
        <v>117</v>
      </c>
      <c r="D35" s="314" t="str">
        <f ca="1">IF(ISERROR(OFFSET('HARGA SATUAN'!$D$6,MATCH(RAB!C35,'HARGA SATUAN'!$C$7:$C$1492,0),0)),"",OFFSET('HARGA SATUAN'!$D$6,MATCH(RAB!C35,'HARGA SATUAN'!$C$7:$C$1492,0),0))</f>
        <v>HDW</v>
      </c>
      <c r="E35" s="315" t="str">
        <f ca="1">IF(B35="+","Unit",IF(ISERROR(OFFSET('HARGA SATUAN'!$E$6,MATCH(RAB!C35,'HARGA SATUAN'!$C$7:$C$1492,0),0)),"",OFFSET('HARGA SATUAN'!$E$6,MATCH(RAB!C35,'HARGA SATUAN'!$C$7:$C$1492,0),0)))</f>
        <v>Bh</v>
      </c>
      <c r="F35" s="442">
        <f>F30*1</f>
        <v>1</v>
      </c>
      <c r="G35" s="316">
        <f ca="1">IF(ISERROR(OFFSET('HARGA SATUAN'!$I$6,MATCH(RAB!C35,'HARGA SATUAN'!$C$7:$C$1492,0),0)),0,OFFSET('HARGA SATUAN'!$I$6,MATCH(RAB!C35,'HARGA SATUAN'!$C$7:$C$1492,0),0))</f>
        <v>58600</v>
      </c>
      <c r="H35" s="317">
        <f t="shared" ca="1" si="16"/>
        <v>0</v>
      </c>
      <c r="I35" s="317">
        <f t="shared" ca="1" si="17"/>
        <v>58600</v>
      </c>
      <c r="J35" s="317">
        <f t="shared" ca="1" si="18"/>
        <v>0</v>
      </c>
      <c r="K35" s="318">
        <f t="shared" ca="1" si="19"/>
        <v>58600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439">
        <v>6</v>
      </c>
      <c r="C36" s="109" t="s">
        <v>1154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Set</v>
      </c>
      <c r="F36" s="442">
        <f>F30*2</f>
        <v>2</v>
      </c>
      <c r="G36" s="316">
        <f ca="1">IF(ISERROR(OFFSET('HARGA SATUAN'!$I$6,MATCH(RAB!C36,'HARGA SATUAN'!$C$7:$C$1492,0),0)),0,OFFSET('HARGA SATUAN'!$I$6,MATCH(RAB!C36,'HARGA SATUAN'!$C$7:$C$1492,0),0))</f>
        <v>2900</v>
      </c>
      <c r="H36" s="317">
        <f t="shared" ca="1" si="16"/>
        <v>0</v>
      </c>
      <c r="I36" s="317">
        <f t="shared" ca="1" si="17"/>
        <v>5800</v>
      </c>
      <c r="J36" s="317">
        <f t="shared" ca="1" si="18"/>
        <v>0</v>
      </c>
      <c r="K36" s="318">
        <f t="shared" ca="1" si="19"/>
        <v>5800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>
      <c r="A37" s="294"/>
      <c r="B37" s="439">
        <v>7</v>
      </c>
      <c r="C37" s="441" t="s">
        <v>119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Set</v>
      </c>
      <c r="F37" s="442">
        <f>F30*4</f>
        <v>4</v>
      </c>
      <c r="G37" s="316">
        <f ca="1">IF(ISERROR(OFFSET('HARGA SATUAN'!$I$6,MATCH(RAB!C37,'HARGA SATUAN'!$C$7:$C$1492,0),0)),0,OFFSET('HARGA SATUAN'!$I$6,MATCH(RAB!C37,'HARGA SATUAN'!$C$7:$C$1492,0),0))</f>
        <v>8900</v>
      </c>
      <c r="H37" s="317">
        <f t="shared" ca="1" si="16"/>
        <v>0</v>
      </c>
      <c r="I37" s="317">
        <f t="shared" ca="1" si="17"/>
        <v>35600</v>
      </c>
      <c r="J37" s="317">
        <f t="shared" ca="1" si="18"/>
        <v>0</v>
      </c>
      <c r="K37" s="318">
        <f t="shared" ca="1" si="19"/>
        <v>35600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439"/>
      <c r="C38" s="440"/>
      <c r="D38" s="314" t="str">
        <f ca="1">IF(ISERROR(OFFSET('HARGA SATUAN'!$D$6,MATCH(RAB!C38,'HARGA SATUAN'!$C$7:$C$1492,0),0)),"",OFFSET('HARGA SATUAN'!$D$6,MATCH(RAB!C38,'HARGA SATUAN'!$C$7:$C$1492,0),0))</f>
        <v/>
      </c>
      <c r="E38" s="315" t="str">
        <f ca="1">IF(B38="+","Unit",IF(ISERROR(OFFSET('HARGA SATUAN'!$E$6,MATCH(RAB!C38,'HARGA SATUAN'!$C$7:$C$1492,0),0)),"",OFFSET('HARGA SATUAN'!$E$6,MATCH(RAB!C38,'HARGA SATUAN'!$C$7:$C$1492,0),0)))</f>
        <v/>
      </c>
      <c r="F38" s="434"/>
      <c r="G38" s="316">
        <f ca="1">IF(ISERROR(OFFSET('HARGA SATUAN'!$I$6,MATCH(RAB!C38,'HARGA SATUAN'!$C$7:$C$1492,0),0)),0,OFFSET('HARGA SATUAN'!$I$6,MATCH(RAB!C38,'HARGA SATUAN'!$C$7:$C$1492,0),0))</f>
        <v>0</v>
      </c>
      <c r="H38" s="317">
        <f t="shared" ca="1" si="16"/>
        <v>0</v>
      </c>
      <c r="I38" s="317">
        <f t="shared" ca="1" si="17"/>
        <v>0</v>
      </c>
      <c r="J38" s="317">
        <f t="shared" ca="1" si="18"/>
        <v>0</v>
      </c>
      <c r="K38" s="318">
        <f t="shared" ca="1" si="19"/>
        <v>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439" t="s">
        <v>1034</v>
      </c>
      <c r="C39" s="440" t="s">
        <v>1607</v>
      </c>
      <c r="D39" s="314" t="str">
        <f ca="1">IF(ISERROR(OFFSET('HARGA SATUAN'!$D$6,MATCH(RAB!C39,'HARGA SATUAN'!$C$7:$C$1492,0),0)),"",OFFSET('HARGA SATUAN'!$D$6,MATCH(RAB!C39,'HARGA SATUAN'!$C$7:$C$1492,0),0))</f>
        <v/>
      </c>
      <c r="E39" s="315" t="str">
        <f ca="1">IF(B39="+","Unit",IF(ISERROR(OFFSET('HARGA SATUAN'!$E$6,MATCH(RAB!C39,'HARGA SATUAN'!$C$7:$C$1492,0),0)),"",OFFSET('HARGA SATUAN'!$E$6,MATCH(RAB!C39,'HARGA SATUAN'!$C$7:$C$1492,0),0)))</f>
        <v>Unit</v>
      </c>
      <c r="F39" s="434">
        <v>1</v>
      </c>
      <c r="G39" s="316">
        <f ca="1">IF(ISERROR(OFFSET('HARGA SATUAN'!$I$6,MATCH(RAB!C39,'HARGA SATUAN'!$C$7:$C$1492,0),0)),0,OFFSET('HARGA SATUAN'!$I$6,MATCH(RAB!C39,'HARGA SATUAN'!$C$7:$C$1492,0),0))</f>
        <v>0</v>
      </c>
      <c r="H39" s="317">
        <f t="shared" ca="1" si="16"/>
        <v>0</v>
      </c>
      <c r="I39" s="317">
        <f t="shared" ca="1" si="17"/>
        <v>0</v>
      </c>
      <c r="J39" s="317">
        <f t="shared" ca="1" si="18"/>
        <v>0</v>
      </c>
      <c r="K39" s="318">
        <f t="shared" ca="1" si="19"/>
        <v>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439">
        <v>1</v>
      </c>
      <c r="C40" s="440" t="s">
        <v>29</v>
      </c>
      <c r="D40" s="314" t="str">
        <f ca="1">IF(ISERROR(OFFSET('HARGA SATUAN'!$D$6,MATCH(RAB!C40,'HARGA SATUAN'!$C$7:$C$1492,0),0)),"",OFFSET('HARGA SATUAN'!$D$6,MATCH(RAB!C40,'HARGA SATUAN'!$C$7:$C$1492,0),0))</f>
        <v>HDW</v>
      </c>
      <c r="E40" s="315" t="str">
        <f ca="1">IF(B40="+","Unit",IF(ISERROR(OFFSET('HARGA SATUAN'!$E$6,MATCH(RAB!C40,'HARGA SATUAN'!$C$7:$C$1492,0),0)),"",OFFSET('HARGA SATUAN'!$E$6,MATCH(RAB!C40,'HARGA SATUAN'!$C$7:$C$1492,0),0)))</f>
        <v>Bh</v>
      </c>
      <c r="F40" s="434">
        <f>F39*1</f>
        <v>1</v>
      </c>
      <c r="G40" s="316">
        <f ca="1">IF(ISERROR(OFFSET('HARGA SATUAN'!$I$6,MATCH(RAB!C40,'HARGA SATUAN'!$C$7:$C$1492,0),0)),0,OFFSET('HARGA SATUAN'!$I$6,MATCH(RAB!C40,'HARGA SATUAN'!$C$7:$C$1492,0),0))</f>
        <v>185200</v>
      </c>
      <c r="H40" s="317">
        <f t="shared" ca="1" si="16"/>
        <v>0</v>
      </c>
      <c r="I40" s="317">
        <f t="shared" ca="1" si="17"/>
        <v>185200</v>
      </c>
      <c r="J40" s="317">
        <f t="shared" ca="1" si="18"/>
        <v>0</v>
      </c>
      <c r="K40" s="318">
        <f t="shared" ca="1" si="19"/>
        <v>185200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439">
        <v>2</v>
      </c>
      <c r="C41" s="440" t="s">
        <v>30</v>
      </c>
      <c r="D41" s="314" t="str">
        <f ca="1">IF(ISERROR(OFFSET('HARGA SATUAN'!$D$6,MATCH(RAB!C41,'HARGA SATUAN'!$C$7:$C$1492,0),0)),"",OFFSET('HARGA SATUAN'!$D$6,MATCH(RAB!C41,'HARGA SATUAN'!$C$7:$C$1492,0),0))</f>
        <v>HDW</v>
      </c>
      <c r="E41" s="315" t="str">
        <f ca="1">IF(B41="+","Unit",IF(ISERROR(OFFSET('HARGA SATUAN'!$E$6,MATCH(RAB!C41,'HARGA SATUAN'!$C$7:$C$1492,0),0)),"",OFFSET('HARGA SATUAN'!$E$6,MATCH(RAB!C41,'HARGA SATUAN'!$C$7:$C$1492,0),0)))</f>
        <v>Bh</v>
      </c>
      <c r="F41" s="434">
        <f>F39*1</f>
        <v>1</v>
      </c>
      <c r="G41" s="316">
        <f ca="1">IF(ISERROR(OFFSET('HARGA SATUAN'!$I$6,MATCH(RAB!C41,'HARGA SATUAN'!$C$7:$C$1492,0),0)),0,OFFSET('HARGA SATUAN'!$I$6,MATCH(RAB!C41,'HARGA SATUAN'!$C$7:$C$1492,0),0))</f>
        <v>47459</v>
      </c>
      <c r="H41" s="317">
        <f t="shared" ca="1" si="16"/>
        <v>0</v>
      </c>
      <c r="I41" s="317">
        <f t="shared" ca="1" si="17"/>
        <v>47459</v>
      </c>
      <c r="J41" s="317">
        <f t="shared" ca="1" si="18"/>
        <v>0</v>
      </c>
      <c r="K41" s="318">
        <f t="shared" ca="1" si="19"/>
        <v>47459</v>
      </c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39">
        <v>3</v>
      </c>
      <c r="C42" s="440" t="s">
        <v>32</v>
      </c>
      <c r="D42" s="314" t="str">
        <f ca="1">IF(ISERROR(OFFSET('HARGA SATUAN'!$D$6,MATCH(RAB!C42,'HARGA SATUAN'!$C$7:$C$1492,0),0)),"",OFFSET('HARGA SATUAN'!$D$6,MATCH(RAB!C42,'HARGA SATUAN'!$C$7:$C$1492,0),0))</f>
        <v>HDW</v>
      </c>
      <c r="E42" s="315" t="str">
        <f ca="1">IF(B42="+","Unit",IF(ISERROR(OFFSET('HARGA SATUAN'!$E$6,MATCH(RAB!C42,'HARGA SATUAN'!$C$7:$C$1492,0),0)),"",OFFSET('HARGA SATUAN'!$E$6,MATCH(RAB!C42,'HARGA SATUAN'!$C$7:$C$1492,0),0)))</f>
        <v>Mtr</v>
      </c>
      <c r="F42" s="434">
        <f>F39*1.5</f>
        <v>1.5</v>
      </c>
      <c r="G42" s="316">
        <f ca="1">IF(ISERROR(OFFSET('HARGA SATUAN'!$I$6,MATCH(RAB!C42,'HARGA SATUAN'!$C$7:$C$1492,0),0)),0,OFFSET('HARGA SATUAN'!$I$6,MATCH(RAB!C42,'HARGA SATUAN'!$C$7:$C$1492,0),0))</f>
        <v>30000</v>
      </c>
      <c r="H42" s="317">
        <f t="shared" ca="1" si="16"/>
        <v>0</v>
      </c>
      <c r="I42" s="317">
        <f t="shared" ca="1" si="17"/>
        <v>45000</v>
      </c>
      <c r="J42" s="317">
        <f t="shared" ca="1" si="18"/>
        <v>0</v>
      </c>
      <c r="K42" s="318">
        <f t="shared" ca="1" si="19"/>
        <v>45000</v>
      </c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39">
        <v>4</v>
      </c>
      <c r="C43" s="440" t="s">
        <v>33</v>
      </c>
      <c r="D43" s="314" t="str">
        <f ca="1">IF(ISERROR(OFFSET('HARGA SATUAN'!$D$6,MATCH(RAB!C43,'HARGA SATUAN'!$C$7:$C$1492,0),0)),"",OFFSET('HARGA SATUAN'!$D$6,MATCH(RAB!C43,'HARGA SATUAN'!$C$7:$C$1492,0),0))</f>
        <v>HDW</v>
      </c>
      <c r="E43" s="315" t="str">
        <f ca="1">IF(B43="+","Unit",IF(ISERROR(OFFSET('HARGA SATUAN'!$E$6,MATCH(RAB!C43,'HARGA SATUAN'!$C$7:$C$1492,0),0)),"",OFFSET('HARGA SATUAN'!$E$6,MATCH(RAB!C43,'HARGA SATUAN'!$C$7:$C$1492,0),0)))</f>
        <v>Bh</v>
      </c>
      <c r="F43" s="434">
        <f>F39*2</f>
        <v>2</v>
      </c>
      <c r="G43" s="316">
        <f ca="1">IF(ISERROR(OFFSET('HARGA SATUAN'!$I$6,MATCH(RAB!C43,'HARGA SATUAN'!$C$7:$C$1492,0),0)),0,OFFSET('HARGA SATUAN'!$I$6,MATCH(RAB!C43,'HARGA SATUAN'!$C$7:$C$1492,0),0))</f>
        <v>9500</v>
      </c>
      <c r="H43" s="317">
        <f t="shared" ca="1" si="16"/>
        <v>0</v>
      </c>
      <c r="I43" s="317">
        <f t="shared" ca="1" si="17"/>
        <v>19000</v>
      </c>
      <c r="J43" s="317">
        <f t="shared" ca="1" si="18"/>
        <v>0</v>
      </c>
      <c r="K43" s="318">
        <f t="shared" ca="1" si="19"/>
        <v>19000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439">
        <v>5</v>
      </c>
      <c r="C44" s="440" t="s">
        <v>734</v>
      </c>
      <c r="D44" s="314" t="str">
        <f ca="1">IF(ISERROR(OFFSET('HARGA SATUAN'!$D$6,MATCH(RAB!C44,'HARGA SATUAN'!$C$7:$C$1492,0),0)),"",OFFSET('HARGA SATUAN'!$D$6,MATCH(RAB!C44,'HARGA SATUAN'!$C$7:$C$1492,0),0))</f>
        <v>JASA</v>
      </c>
      <c r="E44" s="315" t="str">
        <f ca="1">IF(B44="+","Unit",IF(ISERROR(OFFSET('HARGA SATUAN'!$E$6,MATCH(RAB!C44,'HARGA SATUAN'!$C$7:$C$1492,0),0)),"",OFFSET('HARGA SATUAN'!$E$6,MATCH(RAB!C44,'HARGA SATUAN'!$C$7:$C$1492,0),0)))</f>
        <v>Unit</v>
      </c>
      <c r="F44" s="434">
        <f>F39*1</f>
        <v>1</v>
      </c>
      <c r="G44" s="316">
        <f ca="1">IF(ISERROR(OFFSET('HARGA SATUAN'!$I$6,MATCH(RAB!C44,'HARGA SATUAN'!$C$7:$C$1492,0),0)),0,OFFSET('HARGA SATUAN'!$I$6,MATCH(RAB!C44,'HARGA SATUAN'!$C$7:$C$1492,0),0))</f>
        <v>56400</v>
      </c>
      <c r="H44" s="317">
        <f t="shared" ca="1" si="16"/>
        <v>0</v>
      </c>
      <c r="I44" s="317">
        <f t="shared" ca="1" si="17"/>
        <v>0</v>
      </c>
      <c r="J44" s="317">
        <f t="shared" ca="1" si="18"/>
        <v>56400</v>
      </c>
      <c r="K44" s="318">
        <f t="shared" ca="1" si="19"/>
        <v>56400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439"/>
      <c r="C45" s="440"/>
      <c r="D45" s="314" t="str">
        <f ca="1">IF(ISERROR(OFFSET('HARGA SATUAN'!$D$6,MATCH(RAB!C45,'HARGA SATUAN'!$C$7:$C$1492,0),0)),"",OFFSET('HARGA SATUAN'!$D$6,MATCH(RAB!C45,'HARGA SATUAN'!$C$7:$C$1492,0),0))</f>
        <v/>
      </c>
      <c r="E45" s="315" t="str">
        <f ca="1">IF(B45="+","Unit",IF(ISERROR(OFFSET('HARGA SATUAN'!$E$6,MATCH(RAB!C45,'HARGA SATUAN'!$C$7:$C$1492,0),0)),"",OFFSET('HARGA SATUAN'!$E$6,MATCH(RAB!C45,'HARGA SATUAN'!$C$7:$C$1492,0),0)))</f>
        <v/>
      </c>
      <c r="F45" s="434"/>
      <c r="G45" s="316">
        <f ca="1">IF(ISERROR(OFFSET('HARGA SATUAN'!$I$6,MATCH(RAB!C45,'HARGA SATUAN'!$C$7:$C$1492,0),0)),0,OFFSET('HARGA SATUAN'!$I$6,MATCH(RAB!C45,'HARGA SATUAN'!$C$7:$C$1492,0),0))</f>
        <v>0</v>
      </c>
      <c r="H45" s="317">
        <f t="shared" ca="1" si="16"/>
        <v>0</v>
      </c>
      <c r="I45" s="317">
        <f t="shared" ca="1" si="17"/>
        <v>0</v>
      </c>
      <c r="J45" s="317">
        <f t="shared" ca="1" si="18"/>
        <v>0</v>
      </c>
      <c r="K45" s="318">
        <f t="shared" ca="1" si="19"/>
        <v>0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>
      <c r="B46" s="326">
        <v>1</v>
      </c>
      <c r="C46" s="327" t="s">
        <v>1090</v>
      </c>
      <c r="D46" s="328" t="str">
        <f ca="1">IF(ISERROR(OFFSET('HARGA SATUAN'!$D$6,MATCH(RAB!C46,'HARGA SATUAN'!$C$7:$C$1492,0),0)),"",OFFSET('HARGA SATUAN'!$D$6,MATCH(RAB!C46,'HARGA SATUAN'!$C$7:$C$1492,0),0))</f>
        <v>JASA</v>
      </c>
      <c r="E46" s="329" t="str">
        <f ca="1">IF(ISERROR(OFFSET('HARGA SATUAN'!$E$6,MATCH(RAB!C46,'HARGA SATUAN'!$C$7:$C$1492,0),0)),"",OFFSET('HARGA SATUAN'!$E$6,MATCH(RAB!C46,'HARGA SATUAN'!$C$7:$C$1492,0),0))</f>
        <v>Lot</v>
      </c>
      <c r="F46" s="330">
        <v>1</v>
      </c>
      <c r="G46" s="331">
        <f ca="1">IF(ISERROR(OFFSET('HARGA SATUAN'!$I$6,MATCH(RAB!C46,'HARGA SATUAN'!$C$7:$C$1492,0),0)),0,OFFSET('HARGA SATUAN'!$I$6,MATCH(RAB!C46,'HARGA SATUAN'!$C$7:$C$1492,0),0))</f>
        <v>2.5000000000000001E-2</v>
      </c>
      <c r="H46" s="332">
        <f ca="1">(SUM(H15:H45))*2.5%</f>
        <v>426400</v>
      </c>
      <c r="I46" s="332">
        <f ca="1">(SUM(I15:I45))*2.5%</f>
        <v>39483.875</v>
      </c>
      <c r="J46" s="332">
        <f ca="1">(SUM(J15:J45))*2.5%</f>
        <v>5666</v>
      </c>
      <c r="K46" s="332">
        <f ca="1">(SUM(K15:K45))*2.5%</f>
        <v>471549.875</v>
      </c>
    </row>
    <row r="47" spans="1:22">
      <c r="B47" s="333"/>
      <c r="C47" s="334"/>
      <c r="D47" s="314" t="str">
        <f ca="1">IF(ISERROR(OFFSET('HARGA SATUAN'!$D$6,MATCH(RAB!C47,'HARGA SATUAN'!$C$7:$C$1492,0),0)),"",OFFSET('HARGA SATUAN'!$D$6,MATCH(RAB!C47,'HARGA SATUAN'!$C$7:$C$1492,0),0))</f>
        <v/>
      </c>
      <c r="E47" s="315" t="str">
        <f ca="1">IF(ISERROR(OFFSET('HARGA SATUAN'!$E$6,MATCH(RAB!C47,'HARGA SATUAN'!$C$7:$C$1492,0),0)),"",OFFSET('HARGA SATUAN'!$E$6,MATCH(RAB!C47,'HARGA SATUAN'!$C$7:$C$1492,0),0))</f>
        <v/>
      </c>
      <c r="F47" s="325"/>
      <c r="G47" s="316" t="str">
        <f ca="1">IF(ISERROR(OFFSET('HARGA SATUAN'!$I$6,MATCH(RAB!C47,'HARGA SATUAN'!$C$7:$C$1492,0),0)),"",OFFSET('HARGA SATUAN'!$I$6,MATCH(RAB!C47,'HARGA SATUAN'!$C$7:$C$1492,0),0))</f>
        <v/>
      </c>
      <c r="H47" s="317">
        <f ca="1">IF(OR(D47="MDU",D47="MDU-KD"),IF(G47="PLN",0,G47*F47),0)</f>
        <v>0</v>
      </c>
      <c r="I47" s="317">
        <f ca="1">IF(D47="HDW",IF(G47="PLN",0,G47*F47),0)</f>
        <v>0</v>
      </c>
      <c r="J47" s="317">
        <f ca="1">IF(D47="JASA",IF(G47="PLN",0,G47*F47),0)</f>
        <v>0</v>
      </c>
      <c r="K47" s="318">
        <f ca="1">SUM(H47:J47)</f>
        <v>0</v>
      </c>
    </row>
    <row r="48" spans="1:22" ht="15.75" thickBot="1">
      <c r="B48" s="335"/>
      <c r="C48" s="336"/>
      <c r="D48" s="337"/>
      <c r="E48" s="338"/>
      <c r="F48" s="338"/>
      <c r="G48" s="338"/>
      <c r="H48" s="339"/>
      <c r="I48" s="339"/>
      <c r="J48" s="339"/>
      <c r="K48" s="340"/>
    </row>
    <row r="49" spans="2:13">
      <c r="B49" s="341"/>
      <c r="C49" s="590" t="s">
        <v>1007</v>
      </c>
      <c r="D49" s="590"/>
      <c r="E49" s="590"/>
      <c r="F49" s="590"/>
      <c r="G49" s="342" t="s">
        <v>9</v>
      </c>
      <c r="H49" s="343">
        <f ca="1">SUM(H15:H47)</f>
        <v>17482400</v>
      </c>
      <c r="I49" s="343">
        <f ca="1">SUM(I15:I47)</f>
        <v>1618838.875</v>
      </c>
      <c r="J49" s="343">
        <f ca="1">SUM(J15:J47)</f>
        <v>232306</v>
      </c>
      <c r="K49" s="343">
        <f ca="1">SUM(K15:K47)</f>
        <v>19333544.875</v>
      </c>
    </row>
    <row r="50" spans="2:13">
      <c r="B50" s="344"/>
      <c r="C50" s="606" t="s">
        <v>1455</v>
      </c>
      <c r="D50" s="606"/>
      <c r="E50" s="606"/>
      <c r="F50" s="606"/>
      <c r="G50" s="345" t="s">
        <v>9</v>
      </c>
      <c r="H50" s="346">
        <f ca="1">H49*0.11</f>
        <v>1923064</v>
      </c>
      <c r="I50" s="346">
        <f ca="1">I49*0.11</f>
        <v>178072.27625</v>
      </c>
      <c r="J50" s="346">
        <f ca="1">J49*0.11</f>
        <v>25553.66</v>
      </c>
      <c r="K50" s="346">
        <f ca="1">K49*0.11</f>
        <v>2126689.9362499998</v>
      </c>
    </row>
    <row r="51" spans="2:13" ht="15.75" thickBot="1">
      <c r="B51" s="344"/>
      <c r="C51" s="604" t="s">
        <v>463</v>
      </c>
      <c r="D51" s="604"/>
      <c r="E51" s="604"/>
      <c r="F51" s="604"/>
      <c r="G51" s="347" t="s">
        <v>9</v>
      </c>
      <c r="H51" s="348">
        <f ca="1">SUM(H49:H50)</f>
        <v>19405464</v>
      </c>
      <c r="I51" s="348">
        <f ca="1">SUM(I49:I50)</f>
        <v>1796911.1512500001</v>
      </c>
      <c r="J51" s="347">
        <f ca="1">SUM(J49:J50)</f>
        <v>257859.66</v>
      </c>
      <c r="K51" s="347">
        <f ca="1">SUM(K49:K50)</f>
        <v>21460234.811250001</v>
      </c>
      <c r="M51" s="426"/>
    </row>
    <row r="52" spans="2:13">
      <c r="B52" s="607" t="str">
        <f ca="1">"Terbilang : "&amp;PROPER(IF(K51=0,"nol",IF(K51&lt;0,"minus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IF(--MID(TEXT(ABS(K51),"000000000000000"),1,3)=0,"",MID(TEXT(ABS(K51),"000000000000000"),1,1)&amp;" ratus "&amp;MID(TEXT(ABS(K51),"000000000000000"),2,1)&amp;" puluh "&amp;MID(TEXT(ABS(K51),"000000000000000"),3,1)&amp;" trilyun ")&amp; IF(--MID(TEXT(ABS(K51),"000000000000000"),4,3)=0,"",MID(TEXT(ABS(K51),"000000000000000"),4,1)&amp;" ratus "&amp;MID(TEXT(ABS(K51),"000000000000000"),5,1)&amp;" puluh "&amp;MID(TEXT(ABS(K51),"000000000000000"),6,1)&amp;" milyar ")&amp; IF(--MID(TEXT(ABS(K51),"000000000000000"),7,3)=0,"",MID(TEXT(ABS(K51),"000000000000000"),7,1)&amp;" ratus "&amp;MID(TEXT(ABS(K51),"000000000000000"),8,1)&amp;" puluh "&amp;MID(TEXT(ABS(K51),"000000000000000"),9,1)&amp;" juta ")&amp; IF(--MID(TEXT(ABS(K51),"000000000000000"),10,3)=0,"",IF(--MID(TEXT(ABS(K51),"000000000000000"),10,3)=1,"*",MID(TEXT(ABS(K51),"000000000000000"),10,1)&amp;" ratus "&amp;MID(TEXT(ABS(K51),"000000000000000"),11,1)&amp;" puluh ")&amp;MID(TEXT(ABS(K51),"000000000000000"),12,1)&amp;" ribu ")&amp; IF(--MID(TEXT(ABS(K51),"000000000000000"),13,3)=0,"",MID(TEXT(ABS(K51),"000000000000000"),13,1)&amp;" ratus "&amp;MID(TEXT(ABS(K51),"000000000000000"),14,1)&amp;" puluh "&amp;MID(TEXT(ABS(K51),"000000000000000"),15,1)),1,"satu"),2,"dua"),3,"tiga"),4,"empat"),5,"lima"),6,"enam"),7,"tujuh"),8,"delapan"),9,"sembilan"),"0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Satu Juta Empat Ratus Enam Puluh Ribu Dua Ratus Tiga Puluh Lima Rupiah</v>
      </c>
      <c r="C52" s="608"/>
      <c r="D52" s="608"/>
      <c r="E52" s="608"/>
      <c r="F52" s="608"/>
      <c r="G52" s="608"/>
      <c r="H52" s="608"/>
      <c r="I52" s="608"/>
      <c r="J52" s="608"/>
      <c r="K52" s="609"/>
    </row>
    <row r="53" spans="2:13">
      <c r="B53" s="610"/>
      <c r="C53" s="611"/>
      <c r="D53" s="611"/>
      <c r="E53" s="611"/>
      <c r="F53" s="611"/>
      <c r="G53" s="611"/>
      <c r="H53" s="611"/>
      <c r="I53" s="611"/>
      <c r="J53" s="611"/>
      <c r="K53" s="612"/>
    </row>
    <row r="54" spans="2:13" ht="15.75" thickBot="1">
      <c r="B54" s="349" t="str">
        <f>"Harga yang dipakai adalah "&amp;'HARGA SATUAN'!I5&amp;""</f>
        <v>Harga yang dipakai adalah RAB HSS 2023</v>
      </c>
      <c r="C54" s="350"/>
      <c r="D54" s="351"/>
      <c r="E54" s="351"/>
      <c r="F54" s="351"/>
      <c r="G54" s="352"/>
      <c r="H54" s="352"/>
      <c r="I54" s="352"/>
      <c r="J54" s="352"/>
      <c r="K54" s="353"/>
    </row>
    <row r="55" spans="2:13">
      <c r="C55" s="354"/>
      <c r="E55" s="356"/>
      <c r="F55" s="356"/>
      <c r="G55" s="356"/>
    </row>
    <row r="56" spans="2:13">
      <c r="C56" s="295"/>
      <c r="E56" s="356"/>
      <c r="F56" s="356"/>
      <c r="G56" s="356"/>
      <c r="H56" s="613"/>
      <c r="I56" s="613"/>
      <c r="J56" s="614"/>
      <c r="K56" s="614"/>
    </row>
    <row r="57" spans="2:13">
      <c r="C57" s="295"/>
      <c r="E57" s="356"/>
      <c r="F57" s="356"/>
      <c r="G57" s="356"/>
      <c r="H57" s="357"/>
      <c r="I57" s="603" t="s">
        <v>1605</v>
      </c>
      <c r="J57" s="603"/>
      <c r="K57" s="603"/>
    </row>
    <row r="58" spans="2:13">
      <c r="C58" s="295"/>
      <c r="E58" s="356"/>
      <c r="F58" s="356"/>
      <c r="G58" s="356"/>
      <c r="H58" s="357"/>
      <c r="I58" s="603" t="s">
        <v>1544</v>
      </c>
      <c r="J58" s="603"/>
      <c r="K58" s="603"/>
    </row>
    <row r="59" spans="2:13">
      <c r="C59" s="295"/>
      <c r="E59" s="356"/>
      <c r="F59" s="356"/>
      <c r="G59" s="356"/>
      <c r="H59" s="358"/>
      <c r="I59" s="359"/>
      <c r="J59" s="359"/>
      <c r="K59" s="359"/>
    </row>
    <row r="60" spans="2:13">
      <c r="C60" s="295"/>
      <c r="E60" s="356"/>
      <c r="F60" s="356"/>
      <c r="G60" s="356"/>
      <c r="H60" s="358"/>
      <c r="I60" s="358"/>
      <c r="J60" s="358"/>
      <c r="K60" s="358"/>
    </row>
    <row r="61" spans="2:13">
      <c r="C61" s="295"/>
      <c r="E61" s="356"/>
      <c r="F61" s="356"/>
      <c r="G61" s="356"/>
      <c r="H61" s="358"/>
      <c r="I61" s="358"/>
      <c r="J61" s="358"/>
      <c r="K61" s="358"/>
    </row>
    <row r="62" spans="2:13">
      <c r="C62" s="295"/>
      <c r="E62" s="356"/>
      <c r="F62" s="356"/>
      <c r="G62" s="356"/>
      <c r="H62" s="358"/>
      <c r="I62" s="358"/>
      <c r="J62" s="358"/>
      <c r="K62" s="358"/>
    </row>
    <row r="63" spans="2:13">
      <c r="C63" s="295"/>
      <c r="E63" s="356"/>
      <c r="F63" s="356"/>
      <c r="G63" s="356"/>
      <c r="H63" s="360"/>
      <c r="I63" s="603" t="s">
        <v>1545</v>
      </c>
      <c r="J63" s="603"/>
      <c r="K63" s="603"/>
    </row>
    <row r="64" spans="2:13">
      <c r="C64" s="354"/>
      <c r="E64" s="356"/>
      <c r="F64" s="356"/>
      <c r="G64" s="356"/>
      <c r="H64" s="358"/>
      <c r="I64" s="358"/>
      <c r="J64" s="358"/>
      <c r="K64" s="358"/>
    </row>
    <row r="65" spans="3:11">
      <c r="C65" s="354"/>
      <c r="E65" s="356"/>
      <c r="F65" s="356"/>
      <c r="G65" s="356"/>
      <c r="H65" s="358"/>
      <c r="I65" s="358"/>
      <c r="J65" s="358"/>
      <c r="K65" s="358"/>
    </row>
    <row r="66" spans="3:11">
      <c r="C66" s="354"/>
      <c r="E66" s="356"/>
      <c r="F66" s="356"/>
      <c r="G66" s="356"/>
      <c r="H66" s="358"/>
      <c r="I66" s="358"/>
      <c r="J66" s="358"/>
      <c r="K66" s="358"/>
    </row>
  </sheetData>
  <sheetProtection sort="0" autoFilter="0"/>
  <protectedRanges>
    <protectedRange sqref="F14:F17" name="Range1_1_2_2"/>
    <protectedRange sqref="B16:C16 B17 B19:C20 B14:C14 B18:C18" name="Range1_1_1_1"/>
    <protectedRange sqref="C15" name="Range1_1_3_4"/>
    <protectedRange sqref="C26" name="Range1_1_3_6"/>
  </protectedRanges>
  <mergeCells count="22">
    <mergeCell ref="I58:K58"/>
    <mergeCell ref="I63:K63"/>
    <mergeCell ref="C51:F51"/>
    <mergeCell ref="G6:K6"/>
    <mergeCell ref="I57:K57"/>
    <mergeCell ref="C50:F50"/>
    <mergeCell ref="B52:K53"/>
    <mergeCell ref="H56:K56"/>
    <mergeCell ref="H11:K11"/>
    <mergeCell ref="H12:H13"/>
    <mergeCell ref="J12:J13"/>
    <mergeCell ref="K12:K13"/>
    <mergeCell ref="O3:P4"/>
    <mergeCell ref="B4:K4"/>
    <mergeCell ref="C49:F49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">
    <cfRule type="cellIs" dxfId="9" priority="18" operator="equal">
      <formula>0</formula>
    </cfRule>
  </conditionalFormatting>
  <conditionalFormatting sqref="C17">
    <cfRule type="cellIs" dxfId="8" priority="12" operator="equal">
      <formula>0</formula>
    </cfRule>
  </conditionalFormatting>
  <conditionalFormatting sqref="C36">
    <cfRule type="cellIs" dxfId="5" priority="67" operator="equal">
      <formula>0</formula>
    </cfRule>
  </conditionalFormatting>
  <conditionalFormatting sqref="E1:E3 G1:G13 E5:E13 H12:I12 O13 E46:G46 H46:K48 E47:H47 E48:F48 S14:V45 E14:K21 E27:K45 E22:E26 G22:K26">
    <cfRule type="cellIs" dxfId="4" priority="1258" stopIfTrue="1" operator="equal">
      <formula>0</formula>
    </cfRule>
  </conditionalFormatting>
  <conditionalFormatting sqref="G47:G65513 E52:E65513">
    <cfRule type="cellIs" dxfId="3" priority="392" stopIfTrue="1" operator="equal">
      <formula>0</formula>
    </cfRule>
  </conditionalFormatting>
  <conditionalFormatting sqref="C23">
    <cfRule type="cellIs" dxfId="2" priority="3" operator="equal">
      <formula>0</formula>
    </cfRule>
  </conditionalFormatting>
  <conditionalFormatting sqref="F22:F26">
    <cfRule type="cellIs" dxfId="1" priority="2" stopIfTrue="1" operator="equal">
      <formula>0</formula>
    </cfRule>
  </conditionalFormatting>
  <conditionalFormatting sqref="C2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8:F45 F28 H14:K48 F18:F2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topLeftCell="A3" zoomScaleNormal="100" zoomScaleSheetLayoutView="115" workbookViewId="0">
      <selection activeCell="E7" sqref="E7"/>
    </sheetView>
  </sheetViews>
  <sheetFormatPr defaultRowHeight="12"/>
  <cols>
    <col min="1" max="1" width="1.42578125" style="445" customWidth="1"/>
    <col min="2" max="22" width="5.7109375" style="445" customWidth="1"/>
    <col min="23" max="23" width="6.28515625" style="445" customWidth="1"/>
    <col min="24" max="117" width="5.7109375" style="445" customWidth="1"/>
    <col min="118" max="16384" width="9.140625" style="445"/>
  </cols>
  <sheetData>
    <row r="1" spans="2:29" ht="12.75" thickBot="1"/>
    <row r="2" spans="2:29" ht="12.75" customHeight="1">
      <c r="B2" s="446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676" t="str">
        <f>"PT. PLN (PERSERO) "&amp;'[88]DETAIL USULAN'!D5&amp;""</f>
        <v>PT. PLN (PERSERO) AREA DEMAK</v>
      </c>
      <c r="W2" s="677"/>
      <c r="X2" s="677"/>
      <c r="Y2" s="677"/>
      <c r="Z2" s="677"/>
      <c r="AA2" s="677"/>
      <c r="AB2" s="677"/>
      <c r="AC2" s="678"/>
    </row>
    <row r="3" spans="2:29">
      <c r="B3" s="448"/>
      <c r="V3" s="679"/>
      <c r="W3" s="680"/>
      <c r="X3" s="680"/>
      <c r="Y3" s="680"/>
      <c r="Z3" s="680"/>
      <c r="AA3" s="680"/>
      <c r="AB3" s="680"/>
      <c r="AC3" s="681"/>
    </row>
    <row r="4" spans="2:29">
      <c r="B4" s="448"/>
      <c r="V4" s="449" t="s">
        <v>986</v>
      </c>
      <c r="AC4" s="450"/>
    </row>
    <row r="5" spans="2:29" ht="12.75">
      <c r="B5" s="448"/>
      <c r="E5" s="451" t="s">
        <v>1614</v>
      </c>
      <c r="V5" s="452" t="s">
        <v>990</v>
      </c>
      <c r="W5" s="623" t="s">
        <v>989</v>
      </c>
      <c r="X5" s="623"/>
      <c r="Y5" s="623"/>
      <c r="Z5" s="623" t="s">
        <v>987</v>
      </c>
      <c r="AA5" s="623"/>
      <c r="AB5" s="623" t="s">
        <v>988</v>
      </c>
      <c r="AC5" s="624"/>
    </row>
    <row r="6" spans="2:29">
      <c r="B6" s="448"/>
      <c r="E6" s="454" t="s">
        <v>1622</v>
      </c>
      <c r="V6" s="452">
        <v>1</v>
      </c>
      <c r="W6" s="623" t="s">
        <v>992</v>
      </c>
      <c r="X6" s="623"/>
      <c r="Y6" s="623"/>
      <c r="Z6" s="623"/>
      <c r="AA6" s="623"/>
      <c r="AB6" s="623"/>
      <c r="AC6" s="624"/>
    </row>
    <row r="7" spans="2:29">
      <c r="B7" s="448"/>
      <c r="V7" s="452">
        <v>2</v>
      </c>
      <c r="W7" s="623" t="s">
        <v>993</v>
      </c>
      <c r="X7" s="623"/>
      <c r="Y7" s="623"/>
      <c r="Z7" s="623"/>
      <c r="AA7" s="623"/>
      <c r="AB7" s="623"/>
      <c r="AC7" s="624"/>
    </row>
    <row r="8" spans="2:29">
      <c r="B8" s="448"/>
      <c r="V8" s="452">
        <v>3</v>
      </c>
      <c r="W8" s="623" t="s">
        <v>994</v>
      </c>
      <c r="X8" s="623"/>
      <c r="Y8" s="623"/>
      <c r="Z8" s="623"/>
      <c r="AA8" s="623"/>
      <c r="AB8" s="623"/>
      <c r="AC8" s="624"/>
    </row>
    <row r="9" spans="2:29">
      <c r="B9" s="448"/>
      <c r="V9" s="452">
        <v>4</v>
      </c>
      <c r="W9" s="623" t="s">
        <v>995</v>
      </c>
      <c r="X9" s="623"/>
      <c r="Y9" s="623"/>
      <c r="Z9" s="623"/>
      <c r="AA9" s="623"/>
      <c r="AB9" s="623"/>
      <c r="AC9" s="624"/>
    </row>
    <row r="10" spans="2:29">
      <c r="B10" s="448"/>
      <c r="V10" s="452">
        <v>5</v>
      </c>
      <c r="W10" s="623" t="s">
        <v>996</v>
      </c>
      <c r="X10" s="623"/>
      <c r="Y10" s="623"/>
      <c r="Z10" s="623"/>
      <c r="AA10" s="623"/>
      <c r="AB10" s="623"/>
      <c r="AC10" s="624"/>
    </row>
    <row r="11" spans="2:29">
      <c r="B11" s="448"/>
      <c r="V11" s="452">
        <v>6</v>
      </c>
      <c r="W11" s="623" t="s">
        <v>997</v>
      </c>
      <c r="X11" s="623"/>
      <c r="Y11" s="623"/>
      <c r="Z11" s="623"/>
      <c r="AA11" s="623"/>
      <c r="AB11" s="623"/>
      <c r="AC11" s="624"/>
    </row>
    <row r="12" spans="2:29">
      <c r="B12" s="448"/>
      <c r="V12" s="452">
        <v>7</v>
      </c>
      <c r="W12" s="623" t="s">
        <v>998</v>
      </c>
      <c r="X12" s="623"/>
      <c r="Y12" s="623"/>
      <c r="Z12" s="623"/>
      <c r="AA12" s="623"/>
      <c r="AB12" s="623"/>
      <c r="AC12" s="624"/>
    </row>
    <row r="13" spans="2:29" ht="12.75" customHeight="1">
      <c r="B13" s="448"/>
      <c r="V13" s="452">
        <v>8</v>
      </c>
      <c r="W13" s="623" t="s">
        <v>999</v>
      </c>
      <c r="X13" s="623"/>
      <c r="Y13" s="623"/>
      <c r="Z13" s="623"/>
      <c r="AA13" s="623"/>
      <c r="AB13" s="623"/>
      <c r="AC13" s="624"/>
    </row>
    <row r="14" spans="2:29">
      <c r="B14" s="448"/>
      <c r="V14" s="452">
        <v>9</v>
      </c>
      <c r="W14" s="623" t="s">
        <v>1000</v>
      </c>
      <c r="X14" s="623"/>
      <c r="Y14" s="623"/>
      <c r="Z14" s="623"/>
      <c r="AA14" s="623"/>
      <c r="AB14" s="623"/>
      <c r="AC14" s="624"/>
    </row>
    <row r="15" spans="2:29">
      <c r="B15" s="448"/>
      <c r="V15" s="452">
        <v>10</v>
      </c>
      <c r="W15" s="623" t="s">
        <v>1009</v>
      </c>
      <c r="X15" s="623"/>
      <c r="Y15" s="623"/>
      <c r="Z15" s="623"/>
      <c r="AA15" s="623"/>
      <c r="AB15" s="623"/>
      <c r="AC15" s="624"/>
    </row>
    <row r="16" spans="2:29">
      <c r="B16" s="448"/>
      <c r="V16" s="452">
        <v>11</v>
      </c>
      <c r="W16" s="623" t="s">
        <v>1453</v>
      </c>
      <c r="X16" s="623"/>
      <c r="Y16" s="623"/>
      <c r="Z16" s="623"/>
      <c r="AA16" s="623"/>
      <c r="AB16" s="623"/>
      <c r="AC16" s="624"/>
    </row>
    <row r="17" spans="2:29">
      <c r="B17" s="448"/>
      <c r="V17" s="452">
        <v>12</v>
      </c>
      <c r="W17" s="623" t="s">
        <v>1010</v>
      </c>
      <c r="X17" s="623"/>
      <c r="Y17" s="623"/>
      <c r="Z17" s="623"/>
      <c r="AA17" s="623"/>
      <c r="AB17" s="623"/>
      <c r="AC17" s="624"/>
    </row>
    <row r="18" spans="2:29">
      <c r="B18" s="455"/>
      <c r="C18" s="456"/>
      <c r="D18" s="456"/>
      <c r="V18" s="452">
        <v>13</v>
      </c>
      <c r="W18" s="623"/>
      <c r="X18" s="623"/>
      <c r="Y18" s="623"/>
      <c r="Z18" s="623"/>
      <c r="AA18" s="623"/>
      <c r="AB18" s="623"/>
      <c r="AC18" s="624"/>
    </row>
    <row r="19" spans="2:29">
      <c r="B19" s="448"/>
      <c r="V19" s="457"/>
      <c r="W19" s="665"/>
      <c r="X19" s="665"/>
      <c r="Y19" s="665"/>
      <c r="Z19" s="665"/>
      <c r="AA19" s="665"/>
      <c r="AB19" s="665"/>
      <c r="AC19" s="666"/>
    </row>
    <row r="20" spans="2:29">
      <c r="B20" s="448"/>
      <c r="V20" s="667" t="s">
        <v>991</v>
      </c>
      <c r="W20" s="668"/>
      <c r="X20" s="668"/>
      <c r="Y20" s="668"/>
      <c r="Z20" s="668"/>
      <c r="AA20" s="668"/>
      <c r="AB20" s="668"/>
      <c r="AC20" s="669"/>
    </row>
    <row r="21" spans="2:29">
      <c r="B21" s="448"/>
      <c r="V21" s="670" t="s">
        <v>984</v>
      </c>
      <c r="W21" s="671"/>
      <c r="X21" s="671"/>
      <c r="Y21" s="672"/>
      <c r="Z21" s="673" t="s">
        <v>985</v>
      </c>
      <c r="AA21" s="674"/>
      <c r="AB21" s="674"/>
      <c r="AC21" s="675"/>
    </row>
    <row r="22" spans="2:29">
      <c r="B22" s="448"/>
      <c r="V22" s="655"/>
      <c r="W22" s="656"/>
      <c r="X22" s="458"/>
      <c r="Y22" s="459"/>
      <c r="Z22" s="657"/>
      <c r="AA22" s="658"/>
      <c r="AB22" s="460"/>
      <c r="AC22" s="461"/>
    </row>
    <row r="23" spans="2:29">
      <c r="B23" s="448"/>
      <c r="V23" s="659"/>
      <c r="W23" s="660"/>
      <c r="X23" s="458"/>
      <c r="Y23" s="459"/>
      <c r="Z23" s="646"/>
      <c r="AA23" s="647"/>
      <c r="AB23" s="460"/>
      <c r="AC23" s="461"/>
    </row>
    <row r="24" spans="2:29">
      <c r="B24" s="448"/>
      <c r="V24" s="661"/>
      <c r="W24" s="662"/>
      <c r="X24" s="458"/>
      <c r="Y24" s="459"/>
      <c r="Z24" s="663"/>
      <c r="AA24" s="664"/>
      <c r="AB24" s="460"/>
      <c r="AC24" s="461"/>
    </row>
    <row r="25" spans="2:29">
      <c r="B25" s="448"/>
      <c r="V25" s="653"/>
      <c r="W25" s="654"/>
      <c r="X25" s="458"/>
      <c r="Y25" s="459"/>
      <c r="Z25" s="646"/>
      <c r="AA25" s="647"/>
      <c r="AB25" s="460"/>
      <c r="AC25" s="461"/>
    </row>
    <row r="26" spans="2:29">
      <c r="B26" s="448"/>
      <c r="V26" s="653"/>
      <c r="W26" s="654"/>
      <c r="X26" s="458"/>
      <c r="Y26" s="459"/>
      <c r="Z26" s="646"/>
      <c r="AA26" s="647"/>
      <c r="AB26" s="460"/>
      <c r="AC26" s="461"/>
    </row>
    <row r="27" spans="2:29">
      <c r="B27" s="448"/>
      <c r="V27" s="653"/>
      <c r="W27" s="654"/>
      <c r="X27" s="458"/>
      <c r="Y27" s="459"/>
      <c r="Z27" s="646"/>
      <c r="AA27" s="647"/>
      <c r="AB27" s="460"/>
      <c r="AC27" s="461"/>
    </row>
    <row r="28" spans="2:29">
      <c r="B28" s="448"/>
      <c r="V28" s="651"/>
      <c r="W28" s="652"/>
      <c r="X28" s="458"/>
      <c r="Y28" s="459"/>
      <c r="Z28" s="646"/>
      <c r="AA28" s="647"/>
      <c r="AB28" s="460"/>
      <c r="AC28" s="461"/>
    </row>
    <row r="29" spans="2:29">
      <c r="B29" s="448"/>
      <c r="V29" s="653"/>
      <c r="W29" s="654"/>
      <c r="X29" s="458"/>
      <c r="Y29" s="459"/>
      <c r="Z29" s="646"/>
      <c r="AA29" s="647"/>
      <c r="AB29" s="460"/>
      <c r="AC29" s="461"/>
    </row>
    <row r="30" spans="2:29">
      <c r="B30" s="448"/>
      <c r="V30" s="653"/>
      <c r="W30" s="654"/>
      <c r="X30" s="458"/>
      <c r="Y30" s="459"/>
      <c r="Z30" s="646"/>
      <c r="AA30" s="647"/>
      <c r="AB30" s="460"/>
      <c r="AC30" s="461"/>
    </row>
    <row r="31" spans="2:29">
      <c r="B31" s="448"/>
      <c r="T31" s="462"/>
      <c r="V31" s="644"/>
      <c r="W31" s="645"/>
      <c r="X31" s="458"/>
      <c r="Y31" s="459"/>
      <c r="Z31" s="646"/>
      <c r="AA31" s="647"/>
      <c r="AB31" s="460"/>
      <c r="AC31" s="461"/>
    </row>
    <row r="32" spans="2:29">
      <c r="B32" s="448"/>
      <c r="T32" s="462"/>
      <c r="V32" s="644"/>
      <c r="W32" s="645"/>
      <c r="X32" s="458"/>
      <c r="Y32" s="459"/>
      <c r="Z32" s="646"/>
      <c r="AA32" s="647"/>
      <c r="AB32" s="460"/>
      <c r="AC32" s="461"/>
    </row>
    <row r="33" spans="2:29">
      <c r="B33" s="448"/>
      <c r="V33" s="644"/>
      <c r="W33" s="645"/>
      <c r="X33" s="458"/>
      <c r="Y33" s="459"/>
      <c r="Z33" s="646"/>
      <c r="AA33" s="647"/>
      <c r="AB33" s="460"/>
      <c r="AC33" s="461"/>
    </row>
    <row r="34" spans="2:29">
      <c r="B34" s="448"/>
      <c r="V34" s="644"/>
      <c r="W34" s="645"/>
      <c r="X34" s="458"/>
      <c r="Y34" s="459"/>
      <c r="Z34" s="646"/>
      <c r="AA34" s="647"/>
      <c r="AB34" s="460"/>
      <c r="AC34" s="461"/>
    </row>
    <row r="35" spans="2:29">
      <c r="B35" s="448"/>
      <c r="V35" s="644"/>
      <c r="W35" s="645"/>
      <c r="X35" s="458"/>
      <c r="Y35" s="459"/>
      <c r="Z35" s="646"/>
      <c r="AA35" s="647"/>
      <c r="AB35" s="460"/>
      <c r="AC35" s="461"/>
    </row>
    <row r="36" spans="2:29">
      <c r="B36" s="448"/>
      <c r="V36" s="648"/>
      <c r="W36" s="649"/>
      <c r="X36" s="458"/>
      <c r="Y36" s="463"/>
      <c r="Z36" s="650"/>
      <c r="AA36" s="647"/>
      <c r="AB36" s="460"/>
      <c r="AC36" s="461"/>
    </row>
    <row r="37" spans="2:29" ht="12.75" customHeight="1">
      <c r="B37" s="448"/>
      <c r="V37" s="638"/>
      <c r="W37" s="639"/>
      <c r="X37" s="458"/>
      <c r="Y37" s="463"/>
      <c r="Z37" s="640"/>
      <c r="AA37" s="641"/>
      <c r="AB37" s="466"/>
      <c r="AC37" s="467"/>
    </row>
    <row r="38" spans="2:29" ht="12.75" customHeight="1">
      <c r="B38" s="448"/>
      <c r="V38" s="642"/>
      <c r="W38" s="643"/>
      <c r="X38" s="468"/>
      <c r="Y38" s="463"/>
      <c r="Z38" s="464"/>
      <c r="AA38" s="465"/>
      <c r="AB38" s="466"/>
      <c r="AC38" s="467"/>
    </row>
    <row r="39" spans="2:29" ht="12" customHeight="1">
      <c r="B39" s="448"/>
      <c r="V39" s="642"/>
      <c r="W39" s="643"/>
      <c r="X39" s="468"/>
      <c r="Y39" s="469"/>
      <c r="Z39" s="634"/>
      <c r="AA39" s="635"/>
      <c r="AB39" s="466"/>
      <c r="AC39" s="467"/>
    </row>
    <row r="40" spans="2:29" ht="12" customHeight="1">
      <c r="B40" s="448"/>
      <c r="V40" s="642"/>
      <c r="W40" s="643"/>
      <c r="X40" s="468"/>
      <c r="Y40" s="469"/>
      <c r="Z40" s="470"/>
      <c r="AA40" s="471"/>
      <c r="AB40" s="466"/>
      <c r="AC40" s="467"/>
    </row>
    <row r="41" spans="2:29" ht="12" customHeight="1">
      <c r="B41" s="448"/>
      <c r="V41" s="632"/>
      <c r="W41" s="633"/>
      <c r="X41" s="472"/>
      <c r="Y41" s="473"/>
      <c r="Z41" s="634"/>
      <c r="AA41" s="635"/>
      <c r="AB41" s="466"/>
      <c r="AC41" s="467"/>
    </row>
    <row r="42" spans="2:29" ht="12" customHeight="1">
      <c r="B42" s="448"/>
      <c r="V42" s="636" t="s">
        <v>1454</v>
      </c>
      <c r="W42" s="637"/>
      <c r="X42" s="637"/>
      <c r="Y42" s="637"/>
      <c r="Z42" s="474"/>
      <c r="AA42" s="474"/>
      <c r="AB42" s="474"/>
      <c r="AC42" s="475"/>
    </row>
    <row r="43" spans="2:29" ht="12" customHeight="1">
      <c r="B43" s="448"/>
      <c r="U43" s="476"/>
      <c r="V43" s="477"/>
      <c r="W43" s="478"/>
      <c r="X43" s="478"/>
      <c r="Y43" s="478"/>
      <c r="Z43" s="478"/>
      <c r="AA43" s="478"/>
      <c r="AB43" s="478"/>
      <c r="AC43" s="479"/>
    </row>
    <row r="44" spans="2:29">
      <c r="B44" s="480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76"/>
      <c r="V44" s="621" t="s">
        <v>11</v>
      </c>
      <c r="W44" s="622"/>
      <c r="X44" s="623"/>
      <c r="Y44" s="623"/>
      <c r="Z44" s="623"/>
      <c r="AA44" s="623"/>
      <c r="AB44" s="623"/>
      <c r="AC44" s="624"/>
    </row>
    <row r="45" spans="2:29">
      <c r="B45" s="480"/>
      <c r="C45" s="481"/>
      <c r="D45" s="481"/>
      <c r="E45" s="481"/>
      <c r="F45" s="481"/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1"/>
      <c r="R45" s="481"/>
      <c r="S45" s="481"/>
      <c r="T45" s="481"/>
      <c r="U45" s="476"/>
      <c r="V45" s="621" t="s">
        <v>983</v>
      </c>
      <c r="W45" s="622"/>
      <c r="X45" s="623">
        <v>1</v>
      </c>
      <c r="Y45" s="623"/>
      <c r="Z45" s="623"/>
      <c r="AA45" s="623" t="s">
        <v>12</v>
      </c>
      <c r="AB45" s="623"/>
      <c r="AC45" s="453" t="s">
        <v>13</v>
      </c>
    </row>
    <row r="46" spans="2:29">
      <c r="B46" s="480"/>
      <c r="C46" s="481"/>
      <c r="D46" s="481"/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/>
      <c r="P46" s="481"/>
      <c r="Q46" s="481"/>
      <c r="R46" s="481"/>
      <c r="S46" s="481"/>
      <c r="T46" s="481"/>
      <c r="U46" s="476"/>
      <c r="V46" s="621" t="s">
        <v>15</v>
      </c>
      <c r="W46" s="622"/>
      <c r="X46" s="625"/>
      <c r="Y46" s="625"/>
      <c r="Z46" s="625"/>
      <c r="AA46" s="623" t="s">
        <v>16</v>
      </c>
      <c r="AB46" s="623"/>
      <c r="AC46" s="482"/>
    </row>
    <row r="47" spans="2:29">
      <c r="B47" s="480"/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76"/>
      <c r="V47" s="626" t="s">
        <v>17</v>
      </c>
      <c r="W47" s="626"/>
      <c r="X47" s="626"/>
      <c r="Y47" s="626"/>
      <c r="Z47" s="626"/>
      <c r="AA47" s="626"/>
      <c r="AB47" s="626"/>
      <c r="AC47" s="627"/>
    </row>
    <row r="48" spans="2:29" ht="12.75" customHeight="1">
      <c r="B48" s="480"/>
      <c r="C48" s="481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  <c r="O48" s="481"/>
      <c r="P48" s="481"/>
      <c r="Q48" s="481"/>
      <c r="R48" s="481"/>
      <c r="S48" s="481"/>
      <c r="T48" s="481"/>
      <c r="U48" s="476"/>
      <c r="V48" s="628" t="str">
        <f>[89]DATA!C8</f>
        <v>PT. DIMENSI PUTRA KARYA</v>
      </c>
      <c r="W48" s="628"/>
      <c r="X48" s="628"/>
      <c r="Y48" s="628"/>
      <c r="Z48" s="628"/>
      <c r="AA48" s="628"/>
      <c r="AB48" s="628"/>
      <c r="AC48" s="629"/>
    </row>
    <row r="49" spans="2:29">
      <c r="B49" s="480"/>
      <c r="C49" s="481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  <c r="O49" s="481"/>
      <c r="P49" s="481"/>
      <c r="Q49" s="481"/>
      <c r="R49" s="481"/>
      <c r="S49" s="481"/>
      <c r="T49" s="481"/>
      <c r="U49" s="483"/>
      <c r="V49" s="628"/>
      <c r="W49" s="628"/>
      <c r="X49" s="628"/>
      <c r="Y49" s="628"/>
      <c r="Z49" s="628"/>
      <c r="AA49" s="628"/>
      <c r="AB49" s="628"/>
      <c r="AC49" s="629"/>
    </row>
    <row r="50" spans="2:29">
      <c r="B50" s="480"/>
      <c r="C50" s="481"/>
      <c r="D50" s="481"/>
      <c r="E50" s="481"/>
      <c r="F50" s="481"/>
      <c r="G50" s="481"/>
      <c r="H50" s="481"/>
      <c r="I50" s="481"/>
      <c r="J50" s="481"/>
      <c r="K50" s="481"/>
      <c r="L50" s="481"/>
      <c r="M50" s="481"/>
      <c r="N50" s="481"/>
      <c r="O50" s="481"/>
      <c r="P50" s="481"/>
      <c r="Q50" s="481"/>
      <c r="R50" s="481"/>
      <c r="S50" s="481"/>
      <c r="T50" s="481"/>
      <c r="U50" s="483"/>
      <c r="V50" s="630"/>
      <c r="W50" s="630"/>
      <c r="X50" s="630"/>
      <c r="Y50" s="630"/>
      <c r="Z50" s="630"/>
      <c r="AA50" s="630"/>
      <c r="AB50" s="630"/>
      <c r="AC50" s="631"/>
    </row>
    <row r="51" spans="2:29">
      <c r="B51" s="480"/>
      <c r="C51" s="481"/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1"/>
      <c r="O51" s="481"/>
      <c r="P51" s="481"/>
      <c r="Q51" s="481"/>
      <c r="R51" s="481"/>
      <c r="S51" s="481"/>
      <c r="T51" s="481"/>
      <c r="U51" s="476"/>
      <c r="V51" s="621" t="s">
        <v>18</v>
      </c>
      <c r="W51" s="622"/>
      <c r="X51" s="623" t="s">
        <v>1615</v>
      </c>
      <c r="Y51" s="623"/>
      <c r="Z51" s="623"/>
      <c r="AA51" s="623"/>
      <c r="AB51" s="623"/>
      <c r="AC51" s="624"/>
    </row>
    <row r="52" spans="2:29">
      <c r="B52" s="480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481"/>
      <c r="U52" s="476"/>
      <c r="V52" s="621" t="s">
        <v>19</v>
      </c>
      <c r="W52" s="622"/>
      <c r="X52" s="623" t="s">
        <v>1616</v>
      </c>
      <c r="Y52" s="623"/>
      <c r="Z52" s="623"/>
      <c r="AA52" s="623"/>
      <c r="AB52" s="623"/>
      <c r="AC52" s="624"/>
    </row>
    <row r="53" spans="2:29">
      <c r="B53" s="480"/>
      <c r="C53" s="481"/>
      <c r="D53" s="481"/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U53" s="476"/>
      <c r="V53" s="621" t="s">
        <v>20</v>
      </c>
      <c r="W53" s="622"/>
      <c r="X53" s="623" t="s">
        <v>1616</v>
      </c>
      <c r="Y53" s="623"/>
      <c r="Z53" s="623"/>
      <c r="AA53" s="623"/>
      <c r="AB53" s="623"/>
      <c r="AC53" s="624"/>
    </row>
    <row r="54" spans="2:29" ht="12.75" thickBot="1">
      <c r="B54" s="484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  <c r="N54" s="485"/>
      <c r="O54" s="485"/>
      <c r="P54" s="485"/>
      <c r="Q54" s="485"/>
      <c r="R54" s="485"/>
      <c r="S54" s="485"/>
      <c r="T54" s="486"/>
      <c r="U54" s="487"/>
      <c r="V54" s="617" t="s">
        <v>21</v>
      </c>
      <c r="W54" s="618"/>
      <c r="X54" s="619" t="s">
        <v>1617</v>
      </c>
      <c r="Y54" s="619"/>
      <c r="Z54" s="619"/>
      <c r="AA54" s="619"/>
      <c r="AB54" s="619"/>
      <c r="AC54" s="620"/>
    </row>
  </sheetData>
  <mergeCells count="110"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T33" sqref="T3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2" t="s">
        <v>1526</v>
      </c>
      <c r="E4" s="683"/>
      <c r="F4" s="683"/>
      <c r="G4" s="683"/>
      <c r="H4" s="683"/>
      <c r="I4" s="683"/>
      <c r="J4" s="683"/>
      <c r="K4" s="683"/>
      <c r="L4" s="683"/>
      <c r="M4" s="683"/>
      <c r="N4" s="683"/>
      <c r="O4" s="683"/>
      <c r="P4" s="683"/>
      <c r="Q4" s="683"/>
      <c r="R4" s="683"/>
      <c r="S4" s="683"/>
      <c r="T4" s="683"/>
      <c r="U4" s="683"/>
      <c r="V4" s="683"/>
      <c r="W4" s="683"/>
      <c r="X4" s="683"/>
      <c r="Y4" s="683"/>
      <c r="Z4" s="683"/>
      <c r="AA4" s="683"/>
      <c r="AB4" s="683"/>
      <c r="AC4" s="684"/>
      <c r="AD4" s="217"/>
      <c r="AE4" s="216"/>
      <c r="AF4" s="216"/>
    </row>
    <row r="5" spans="2:32" ht="13.5" customHeight="1">
      <c r="B5" s="215"/>
      <c r="C5" s="215"/>
      <c r="D5" s="685"/>
      <c r="E5" s="686"/>
      <c r="F5" s="686"/>
      <c r="G5" s="686"/>
      <c r="H5" s="686"/>
      <c r="I5" s="686"/>
      <c r="J5" s="686"/>
      <c r="K5" s="686"/>
      <c r="L5" s="686"/>
      <c r="M5" s="686"/>
      <c r="N5" s="686"/>
      <c r="O5" s="686"/>
      <c r="P5" s="686"/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6"/>
      <c r="AC5" s="687"/>
      <c r="AD5" s="217"/>
      <c r="AE5" s="216"/>
      <c r="AF5" s="216"/>
    </row>
    <row r="6" spans="2:32" ht="12.75" customHeight="1">
      <c r="B6" s="215"/>
      <c r="C6" s="215"/>
      <c r="D6" s="685"/>
      <c r="E6" s="686"/>
      <c r="F6" s="686"/>
      <c r="G6" s="686"/>
      <c r="H6" s="686"/>
      <c r="I6" s="686"/>
      <c r="J6" s="686"/>
      <c r="K6" s="686"/>
      <c r="L6" s="686"/>
      <c r="M6" s="686"/>
      <c r="N6" s="686"/>
      <c r="O6" s="686"/>
      <c r="P6" s="686"/>
      <c r="Q6" s="686"/>
      <c r="R6" s="686"/>
      <c r="S6" s="686"/>
      <c r="T6" s="686"/>
      <c r="U6" s="686"/>
      <c r="V6" s="686"/>
      <c r="W6" s="686"/>
      <c r="X6" s="686"/>
      <c r="Y6" s="686"/>
      <c r="Z6" s="686"/>
      <c r="AA6" s="686"/>
      <c r="AB6" s="686"/>
      <c r="AC6" s="687"/>
      <c r="AE6" s="216"/>
      <c r="AF6" s="216"/>
    </row>
    <row r="7" spans="2:32" ht="12.75" customHeight="1" thickBot="1">
      <c r="B7" s="215"/>
      <c r="C7" s="215"/>
      <c r="D7" s="688"/>
      <c r="E7" s="689"/>
      <c r="F7" s="689"/>
      <c r="G7" s="689"/>
      <c r="H7" s="689"/>
      <c r="I7" s="689"/>
      <c r="J7" s="689"/>
      <c r="K7" s="689"/>
      <c r="L7" s="689"/>
      <c r="M7" s="689"/>
      <c r="N7" s="689"/>
      <c r="O7" s="689"/>
      <c r="P7" s="689"/>
      <c r="Q7" s="689"/>
      <c r="R7" s="689"/>
      <c r="S7" s="689"/>
      <c r="T7" s="689"/>
      <c r="U7" s="689"/>
      <c r="V7" s="689"/>
      <c r="W7" s="689"/>
      <c r="X7" s="689"/>
      <c r="Y7" s="689"/>
      <c r="Z7" s="689"/>
      <c r="AA7" s="689"/>
      <c r="AB7" s="689"/>
      <c r="AC7" s="69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AC39" sqref="AC39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6" t="s">
        <v>1525</v>
      </c>
      <c r="D3" s="686"/>
      <c r="E3" s="686"/>
      <c r="F3" s="686"/>
      <c r="G3" s="686"/>
      <c r="H3" s="686"/>
      <c r="I3" s="686"/>
      <c r="J3" s="686"/>
      <c r="K3" s="686"/>
      <c r="L3" s="686"/>
      <c r="M3" s="686"/>
      <c r="N3" s="686"/>
      <c r="O3" s="686"/>
      <c r="P3" s="686"/>
      <c r="Q3" s="686"/>
      <c r="R3" s="686"/>
      <c r="S3" s="686"/>
      <c r="T3" s="686"/>
      <c r="U3" s="686"/>
      <c r="V3" s="686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86"/>
      <c r="D4" s="686"/>
      <c r="E4" s="686"/>
      <c r="F4" s="686"/>
      <c r="G4" s="686"/>
      <c r="H4" s="686"/>
      <c r="I4" s="686"/>
      <c r="J4" s="686"/>
      <c r="K4" s="686"/>
      <c r="L4" s="686"/>
      <c r="M4" s="686"/>
      <c r="N4" s="686"/>
      <c r="O4" s="686"/>
      <c r="P4" s="686"/>
      <c r="Q4" s="686"/>
      <c r="R4" s="686"/>
      <c r="S4" s="686"/>
      <c r="T4" s="686"/>
      <c r="U4" s="686"/>
      <c r="V4" s="686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691" t="s">
        <v>1620</v>
      </c>
      <c r="D6" s="691"/>
      <c r="E6" s="691"/>
      <c r="F6" s="691"/>
      <c r="G6" s="691"/>
      <c r="H6" s="691"/>
      <c r="I6" s="691"/>
      <c r="J6" s="691"/>
      <c r="K6" s="691"/>
      <c r="L6" s="691"/>
      <c r="M6" s="691"/>
      <c r="W6" s="182"/>
      <c r="Y6" s="374"/>
      <c r="Z6" s="374"/>
      <c r="AA6" s="374"/>
      <c r="AB6" s="375"/>
      <c r="AC6" s="375"/>
    </row>
    <row r="7" spans="1:29" ht="18" customHeight="1">
      <c r="A7" s="181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2023-09-12T02:35:10Z</cp:lastPrinted>
  <dcterms:created xsi:type="dcterms:W3CDTF">2011-02-06T11:57:38Z</dcterms:created>
  <dcterms:modified xsi:type="dcterms:W3CDTF">2024-04-20T10:14:08Z</dcterms:modified>
</cp:coreProperties>
</file>