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uruh.saptoharjo\Downloads\"/>
    </mc:Choice>
  </mc:AlternateContent>
  <xr:revisionPtr revIDLastSave="0" documentId="13_ncr:1_{087FCCEB-29A6-4C35-AE6B-10A48D948D29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dmProBln_1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alisHari_1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lan_Ke_1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Crit_1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ISPATCHER_1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rafterHari_1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NGGUAN_1">#N/A</definedName>
    <definedName name="GARDU" localSheetId="9">[39]PARAMETER!$A$11:$A$1059</definedName>
    <definedName name="GARDU">#N/A</definedName>
    <definedName name="GARDU_1">#N/A</definedName>
    <definedName name="GARDU1" localSheetId="9">[39]MENU!$A$11:$A$110</definedName>
    <definedName name="GARDU1">#N/A</definedName>
    <definedName name="GARDU1_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_KODE_1">#N/A</definedName>
    <definedName name="INDEX1" localSheetId="9">[39]MENU!$C$11:$C$110</definedName>
    <definedName name="INDEX1">#N/A</definedName>
    <definedName name="INDEX1_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GANGGUAN_1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_OUTGOING_1">#N/A</definedName>
    <definedName name="KODE1" localSheetId="9">[39]MENU!$B$11:$B$110</definedName>
    <definedName name="KODE1">#N/A</definedName>
    <definedName name="KODE1_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Bulan_1">#N/A</definedName>
    <definedName name="KomunikasiHari" localSheetId="9">'[18]AHS - Non Personel'!$D$21</definedName>
    <definedName name="KomunikasiHari">#N/A</definedName>
    <definedName name="KomunikasiHari_1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operator_hari_1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st_1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nProBln_1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GARDU_1">#N/A</definedName>
    <definedName name="MENU_PENYULANG" localSheetId="9">[39]MENU!$F$11:$F$40</definedName>
    <definedName name="MENU_PENYULANG">#N/A</definedName>
    <definedName name="MENU_PENYULANG_1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mExcelLinker_56E02BF7_1622_44A2_A1B4_91C09D796B1E_1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r_Hari_1">#N/A</definedName>
    <definedName name="opv">[68]Valuation!$I$53</definedName>
    <definedName name="OUTGOING" localSheetId="9">[39]PARAMETER!$B$11:$B$1059</definedName>
    <definedName name="OUTGOING">#N/A</definedName>
    <definedName name="OUTGOING_1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RAB!$A$1:$K$134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Bln_1">#N/A</definedName>
    <definedName name="ProgGISHari" localSheetId="9">'[18]AHS - Personel'!$G$11</definedName>
    <definedName name="ProgGISHari">#N/A</definedName>
    <definedName name="ProgGISHari_1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LE_1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BUTAN_1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KomHari_1">#N/A</definedName>
    <definedName name="SewaLaptopBln" localSheetId="9">'[18]AHS - Non Personel'!$D$12</definedName>
    <definedName name="SewaLaptopBln">#N/A</definedName>
    <definedName name="SewaLaptopBln_1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_1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Bln_1">#N/A</definedName>
    <definedName name="SewaMotorHari" localSheetId="9">'[18]AHS - Non Personel'!$D$11</definedName>
    <definedName name="SewaMotorHari">#N/A</definedName>
    <definedName name="SewaMotorHari_1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ATUS_REMOTE_1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rveyor_hari_1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1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Bulan_1">#N/A</definedName>
    <definedName name="TechHari" localSheetId="9">'[18]AHS - Personel'!$G$15</definedName>
    <definedName name="TechHari">#N/A</definedName>
    <definedName name="TechHari_1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sterHari_1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ket_1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" i="11" l="1"/>
  <c r="F37" i="11"/>
  <c r="F35" i="11"/>
  <c r="F34" i="11"/>
  <c r="F33" i="11"/>
  <c r="F32" i="11"/>
  <c r="F31" i="11"/>
  <c r="F30" i="11"/>
  <c r="F29" i="11"/>
  <c r="F28" i="11"/>
  <c r="F27" i="11"/>
  <c r="F26" i="11"/>
  <c r="F25" i="11"/>
  <c r="G39" i="11"/>
  <c r="E39" i="11"/>
  <c r="D39" i="11"/>
  <c r="J39" i="11" s="1"/>
  <c r="A39" i="11"/>
  <c r="G38" i="11"/>
  <c r="E38" i="11"/>
  <c r="D38" i="11"/>
  <c r="H38" i="11" s="1"/>
  <c r="A38" i="11"/>
  <c r="G37" i="11"/>
  <c r="E37" i="11"/>
  <c r="D37" i="11"/>
  <c r="A37" i="11"/>
  <c r="G36" i="11"/>
  <c r="E36" i="11"/>
  <c r="D36" i="11"/>
  <c r="J36" i="11" s="1"/>
  <c r="A36" i="11"/>
  <c r="G35" i="11"/>
  <c r="E35" i="11"/>
  <c r="D35" i="11"/>
  <c r="H35" i="11" s="1"/>
  <c r="A35" i="11"/>
  <c r="G34" i="11"/>
  <c r="E34" i="11"/>
  <c r="D34" i="11"/>
  <c r="H34" i="11" s="1"/>
  <c r="G33" i="11"/>
  <c r="E33" i="11"/>
  <c r="D33" i="11"/>
  <c r="H33" i="11" s="1"/>
  <c r="G32" i="11"/>
  <c r="E32" i="11"/>
  <c r="D32" i="11"/>
  <c r="H32" i="11" s="1"/>
  <c r="A32" i="11"/>
  <c r="G31" i="11"/>
  <c r="E31" i="11"/>
  <c r="D31" i="11"/>
  <c r="J31" i="11" s="1"/>
  <c r="A31" i="11"/>
  <c r="G30" i="11"/>
  <c r="E30" i="11"/>
  <c r="D30" i="11"/>
  <c r="J30" i="11" s="1"/>
  <c r="A30" i="11"/>
  <c r="G29" i="11"/>
  <c r="E29" i="11"/>
  <c r="D29" i="11"/>
  <c r="H29" i="11" s="1"/>
  <c r="A29" i="11"/>
  <c r="G28" i="11"/>
  <c r="E28" i="11"/>
  <c r="D28" i="11"/>
  <c r="H28" i="11" s="1"/>
  <c r="G27" i="11"/>
  <c r="E27" i="11"/>
  <c r="D27" i="11"/>
  <c r="H27" i="11" s="1"/>
  <c r="A27" i="11"/>
  <c r="G26" i="11"/>
  <c r="E26" i="11"/>
  <c r="D26" i="11"/>
  <c r="J26" i="11" s="1"/>
  <c r="A26" i="11"/>
  <c r="G25" i="11"/>
  <c r="E25" i="11"/>
  <c r="D25" i="11"/>
  <c r="J25" i="11" s="1"/>
  <c r="A25" i="11"/>
  <c r="G24" i="11"/>
  <c r="E24" i="11"/>
  <c r="D24" i="11"/>
  <c r="J24" i="11" s="1"/>
  <c r="A24" i="11"/>
  <c r="G23" i="11"/>
  <c r="E23" i="11"/>
  <c r="D23" i="11"/>
  <c r="H23" i="11" s="1"/>
  <c r="A23" i="11"/>
  <c r="F80" i="11"/>
  <c r="F81" i="11"/>
  <c r="F83" i="11"/>
  <c r="G92" i="11"/>
  <c r="F92" i="11"/>
  <c r="E92" i="11"/>
  <c r="D92" i="11"/>
  <c r="A92" i="11"/>
  <c r="G91" i="11"/>
  <c r="F91" i="11"/>
  <c r="E91" i="11"/>
  <c r="D91" i="11"/>
  <c r="H91" i="11" s="1"/>
  <c r="G90" i="11"/>
  <c r="F90" i="11"/>
  <c r="E90" i="11"/>
  <c r="D90" i="11"/>
  <c r="H90" i="11" s="1"/>
  <c r="G89" i="11"/>
  <c r="F89" i="11"/>
  <c r="E89" i="11"/>
  <c r="D89" i="11"/>
  <c r="H89" i="11" s="1"/>
  <c r="A89" i="11"/>
  <c r="G88" i="11"/>
  <c r="F88" i="11"/>
  <c r="E88" i="11"/>
  <c r="D88" i="11"/>
  <c r="H88" i="11" s="1"/>
  <c r="A88" i="11"/>
  <c r="G87" i="11"/>
  <c r="F87" i="11"/>
  <c r="E87" i="11"/>
  <c r="D87" i="11"/>
  <c r="H87" i="11" s="1"/>
  <c r="A87" i="11"/>
  <c r="G86" i="11"/>
  <c r="F86" i="11"/>
  <c r="E86" i="11"/>
  <c r="D86" i="11"/>
  <c r="J86" i="11" s="1"/>
  <c r="G85" i="11"/>
  <c r="E85" i="11"/>
  <c r="D85" i="11"/>
  <c r="J85" i="11" s="1"/>
  <c r="A85" i="11"/>
  <c r="G111" i="11"/>
  <c r="E111" i="11"/>
  <c r="D111" i="11"/>
  <c r="J111" i="11" s="1"/>
  <c r="A111" i="11"/>
  <c r="G110" i="11"/>
  <c r="E110" i="11"/>
  <c r="D110" i="11"/>
  <c r="J110" i="11" s="1"/>
  <c r="A110" i="11"/>
  <c r="G109" i="11"/>
  <c r="E109" i="11"/>
  <c r="D109" i="11"/>
  <c r="G106" i="11"/>
  <c r="E106" i="11"/>
  <c r="D106" i="11"/>
  <c r="G105" i="11"/>
  <c r="E105" i="11"/>
  <c r="D105" i="11"/>
  <c r="A105" i="11"/>
  <c r="G104" i="11"/>
  <c r="E104" i="11"/>
  <c r="D104" i="11"/>
  <c r="J104" i="11" s="1"/>
  <c r="A104" i="11"/>
  <c r="G21" i="11"/>
  <c r="E21" i="11"/>
  <c r="D21" i="11"/>
  <c r="J21" i="11" s="1"/>
  <c r="A21" i="11"/>
  <c r="G16" i="11"/>
  <c r="E16" i="11"/>
  <c r="D16" i="11"/>
  <c r="J16" i="11" s="1"/>
  <c r="A16" i="11"/>
  <c r="G20" i="11"/>
  <c r="E20" i="11"/>
  <c r="D20" i="11"/>
  <c r="A20" i="11"/>
  <c r="G19" i="11"/>
  <c r="E19" i="11"/>
  <c r="D19" i="11"/>
  <c r="J19" i="11" s="1"/>
  <c r="A19" i="11"/>
  <c r="F76" i="11"/>
  <c r="F74" i="11"/>
  <c r="F72" i="11"/>
  <c r="F71" i="11"/>
  <c r="F70" i="11"/>
  <c r="F69" i="11"/>
  <c r="F68" i="11"/>
  <c r="G76" i="11"/>
  <c r="E76" i="11"/>
  <c r="D76" i="11"/>
  <c r="A76" i="11"/>
  <c r="G75" i="11"/>
  <c r="E75" i="11"/>
  <c r="D75" i="11"/>
  <c r="J75" i="11" s="1"/>
  <c r="G74" i="11"/>
  <c r="E74" i="11"/>
  <c r="D74" i="11"/>
  <c r="J74" i="11" s="1"/>
  <c r="G73" i="11"/>
  <c r="E73" i="11"/>
  <c r="D73" i="11"/>
  <c r="A73" i="11"/>
  <c r="G72" i="11"/>
  <c r="E72" i="11"/>
  <c r="D72" i="11"/>
  <c r="A72" i="11"/>
  <c r="G78" i="11"/>
  <c r="E78" i="11"/>
  <c r="D78" i="11"/>
  <c r="J78" i="11" s="1"/>
  <c r="A78" i="11"/>
  <c r="G77" i="11"/>
  <c r="E77" i="11"/>
  <c r="D77" i="11"/>
  <c r="J77" i="11" s="1"/>
  <c r="A77" i="11"/>
  <c r="G71" i="11"/>
  <c r="E71" i="11"/>
  <c r="D71" i="11"/>
  <c r="H71" i="11" s="1"/>
  <c r="A71" i="11"/>
  <c r="G70" i="11"/>
  <c r="E70" i="11"/>
  <c r="D70" i="11"/>
  <c r="H70" i="11" s="1"/>
  <c r="G69" i="11"/>
  <c r="E69" i="11"/>
  <c r="D69" i="11"/>
  <c r="H69" i="11" s="1"/>
  <c r="G68" i="11"/>
  <c r="E68" i="11"/>
  <c r="D68" i="11"/>
  <c r="A68" i="11"/>
  <c r="G67" i="11"/>
  <c r="E67" i="11"/>
  <c r="D67" i="11"/>
  <c r="I67" i="11" s="1"/>
  <c r="A67" i="11"/>
  <c r="I37" i="11" l="1"/>
  <c r="I30" i="11"/>
  <c r="I38" i="11"/>
  <c r="J28" i="11"/>
  <c r="H25" i="11"/>
  <c r="I27" i="11"/>
  <c r="J32" i="11"/>
  <c r="J37" i="11"/>
  <c r="I88" i="11"/>
  <c r="J27" i="11"/>
  <c r="I33" i="11"/>
  <c r="I34" i="11"/>
  <c r="I35" i="11"/>
  <c r="I28" i="11"/>
  <c r="J33" i="11"/>
  <c r="J38" i="11"/>
  <c r="I32" i="11"/>
  <c r="J34" i="11"/>
  <c r="I23" i="11"/>
  <c r="H24" i="11"/>
  <c r="I29" i="11"/>
  <c r="H30" i="11"/>
  <c r="K30" i="11" s="1"/>
  <c r="H36" i="11"/>
  <c r="H39" i="11"/>
  <c r="J23" i="11"/>
  <c r="I24" i="11"/>
  <c r="I25" i="11"/>
  <c r="H26" i="11"/>
  <c r="J29" i="11"/>
  <c r="H31" i="11"/>
  <c r="J35" i="11"/>
  <c r="I36" i="11"/>
  <c r="H37" i="11"/>
  <c r="I39" i="11"/>
  <c r="I26" i="11"/>
  <c r="I31" i="11"/>
  <c r="J92" i="11"/>
  <c r="J87" i="11"/>
  <c r="I89" i="11"/>
  <c r="I90" i="11"/>
  <c r="H85" i="11"/>
  <c r="J88" i="11"/>
  <c r="I91" i="11"/>
  <c r="I87" i="11"/>
  <c r="H86" i="11"/>
  <c r="H92" i="11"/>
  <c r="I85" i="11"/>
  <c r="I86" i="11"/>
  <c r="J89" i="11"/>
  <c r="J90" i="11"/>
  <c r="J91" i="11"/>
  <c r="K91" i="11" s="1"/>
  <c r="I92" i="11"/>
  <c r="J109" i="11"/>
  <c r="J106" i="11"/>
  <c r="H110" i="11"/>
  <c r="H109" i="11"/>
  <c r="H111" i="11"/>
  <c r="I109" i="11"/>
  <c r="I110" i="11"/>
  <c r="K110" i="11" s="1"/>
  <c r="I111" i="11"/>
  <c r="J105" i="11"/>
  <c r="H106" i="11"/>
  <c r="H104" i="11"/>
  <c r="H105" i="11"/>
  <c r="I106" i="11"/>
  <c r="I104" i="11"/>
  <c r="I105" i="11"/>
  <c r="J20" i="11"/>
  <c r="H21" i="11"/>
  <c r="I21" i="11"/>
  <c r="H16" i="11"/>
  <c r="I16" i="11"/>
  <c r="H19" i="11"/>
  <c r="H20" i="11"/>
  <c r="I19" i="11"/>
  <c r="I20" i="11"/>
  <c r="I72" i="11"/>
  <c r="I73" i="11"/>
  <c r="I68" i="11"/>
  <c r="J76" i="11"/>
  <c r="I70" i="11"/>
  <c r="J72" i="11"/>
  <c r="H75" i="11"/>
  <c r="J73" i="11"/>
  <c r="H76" i="11"/>
  <c r="H74" i="11"/>
  <c r="I75" i="11"/>
  <c r="I76" i="11"/>
  <c r="H72" i="11"/>
  <c r="H73" i="11"/>
  <c r="I74" i="11"/>
  <c r="J67" i="11"/>
  <c r="I69" i="11"/>
  <c r="J68" i="11"/>
  <c r="I71" i="11"/>
  <c r="J69" i="11"/>
  <c r="J70" i="11"/>
  <c r="H78" i="11"/>
  <c r="H77" i="11"/>
  <c r="J71" i="11"/>
  <c r="I77" i="11"/>
  <c r="I78" i="11"/>
  <c r="H67" i="11"/>
  <c r="H68" i="11"/>
  <c r="K28" i="11" l="1"/>
  <c r="K38" i="11"/>
  <c r="K27" i="11"/>
  <c r="K32" i="11"/>
  <c r="K25" i="11"/>
  <c r="K37" i="11"/>
  <c r="K34" i="11"/>
  <c r="K33" i="11"/>
  <c r="K88" i="11"/>
  <c r="K35" i="11"/>
  <c r="K29" i="11"/>
  <c r="K36" i="11"/>
  <c r="K23" i="11"/>
  <c r="K31" i="11"/>
  <c r="K87" i="11"/>
  <c r="K26" i="11"/>
  <c r="K39" i="11"/>
  <c r="K24" i="11"/>
  <c r="K89" i="11"/>
  <c r="K85" i="11"/>
  <c r="K90" i="11"/>
  <c r="K86" i="11"/>
  <c r="K92" i="11"/>
  <c r="K109" i="11"/>
  <c r="K111" i="11"/>
  <c r="K106" i="11"/>
  <c r="K104" i="11"/>
  <c r="K105" i="11"/>
  <c r="K70" i="11"/>
  <c r="K21" i="11"/>
  <c r="K16" i="11"/>
  <c r="K20" i="11"/>
  <c r="K19" i="11"/>
  <c r="K75" i="11"/>
  <c r="K72" i="11"/>
  <c r="K69" i="11"/>
  <c r="K76" i="11"/>
  <c r="K67" i="11"/>
  <c r="K73" i="11"/>
  <c r="K68" i="11"/>
  <c r="K74" i="11"/>
  <c r="K77" i="11"/>
  <c r="K78" i="11"/>
  <c r="K71" i="11"/>
  <c r="F63" i="11" l="1"/>
  <c r="F62" i="11"/>
  <c r="F64" i="11"/>
  <c r="F65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1" i="11"/>
  <c r="F101" i="11"/>
  <c r="F99" i="11"/>
  <c r="F98" i="11"/>
  <c r="F97" i="11"/>
  <c r="G94" i="11" l="1"/>
  <c r="E94" i="11"/>
  <c r="D94" i="11"/>
  <c r="J94" i="11" s="1"/>
  <c r="G80" i="11"/>
  <c r="E80" i="11"/>
  <c r="D80" i="11"/>
  <c r="J80" i="11" s="1"/>
  <c r="G79" i="11"/>
  <c r="E79" i="11"/>
  <c r="D79" i="11"/>
  <c r="J79" i="11" s="1"/>
  <c r="A79" i="11"/>
  <c r="G66" i="11"/>
  <c r="E66" i="11"/>
  <c r="D66" i="11"/>
  <c r="J66" i="11" s="1"/>
  <c r="A66" i="11"/>
  <c r="G65" i="11"/>
  <c r="E65" i="11"/>
  <c r="D65" i="11"/>
  <c r="A65" i="11"/>
  <c r="G64" i="11"/>
  <c r="E64" i="11"/>
  <c r="D64" i="11"/>
  <c r="J64" i="11" s="1"/>
  <c r="A64" i="11"/>
  <c r="G63" i="11"/>
  <c r="E63" i="11"/>
  <c r="D63" i="11"/>
  <c r="J63" i="11" s="1"/>
  <c r="G62" i="11"/>
  <c r="E62" i="11"/>
  <c r="D62" i="11"/>
  <c r="J62" i="11" s="1"/>
  <c r="G61" i="11"/>
  <c r="E61" i="11"/>
  <c r="D61" i="11"/>
  <c r="H61" i="11" s="1"/>
  <c r="A61" i="11"/>
  <c r="G60" i="11"/>
  <c r="E60" i="11"/>
  <c r="D60" i="11"/>
  <c r="H60" i="11" s="1"/>
  <c r="A60" i="11"/>
  <c r="G59" i="11"/>
  <c r="E59" i="11"/>
  <c r="D59" i="11"/>
  <c r="H59" i="11" s="1"/>
  <c r="A59" i="11"/>
  <c r="H94" i="11" l="1"/>
  <c r="I94" i="11"/>
  <c r="I62" i="11"/>
  <c r="J65" i="11"/>
  <c r="H80" i="11"/>
  <c r="I61" i="11"/>
  <c r="J59" i="11"/>
  <c r="J60" i="11"/>
  <c r="J61" i="11"/>
  <c r="H63" i="11"/>
  <c r="H64" i="11"/>
  <c r="H65" i="11"/>
  <c r="H66" i="11"/>
  <c r="H79" i="11"/>
  <c r="I80" i="11"/>
  <c r="I59" i="11"/>
  <c r="H62" i="11"/>
  <c r="I63" i="11"/>
  <c r="I64" i="11"/>
  <c r="I65" i="11"/>
  <c r="I66" i="11"/>
  <c r="I79" i="11"/>
  <c r="I60" i="11"/>
  <c r="K62" i="11" l="1"/>
  <c r="K94" i="11"/>
  <c r="K59" i="11"/>
  <c r="K80" i="11"/>
  <c r="K60" i="11"/>
  <c r="K61" i="11"/>
  <c r="K66" i="11"/>
  <c r="K65" i="11"/>
  <c r="K64" i="11"/>
  <c r="K79" i="11"/>
  <c r="K63" i="11"/>
  <c r="G57" i="11" l="1"/>
  <c r="E57" i="11"/>
  <c r="D57" i="11"/>
  <c r="J57" i="11" s="1"/>
  <c r="G56" i="11"/>
  <c r="E56" i="11"/>
  <c r="D56" i="11"/>
  <c r="J56" i="11" s="1"/>
  <c r="G55" i="11"/>
  <c r="E55" i="11"/>
  <c r="D55" i="11"/>
  <c r="J55" i="11" s="1"/>
  <c r="A55" i="11"/>
  <c r="G54" i="11"/>
  <c r="E54" i="11"/>
  <c r="D54" i="11"/>
  <c r="A54" i="11"/>
  <c r="G53" i="11"/>
  <c r="E53" i="11"/>
  <c r="D53" i="11"/>
  <c r="A53" i="11"/>
  <c r="G52" i="11"/>
  <c r="E52" i="11"/>
  <c r="D52" i="11"/>
  <c r="A52" i="11"/>
  <c r="G51" i="11"/>
  <c r="E51" i="11"/>
  <c r="D51" i="11"/>
  <c r="G50" i="11"/>
  <c r="E50" i="11"/>
  <c r="D50" i="11"/>
  <c r="G49" i="11"/>
  <c r="E49" i="11"/>
  <c r="D49" i="11"/>
  <c r="J49" i="11" s="1"/>
  <c r="A49" i="11"/>
  <c r="G48" i="11"/>
  <c r="E48" i="11"/>
  <c r="D48" i="11"/>
  <c r="J48" i="11" s="1"/>
  <c r="A48" i="11"/>
  <c r="G47" i="11"/>
  <c r="E47" i="11"/>
  <c r="D47" i="11"/>
  <c r="J47" i="11" s="1"/>
  <c r="A47" i="11"/>
  <c r="G46" i="11"/>
  <c r="E46" i="11"/>
  <c r="D46" i="11"/>
  <c r="J46" i="11" s="1"/>
  <c r="A46" i="11"/>
  <c r="G83" i="11"/>
  <c r="E83" i="11"/>
  <c r="D83" i="11"/>
  <c r="A83" i="11"/>
  <c r="G82" i="11"/>
  <c r="E82" i="11"/>
  <c r="D82" i="11"/>
  <c r="A82" i="11"/>
  <c r="G81" i="11"/>
  <c r="E81" i="11"/>
  <c r="D81" i="11"/>
  <c r="A81" i="11"/>
  <c r="G58" i="11"/>
  <c r="E58" i="11"/>
  <c r="D58" i="11"/>
  <c r="A58" i="11"/>
  <c r="G107" i="11"/>
  <c r="E107" i="11"/>
  <c r="D107" i="11"/>
  <c r="A107" i="11"/>
  <c r="G93" i="11"/>
  <c r="E93" i="11"/>
  <c r="D93" i="11"/>
  <c r="J93" i="11" s="1"/>
  <c r="A93" i="11"/>
  <c r="G84" i="11"/>
  <c r="E84" i="11"/>
  <c r="D84" i="11"/>
  <c r="A84" i="11"/>
  <c r="G43" i="11"/>
  <c r="E43" i="11"/>
  <c r="D43" i="11"/>
  <c r="J43" i="11" s="1"/>
  <c r="A43" i="11"/>
  <c r="G42" i="11"/>
  <c r="E42" i="11"/>
  <c r="D42" i="11"/>
  <c r="J42" i="11" s="1"/>
  <c r="A42" i="11"/>
  <c r="G41" i="11"/>
  <c r="E41" i="11"/>
  <c r="D41" i="11"/>
  <c r="A41" i="11"/>
  <c r="G40" i="11"/>
  <c r="E40" i="11"/>
  <c r="D40" i="11"/>
  <c r="J40" i="11" s="1"/>
  <c r="A40" i="11"/>
  <c r="G17" i="11"/>
  <c r="E17" i="11"/>
  <c r="D17" i="11"/>
  <c r="J17" i="11" s="1"/>
  <c r="A17" i="11"/>
  <c r="J41" i="11" l="1"/>
  <c r="I51" i="11"/>
  <c r="I52" i="11"/>
  <c r="J51" i="11"/>
  <c r="J84" i="11"/>
  <c r="I54" i="11"/>
  <c r="H50" i="11"/>
  <c r="I81" i="11"/>
  <c r="I82" i="11"/>
  <c r="I83" i="11"/>
  <c r="I53" i="11"/>
  <c r="H46" i="11"/>
  <c r="J83" i="11"/>
  <c r="H48" i="11"/>
  <c r="I58" i="11"/>
  <c r="H49" i="11"/>
  <c r="J52" i="11"/>
  <c r="I55" i="11"/>
  <c r="J58" i="11"/>
  <c r="J53" i="11"/>
  <c r="H47" i="11"/>
  <c r="J54" i="11"/>
  <c r="H57" i="11"/>
  <c r="I46" i="11"/>
  <c r="I47" i="11"/>
  <c r="I48" i="11"/>
  <c r="I49" i="11"/>
  <c r="J50" i="11"/>
  <c r="H56" i="11"/>
  <c r="I57" i="11"/>
  <c r="I50" i="11"/>
  <c r="J81" i="11"/>
  <c r="H51" i="11"/>
  <c r="H52" i="11"/>
  <c r="H53" i="11"/>
  <c r="H54" i="11"/>
  <c r="H55" i="11"/>
  <c r="I56" i="11"/>
  <c r="J82" i="11"/>
  <c r="H58" i="11"/>
  <c r="H81" i="11"/>
  <c r="H82" i="11"/>
  <c r="H83" i="11"/>
  <c r="J107" i="11"/>
  <c r="H40" i="11"/>
  <c r="H93" i="11"/>
  <c r="H84" i="11"/>
  <c r="H107" i="11"/>
  <c r="I107" i="11"/>
  <c r="H41" i="11"/>
  <c r="I84" i="11"/>
  <c r="I93" i="11"/>
  <c r="H42" i="11"/>
  <c r="H17" i="11"/>
  <c r="H43" i="11"/>
  <c r="I40" i="11"/>
  <c r="I41" i="11"/>
  <c r="I42" i="11"/>
  <c r="I43" i="11"/>
  <c r="I17" i="11"/>
  <c r="K81" i="11" l="1"/>
  <c r="K48" i="11"/>
  <c r="K46" i="11"/>
  <c r="K51" i="11"/>
  <c r="K43" i="11"/>
  <c r="K84" i="11"/>
  <c r="K54" i="11"/>
  <c r="K83" i="11"/>
  <c r="K52" i="11"/>
  <c r="K47" i="11"/>
  <c r="K57" i="11"/>
  <c r="K82" i="11"/>
  <c r="K53" i="11"/>
  <c r="K50" i="11"/>
  <c r="K49" i="11"/>
  <c r="K55" i="11"/>
  <c r="K58" i="11"/>
  <c r="K56" i="11"/>
  <c r="K93" i="11"/>
  <c r="K40" i="11"/>
  <c r="K42" i="11"/>
  <c r="K41" i="11"/>
  <c r="K107" i="11"/>
  <c r="K17" i="11"/>
  <c r="W49" i="91" l="1"/>
  <c r="W48" i="91"/>
  <c r="D95" i="11" l="1"/>
  <c r="H95" i="11" s="1"/>
  <c r="E95" i="11"/>
  <c r="G95" i="11"/>
  <c r="A96" i="11"/>
  <c r="D96" i="11"/>
  <c r="J96" i="11" s="1"/>
  <c r="E96" i="11"/>
  <c r="G96" i="11"/>
  <c r="D97" i="11"/>
  <c r="J97" i="11" s="1"/>
  <c r="E97" i="11"/>
  <c r="E44" i="11"/>
  <c r="D44" i="11"/>
  <c r="I44" i="11" s="1"/>
  <c r="A44" i="11"/>
  <c r="J95" i="11" l="1"/>
  <c r="I95" i="11"/>
  <c r="I96" i="11"/>
  <c r="I97" i="11"/>
  <c r="H96" i="11"/>
  <c r="J44" i="11"/>
  <c r="K95" i="11" l="1"/>
  <c r="K96" i="11"/>
  <c r="D102" i="11" l="1"/>
  <c r="E18" i="11" l="1"/>
  <c r="D18" i="11"/>
  <c r="A18" i="11"/>
  <c r="H18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08" i="11"/>
  <c r="D108" i="11"/>
  <c r="A108" i="11"/>
  <c r="E103" i="11"/>
  <c r="D103" i="11"/>
  <c r="J103" i="11" s="1"/>
  <c r="A103" i="11"/>
  <c r="E102" i="11"/>
  <c r="E101" i="11"/>
  <c r="D101" i="11"/>
  <c r="A101" i="11"/>
  <c r="E100" i="11"/>
  <c r="D100" i="11"/>
  <c r="A100" i="11"/>
  <c r="E99" i="11"/>
  <c r="D99" i="11"/>
  <c r="E98" i="11"/>
  <c r="D98" i="11"/>
  <c r="A98" i="11"/>
  <c r="G45" i="11"/>
  <c r="E45" i="11"/>
  <c r="D45" i="11"/>
  <c r="J45" i="11" s="1"/>
  <c r="D112" i="11"/>
  <c r="J112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G112" i="11"/>
  <c r="E112" i="11"/>
  <c r="D5" i="60"/>
  <c r="K5" i="60" s="1"/>
  <c r="F3" i="54"/>
  <c r="D8" i="59"/>
  <c r="D9" i="59" s="1"/>
  <c r="K7" i="54" s="1"/>
  <c r="G15" i="11"/>
  <c r="E15" i="11"/>
  <c r="D15" i="11"/>
  <c r="J15" i="11" s="1"/>
  <c r="A15" i="11"/>
  <c r="D22" i="11"/>
  <c r="H22" i="11" s="1"/>
  <c r="E22" i="11"/>
  <c r="D11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22" i="11"/>
  <c r="G113" i="11"/>
  <c r="E113" i="11"/>
  <c r="D113" i="11"/>
  <c r="H113" i="11" s="1"/>
  <c r="E114" i="11"/>
  <c r="D115" i="11"/>
  <c r="H115" i="11" s="1"/>
  <c r="E11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/>
  <c r="O133" i="10"/>
  <c r="P133" i="10" s="1"/>
  <c r="J134" i="10"/>
  <c r="K134" i="10"/>
  <c r="M134" i="10" s="1"/>
  <c r="O134" i="10"/>
  <c r="P134" i="10" s="1"/>
  <c r="J135" i="10"/>
  <c r="K135" i="10"/>
  <c r="M135" i="10"/>
  <c r="O135" i="10"/>
  <c r="P135" i="10" s="1"/>
  <c r="J136" i="10"/>
  <c r="K136" i="10"/>
  <c r="M136" i="10" s="1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N677" i="10" s="1"/>
  <c r="O677" i="10"/>
  <c r="P677" i="10" s="1"/>
  <c r="J678" i="10"/>
  <c r="L678" i="10"/>
  <c r="K678" i="10"/>
  <c r="M678" i="10" s="1"/>
  <c r="O678" i="10"/>
  <c r="P678" i="10" s="1"/>
  <c r="J679" i="10"/>
  <c r="L679" i="10" s="1"/>
  <c r="K679" i="10"/>
  <c r="M679" i="10" s="1"/>
  <c r="N679" i="10" s="1"/>
  <c r="O679" i="10"/>
  <c r="P679" i="10" s="1"/>
  <c r="J680" i="10"/>
  <c r="L680" i="10"/>
  <c r="K680" i="10"/>
  <c r="M680" i="10" s="1"/>
  <c r="O680" i="10"/>
  <c r="P680" i="10"/>
  <c r="J681" i="10"/>
  <c r="L681" i="10" s="1"/>
  <c r="K681" i="10"/>
  <c r="M681" i="10" s="1"/>
  <c r="O681" i="10"/>
  <c r="P681" i="10" s="1"/>
  <c r="J682" i="10"/>
  <c r="L682" i="10"/>
  <c r="K682" i="10"/>
  <c r="M682" i="10" s="1"/>
  <c r="O682" i="10"/>
  <c r="P682" i="10"/>
  <c r="J683" i="10"/>
  <c r="L683" i="10" s="1"/>
  <c r="K683" i="10"/>
  <c r="M683" i="10"/>
  <c r="O683" i="10"/>
  <c r="P683" i="10" s="1"/>
  <c r="J684" i="10"/>
  <c r="L684" i="10" s="1"/>
  <c r="K684" i="10"/>
  <c r="M684" i="10" s="1"/>
  <c r="O684" i="10"/>
  <c r="P684" i="10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N716" i="10" s="1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N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/>
  <c r="J764" i="10"/>
  <c r="L764" i="10" s="1"/>
  <c r="K764" i="10"/>
  <c r="M764" i="10" s="1"/>
  <c r="N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N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N794" i="10" s="1"/>
  <c r="K794" i="10"/>
  <c r="M794" i="10" s="1"/>
  <c r="O794" i="10"/>
  <c r="P794" i="10"/>
  <c r="J795" i="10"/>
  <c r="L795" i="10" s="1"/>
  <c r="K795" i="10"/>
  <c r="M795" i="10" s="1"/>
  <c r="N795" i="10" s="1"/>
  <c r="O795" i="10"/>
  <c r="P795" i="10" s="1"/>
  <c r="J796" i="10"/>
  <c r="L796" i="10" s="1"/>
  <c r="N796" i="10" s="1"/>
  <c r="K796" i="10"/>
  <c r="M796" i="10" s="1"/>
  <c r="O796" i="10"/>
  <c r="P796" i="10" s="1"/>
  <c r="J797" i="10"/>
  <c r="L797" i="10" s="1"/>
  <c r="K797" i="10"/>
  <c r="M797" i="10"/>
  <c r="O797" i="10"/>
  <c r="P797" i="10" s="1"/>
  <c r="J798" i="10"/>
  <c r="L798" i="10" s="1"/>
  <c r="N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 s="1"/>
  <c r="O850" i="10"/>
  <c r="P850" i="10" s="1"/>
  <c r="J851" i="10"/>
  <c r="L851" i="10"/>
  <c r="K851" i="10"/>
  <c r="M851" i="10" s="1"/>
  <c r="O851" i="10"/>
  <c r="P851" i="10" s="1"/>
  <c r="J852" i="10"/>
  <c r="L852" i="10" s="1"/>
  <c r="K852" i="10"/>
  <c r="M852" i="10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N892" i="10" s="1"/>
  <c r="K892" i="10"/>
  <c r="M892" i="10" s="1"/>
  <c r="O892" i="10"/>
  <c r="P892" i="10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/>
  <c r="J895" i="10"/>
  <c r="L895" i="10" s="1"/>
  <c r="K895" i="10"/>
  <c r="M895" i="10"/>
  <c r="O895" i="10"/>
  <c r="P895" i="10" s="1"/>
  <c r="J896" i="10"/>
  <c r="L896" i="10" s="1"/>
  <c r="K896" i="10"/>
  <c r="M896" i="10" s="1"/>
  <c r="O896" i="10"/>
  <c r="P896" i="10"/>
  <c r="J897" i="10"/>
  <c r="L897" i="10" s="1"/>
  <c r="K897" i="10"/>
  <c r="M897" i="10" s="1"/>
  <c r="N897" i="10" s="1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/>
  <c r="K1070" i="10"/>
  <c r="M1070" i="10" s="1"/>
  <c r="O1070" i="10"/>
  <c r="P1070" i="10" s="1"/>
  <c r="J1071" i="10"/>
  <c r="L1071" i="10" s="1"/>
  <c r="K1071" i="10"/>
  <c r="M1071" i="10"/>
  <c r="O1071" i="10"/>
  <c r="P1071" i="10" s="1"/>
  <c r="J1072" i="10"/>
  <c r="L1072" i="10"/>
  <c r="K1072" i="10"/>
  <c r="M1072" i="10" s="1"/>
  <c r="O1072" i="10"/>
  <c r="P1072" i="10"/>
  <c r="J1073" i="10"/>
  <c r="L1073" i="10" s="1"/>
  <c r="K1073" i="10"/>
  <c r="M1073" i="10" s="1"/>
  <c r="O1073" i="10"/>
  <c r="P1073" i="10" s="1"/>
  <c r="J1074" i="10"/>
  <c r="L1074" i="10"/>
  <c r="K1074" i="10"/>
  <c r="M1074" i="10" s="1"/>
  <c r="O1074" i="10"/>
  <c r="P1074" i="10"/>
  <c r="J1075" i="10"/>
  <c r="L1075" i="10" s="1"/>
  <c r="K1075" i="10"/>
  <c r="M1075" i="10"/>
  <c r="O1075" i="10"/>
  <c r="P1075" i="10" s="1"/>
  <c r="J1076" i="10"/>
  <c r="L1076" i="10" s="1"/>
  <c r="N1076" i="10" s="1"/>
  <c r="K1076" i="10"/>
  <c r="M1076" i="10" s="1"/>
  <c r="O1076" i="10"/>
  <c r="P1076" i="10"/>
  <c r="J1077" i="10"/>
  <c r="L1077" i="10" s="1"/>
  <c r="K1077" i="10"/>
  <c r="M1077" i="10"/>
  <c r="O1077" i="10"/>
  <c r="P1077" i="10" s="1"/>
  <c r="J1078" i="10"/>
  <c r="L1078" i="10"/>
  <c r="K1078" i="10"/>
  <c r="M1078" i="10" s="1"/>
  <c r="O1078" i="10"/>
  <c r="P1078" i="10" s="1"/>
  <c r="J1079" i="10"/>
  <c r="L1079" i="10" s="1"/>
  <c r="K1079" i="10"/>
  <c r="M1079" i="10"/>
  <c r="O1079" i="10"/>
  <c r="P1079" i="10" s="1"/>
  <c r="J1080" i="10"/>
  <c r="L1080" i="10"/>
  <c r="K1080" i="10"/>
  <c r="M1080" i="10" s="1"/>
  <c r="O1080" i="10"/>
  <c r="P1080" i="10"/>
  <c r="J1081" i="10"/>
  <c r="L1081" i="10" s="1"/>
  <c r="K1081" i="10"/>
  <c r="M1081" i="10" s="1"/>
  <c r="O1081" i="10"/>
  <c r="P1081" i="10" s="1"/>
  <c r="J1082" i="10"/>
  <c r="L1082" i="10"/>
  <c r="K1082" i="10"/>
  <c r="M1082" i="10" s="1"/>
  <c r="O1082" i="10"/>
  <c r="P1082" i="10"/>
  <c r="J1083" i="10"/>
  <c r="L1083" i="10" s="1"/>
  <c r="K1083" i="10"/>
  <c r="M1083" i="10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/>
  <c r="J1102" i="10"/>
  <c r="L1102" i="10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/>
  <c r="O1213" i="10"/>
  <c r="P1213" i="10" s="1"/>
  <c r="J1214" i="10"/>
  <c r="L1214" i="10" s="1"/>
  <c r="K1214" i="10"/>
  <c r="M1214" i="10" s="1"/>
  <c r="O1214" i="10"/>
  <c r="P1214" i="10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/>
  <c r="J1235" i="10"/>
  <c r="L1235" i="10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 s="1"/>
  <c r="K1352" i="10"/>
  <c r="M1352" i="10"/>
  <c r="O1352" i="10"/>
  <c r="P1352" i="10" s="1"/>
  <c r="J1353" i="10"/>
  <c r="L1353" i="10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/>
  <c r="K1376" i="10"/>
  <c r="M1376" i="10" s="1"/>
  <c r="O1376" i="10"/>
  <c r="P1376" i="10"/>
  <c r="J1377" i="10"/>
  <c r="L1377" i="10" s="1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/>
  <c r="J1384" i="10"/>
  <c r="L1384" i="10" s="1"/>
  <c r="K1384" i="10"/>
  <c r="M1384" i="10" s="1"/>
  <c r="N1384" i="10" s="1"/>
  <c r="O1384" i="10"/>
  <c r="P1384" i="10" s="1"/>
  <c r="J1385" i="10"/>
  <c r="L1385" i="10"/>
  <c r="K1385" i="10"/>
  <c r="M1385" i="10" s="1"/>
  <c r="O1385" i="10"/>
  <c r="P1385" i="10"/>
  <c r="J1386" i="10"/>
  <c r="L1386" i="10" s="1"/>
  <c r="K1386" i="10"/>
  <c r="M1386" i="10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/>
  <c r="J1392" i="10"/>
  <c r="L1392" i="10" s="1"/>
  <c r="K1392" i="10"/>
  <c r="M1392" i="10"/>
  <c r="O1392" i="10"/>
  <c r="P1392" i="10" s="1"/>
  <c r="J1393" i="10"/>
  <c r="L1393" i="10"/>
  <c r="K1393" i="10"/>
  <c r="M1393" i="10" s="1"/>
  <c r="O1393" i="10"/>
  <c r="P1393" i="10" s="1"/>
  <c r="J1394" i="10"/>
  <c r="L1394" i="10" s="1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 s="1"/>
  <c r="N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874" i="10"/>
  <c r="N122" i="10"/>
  <c r="N886" i="10"/>
  <c r="N1070" i="10"/>
  <c r="N828" i="10"/>
  <c r="N700" i="10"/>
  <c r="N971" i="10"/>
  <c r="N889" i="10"/>
  <c r="N905" i="10"/>
  <c r="N865" i="10"/>
  <c r="N983" i="10"/>
  <c r="N965" i="10"/>
  <c r="N960" i="10"/>
  <c r="N944" i="10"/>
  <c r="N824" i="10"/>
  <c r="N723" i="10"/>
  <c r="N984" i="10"/>
  <c r="N968" i="10"/>
  <c r="N963" i="10"/>
  <c r="N962" i="10"/>
  <c r="N956" i="10"/>
  <c r="N954" i="10"/>
  <c r="N751" i="10"/>
  <c r="N661" i="10"/>
  <c r="N966" i="10"/>
  <c r="N912" i="10"/>
  <c r="N970" i="10"/>
  <c r="N958" i="10"/>
  <c r="N952" i="10"/>
  <c r="N863" i="10"/>
  <c r="N855" i="10"/>
  <c r="N838" i="10"/>
  <c r="N831" i="10"/>
  <c r="N815" i="10"/>
  <c r="N664" i="10"/>
  <c r="N986" i="10"/>
  <c r="N922" i="10"/>
  <c r="N921" i="10"/>
  <c r="N908" i="10"/>
  <c r="N884" i="10"/>
  <c r="N876" i="10"/>
  <c r="N868" i="10"/>
  <c r="N645" i="10"/>
  <c r="N993" i="10"/>
  <c r="N964" i="10"/>
  <c r="N941" i="10"/>
  <c r="N1085" i="10"/>
  <c r="N989" i="10"/>
  <c r="N977" i="10"/>
  <c r="N945" i="10"/>
  <c r="N893" i="10"/>
  <c r="N877" i="10"/>
  <c r="N845" i="10"/>
  <c r="N925" i="10"/>
  <c r="N909" i="10"/>
  <c r="N896" i="10"/>
  <c r="N880" i="10"/>
  <c r="N856" i="10"/>
  <c r="N840" i="10"/>
  <c r="N712" i="10"/>
  <c r="N689" i="10"/>
  <c r="N681" i="10"/>
  <c r="N693" i="10"/>
  <c r="N668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232" i="10"/>
  <c r="L177" i="10"/>
  <c r="L202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15" i="11"/>
  <c r="I14" i="10"/>
  <c r="G97" i="11" s="1"/>
  <c r="H97" i="11" s="1"/>
  <c r="K97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G18" i="11" s="1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G99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08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100" i="11" s="1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03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G114" i="11" s="1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2" i="11"/>
  <c r="I1220" i="10"/>
  <c r="I1219" i="10"/>
  <c r="I9" i="10"/>
  <c r="G101" i="11" s="1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222" i="10"/>
  <c r="M225" i="10"/>
  <c r="P80" i="10"/>
  <c r="N1096" i="10"/>
  <c r="P13" i="10"/>
  <c r="G8" i="29"/>
  <c r="N1209" i="10"/>
  <c r="N1060" i="10"/>
  <c r="N1003" i="10"/>
  <c r="N1091" i="10"/>
  <c r="N1021" i="10"/>
  <c r="N976" i="10"/>
  <c r="N961" i="10"/>
  <c r="N1213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45" i="10"/>
  <c r="L70" i="10"/>
  <c r="N70" i="10" s="1"/>
  <c r="L9" i="10"/>
  <c r="N1276" i="10"/>
  <c r="L86" i="10"/>
  <c r="N86" i="10" s="1"/>
  <c r="L45" i="10"/>
  <c r="L29" i="10"/>
  <c r="N29" i="10" s="1"/>
  <c r="L117" i="10"/>
  <c r="N117" i="10" s="1"/>
  <c r="L91" i="10"/>
  <c r="N91" i="10" s="1"/>
  <c r="N1237" i="10"/>
  <c r="N972" i="10"/>
  <c r="N851" i="10"/>
  <c r="N842" i="10"/>
  <c r="N1304" i="10"/>
  <c r="N1254" i="10"/>
  <c r="N1163" i="10"/>
  <c r="N1086" i="10"/>
  <c r="N1012" i="10"/>
  <c r="N903" i="10"/>
  <c r="N871" i="10"/>
  <c r="N862" i="10"/>
  <c r="N860" i="10"/>
  <c r="N827" i="10"/>
  <c r="N818" i="10"/>
  <c r="N817" i="10"/>
  <c r="N8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7" i="10"/>
  <c r="N1090" i="10"/>
  <c r="N1071" i="10"/>
  <c r="N997" i="10"/>
  <c r="N1329" i="10"/>
  <c r="N1214" i="10"/>
  <c r="N1207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N235" i="10" s="1"/>
  <c r="L181" i="10"/>
  <c r="L141" i="10"/>
  <c r="N141" i="10" s="1"/>
  <c r="L228" i="10"/>
  <c r="N228" i="10" s="1"/>
  <c r="N1270" i="10"/>
  <c r="N1173" i="10"/>
  <c r="N1064" i="10"/>
  <c r="N1236" i="10"/>
  <c r="N1110" i="10"/>
  <c r="N1063" i="10"/>
  <c r="N1002" i="10"/>
  <c r="N1302" i="10"/>
  <c r="N1257" i="10"/>
  <c r="N1160" i="10"/>
  <c r="N1115" i="10"/>
  <c r="N1035" i="10"/>
  <c r="N1034" i="10"/>
  <c r="N994" i="10"/>
  <c r="P10" i="10"/>
  <c r="P203" i="10"/>
  <c r="P198" i="10"/>
  <c r="P201" i="10"/>
  <c r="M1452" i="10"/>
  <c r="M98" i="10"/>
  <c r="M606" i="10"/>
  <c r="N606" i="10" s="1"/>
  <c r="M183" i="10"/>
  <c r="M99" i="10"/>
  <c r="M314" i="10"/>
  <c r="N314" i="10" s="1"/>
  <c r="M639" i="10"/>
  <c r="N639" i="10"/>
  <c r="M598" i="10"/>
  <c r="N598" i="10" s="1"/>
  <c r="M193" i="10"/>
  <c r="M106" i="10"/>
  <c r="N106" i="10" s="1"/>
  <c r="M260" i="10"/>
  <c r="M102" i="10"/>
  <c r="N1422" i="10"/>
  <c r="M315" i="10"/>
  <c r="N315" i="10"/>
  <c r="M105" i="10"/>
  <c r="N105" i="10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N1362" i="10"/>
  <c r="N1349" i="10"/>
  <c r="N1316" i="10"/>
  <c r="N1258" i="10"/>
  <c r="N1376" i="10"/>
  <c r="N1342" i="10"/>
  <c r="G98" i="11"/>
  <c r="N1390" i="10"/>
  <c r="N1352" i="10"/>
  <c r="N1344" i="10"/>
  <c r="N146" i="10"/>
  <c r="N1314" i="10"/>
  <c r="N1295" i="10"/>
  <c r="N1233" i="10"/>
  <c r="N1095" i="10"/>
  <c r="N1068" i="10"/>
  <c r="N1017" i="10"/>
  <c r="N955" i="10"/>
  <c r="N858" i="10"/>
  <c r="N1033" i="10"/>
  <c r="N1206" i="10"/>
  <c r="N1151" i="10"/>
  <c r="N1100" i="10"/>
  <c r="N1082" i="10"/>
  <c r="N1078" i="10"/>
  <c r="N1028" i="10"/>
  <c r="N1024" i="10"/>
  <c r="N981" i="10"/>
  <c r="N1239" i="10"/>
  <c r="N1184" i="10"/>
  <c r="N1117" i="10"/>
  <c r="N1116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N189" i="10" s="1"/>
  <c r="L98" i="10"/>
  <c r="N98" i="10" s="1"/>
  <c r="L78" i="10"/>
  <c r="N78" i="10"/>
  <c r="L259" i="10"/>
  <c r="N259" i="10" s="1"/>
  <c r="L13" i="10"/>
  <c r="N13" i="10"/>
  <c r="L231" i="10"/>
  <c r="N231" i="10" s="1"/>
  <c r="L11" i="10"/>
  <c r="N11" i="10"/>
  <c r="L18" i="10"/>
  <c r="N18" i="10" s="1"/>
  <c r="L260" i="10"/>
  <c r="N260" i="10" s="1"/>
  <c r="L52" i="10"/>
  <c r="N52" i="10"/>
  <c r="L12" i="10"/>
  <c r="N12" i="10" s="1"/>
  <c r="L218" i="10"/>
  <c r="N218" i="10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L73" i="10"/>
  <c r="N73" i="10" s="1"/>
  <c r="L81" i="10"/>
  <c r="N81" i="10" s="1"/>
  <c r="L219" i="10"/>
  <c r="N219" i="10"/>
  <c r="L58" i="10"/>
  <c r="N58" i="10" s="1"/>
  <c r="L133" i="10"/>
  <c r="N133" i="10"/>
  <c r="L8" i="10"/>
  <c r="C234" i="29" s="1"/>
  <c r="D23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205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L113" i="10"/>
  <c r="N113" i="10" s="1"/>
  <c r="L209" i="10"/>
  <c r="L94" i="10"/>
  <c r="N94" i="10" s="1"/>
  <c r="L140" i="10"/>
  <c r="N140" i="10" s="1"/>
  <c r="L139" i="10"/>
  <c r="N139" i="10" s="1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14" i="10"/>
  <c r="N1410" i="10"/>
  <c r="N1392" i="10"/>
  <c r="N1385" i="10"/>
  <c r="N1381" i="10"/>
  <c r="N1289" i="10"/>
  <c r="N1075" i="10"/>
  <c r="N1074" i="10"/>
  <c r="N1004" i="10"/>
  <c r="N1244" i="10"/>
  <c r="L223" i="10"/>
  <c r="N223" i="10" s="1"/>
  <c r="N1440" i="10"/>
  <c r="N985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393" i="10"/>
  <c r="N1404" i="10"/>
  <c r="N1388" i="10"/>
  <c r="N1345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37" i="10"/>
  <c r="N753" i="10"/>
  <c r="N741" i="10"/>
  <c r="N635" i="10"/>
  <c r="N721" i="10"/>
  <c r="L215" i="10"/>
  <c r="N215" i="10" s="1"/>
  <c r="L144" i="10"/>
  <c r="N144" i="10" s="1"/>
  <c r="L147" i="10"/>
  <c r="N147" i="10" s="1"/>
  <c r="P204" i="10"/>
  <c r="L188" i="10"/>
  <c r="N188" i="10" s="1"/>
  <c r="L183" i="10"/>
  <c r="N183" i="10"/>
  <c r="B31" i="54"/>
  <c r="B32" i="54"/>
  <c r="M184" i="10"/>
  <c r="N184" i="10" s="1"/>
  <c r="M191" i="10"/>
  <c r="N191" i="10"/>
  <c r="M235" i="10"/>
  <c r="M237" i="10"/>
  <c r="N237" i="10"/>
  <c r="M128" i="10"/>
  <c r="N128" i="10"/>
  <c r="M1453" i="10"/>
  <c r="M148" i="10"/>
  <c r="M249" i="10"/>
  <c r="N249" i="10"/>
  <c r="M246" i="10"/>
  <c r="N246" i="10"/>
  <c r="M127" i="10"/>
  <c r="N127" i="10"/>
  <c r="M126" i="10"/>
  <c r="M150" i="10"/>
  <c r="N150" i="10" s="1"/>
  <c r="M261" i="10"/>
  <c r="N261" i="10"/>
  <c r="M203" i="10"/>
  <c r="M190" i="10"/>
  <c r="N190" i="10" s="1"/>
  <c r="M232" i="10"/>
  <c r="N232" i="10"/>
  <c r="M151" i="10"/>
  <c r="M149" i="10"/>
  <c r="N149" i="10" s="1"/>
  <c r="M274" i="10"/>
  <c r="N274" i="10" s="1"/>
  <c r="M189" i="10"/>
  <c r="M202" i="10"/>
  <c r="N202" i="10"/>
  <c r="L172" i="29"/>
  <c r="L42" i="39"/>
  <c r="I18" i="11" l="1"/>
  <c r="J18" i="11"/>
  <c r="N676" i="10"/>
  <c r="N1445" i="10"/>
  <c r="N1416" i="10"/>
  <c r="C233" i="29"/>
  <c r="D233" i="29" s="1"/>
  <c r="E233" i="29" s="1"/>
  <c r="N1450" i="10"/>
  <c r="N1069" i="10"/>
  <c r="N1053" i="10"/>
  <c r="N1049" i="10"/>
  <c r="N1045" i="10"/>
  <c r="N973" i="10"/>
  <c r="N967" i="10"/>
  <c r="N891" i="10"/>
  <c r="C242" i="29"/>
  <c r="D242" i="29" s="1"/>
  <c r="E242" i="29" s="1"/>
  <c r="N203" i="10"/>
  <c r="N1374" i="10"/>
  <c r="N1370" i="10"/>
  <c r="N1358" i="10"/>
  <c r="N1312" i="10"/>
  <c r="N791" i="10"/>
  <c r="N1407" i="10"/>
  <c r="N1403" i="10"/>
  <c r="N1368" i="10"/>
  <c r="N1356" i="10"/>
  <c r="N1332" i="10"/>
  <c r="N1264" i="10"/>
  <c r="N1088" i="10"/>
  <c r="N900" i="10"/>
  <c r="J101" i="11"/>
  <c r="N1446" i="10"/>
  <c r="N1447" i="10"/>
  <c r="C232" i="29"/>
  <c r="D232" i="29" s="1"/>
  <c r="F232" i="29" s="1"/>
  <c r="N8" i="10"/>
  <c r="C239" i="29"/>
  <c r="D239" i="29" s="1"/>
  <c r="E239" i="29" s="1"/>
  <c r="N227" i="10"/>
  <c r="N1451" i="10"/>
  <c r="N1427" i="10"/>
  <c r="N1423" i="10"/>
  <c r="N1365" i="10"/>
  <c r="N1323" i="10"/>
  <c r="G44" i="11"/>
  <c r="H44" i="11" s="1"/>
  <c r="K44" i="11" s="1"/>
  <c r="N1432" i="10"/>
  <c r="C228" i="29"/>
  <c r="D228" i="29" s="1"/>
  <c r="E228" i="29" s="1"/>
  <c r="G102" i="11"/>
  <c r="N1453" i="10"/>
  <c r="N1437" i="10"/>
  <c r="N1425" i="10"/>
  <c r="N1266" i="10"/>
  <c r="N1262" i="10"/>
  <c r="C225" i="29"/>
  <c r="D225" i="29" s="1"/>
  <c r="E225" i="29" s="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98" i="11"/>
  <c r="H99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C230" i="29"/>
  <c r="D230" i="29" s="1"/>
  <c r="E230" i="29" s="1"/>
  <c r="C714" i="41"/>
  <c r="D714" i="41" s="1"/>
  <c r="E714" i="41" s="1"/>
  <c r="F714" i="41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102" i="11"/>
  <c r="I102" i="11"/>
  <c r="H102" i="11"/>
  <c r="C72" i="39"/>
  <c r="D72" i="39" s="1"/>
  <c r="E72" i="39" s="1"/>
  <c r="H100" i="11"/>
  <c r="K9" i="60"/>
  <c r="K20" i="60" s="1"/>
  <c r="C8" i="54"/>
  <c r="I8" i="54" s="1"/>
  <c r="C7" i="54"/>
  <c r="I7" i="54" s="1"/>
  <c r="D9" i="60"/>
  <c r="H103" i="11"/>
  <c r="J36" i="39"/>
  <c r="I99" i="11"/>
  <c r="I103" i="11"/>
  <c r="H112" i="11"/>
  <c r="H101" i="11"/>
  <c r="I115" i="11"/>
  <c r="I98" i="11"/>
  <c r="I100" i="11"/>
  <c r="I22" i="11"/>
  <c r="J22" i="11"/>
  <c r="J115" i="11"/>
  <c r="J98" i="11"/>
  <c r="I45" i="11"/>
  <c r="H45" i="11"/>
  <c r="I108" i="11"/>
  <c r="H108" i="11"/>
  <c r="I101" i="11"/>
  <c r="J108" i="11"/>
  <c r="H15" i="11"/>
  <c r="I36" i="39"/>
  <c r="E234" i="29"/>
  <c r="F234" i="29"/>
  <c r="I15" i="11"/>
  <c r="K15" i="29"/>
  <c r="J113" i="11"/>
  <c r="I113" i="11"/>
  <c r="J100" i="11"/>
  <c r="I112" i="11"/>
  <c r="J99" i="11"/>
  <c r="K18" i="11" l="1"/>
  <c r="E232" i="29"/>
  <c r="F242" i="29"/>
  <c r="C65" i="39"/>
  <c r="D65" i="39" s="1"/>
  <c r="E65" i="39" s="1"/>
  <c r="F225" i="29"/>
  <c r="H117" i="11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102" i="11"/>
  <c r="F226" i="29"/>
  <c r="F228" i="29"/>
  <c r="H7" i="54"/>
  <c r="D7" i="54"/>
  <c r="H8" i="54"/>
  <c r="D8" i="54"/>
  <c r="E8" i="54" s="1"/>
  <c r="C9" i="54"/>
  <c r="K103" i="11"/>
  <c r="K36" i="39"/>
  <c r="F230" i="29"/>
  <c r="K99" i="11"/>
  <c r="K112" i="11"/>
  <c r="K101" i="11"/>
  <c r="K100" i="11"/>
  <c r="K115" i="11"/>
  <c r="K98" i="11"/>
  <c r="K22" i="11"/>
  <c r="K45" i="11"/>
  <c r="K108" i="11"/>
  <c r="K113" i="11"/>
  <c r="K15" i="11"/>
  <c r="F238" i="29" l="1"/>
  <c r="F239" i="29"/>
  <c r="I117" i="11"/>
  <c r="I118" i="11" s="1"/>
  <c r="I119" i="11" s="1"/>
  <c r="O10" i="54"/>
  <c r="A11" i="54"/>
  <c r="F323" i="29"/>
  <c r="F233" i="29"/>
  <c r="F319" i="29"/>
  <c r="F314" i="29"/>
  <c r="F291" i="29"/>
  <c r="F347" i="29"/>
  <c r="F296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F335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F36" i="39" s="1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F294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F355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F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59" i="39"/>
  <c r="F280" i="29"/>
  <c r="E280" i="29"/>
  <c r="E274" i="29"/>
  <c r="F274" i="29"/>
  <c r="F333" i="29"/>
  <c r="E333" i="29"/>
  <c r="E358" i="29"/>
  <c r="F358" i="29"/>
  <c r="E339" i="29"/>
  <c r="F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H118" i="11"/>
  <c r="H119" i="11" s="1"/>
  <c r="F313" i="29" l="1"/>
  <c r="F293" i="29"/>
  <c r="F344" i="29"/>
  <c r="F312" i="29"/>
  <c r="F290" i="29"/>
  <c r="F349" i="29"/>
  <c r="J114" i="11"/>
  <c r="K114" i="11" s="1"/>
  <c r="K117" i="11" s="1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J117" i="11" l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H20" i="39"/>
  <c r="J20" i="39"/>
  <c r="J118" i="11"/>
  <c r="J119" i="11" s="1"/>
  <c r="K118" i="11"/>
  <c r="K119" i="11" s="1"/>
  <c r="H30" i="39" l="1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K30" i="39" s="1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J17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F825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F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F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F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E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F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F845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K20" i="39"/>
  <c r="B120" i="11"/>
  <c r="D10" i="59"/>
  <c r="F803" i="41" l="1"/>
  <c r="F783" i="41"/>
  <c r="F728" i="41"/>
  <c r="F834" i="41"/>
  <c r="F802" i="41"/>
  <c r="F729" i="41"/>
  <c r="F718" i="41"/>
  <c r="F780" i="41"/>
  <c r="F839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K31" i="39" l="1"/>
  <c r="C12" i="4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G526" i="41" l="1"/>
  <c r="B15" i="41"/>
  <c r="G77" i="41"/>
  <c r="L564" i="41"/>
  <c r="L561" i="41"/>
  <c r="B408" i="41"/>
  <c r="L41" i="41"/>
  <c r="L652" i="41"/>
  <c r="D578" i="41"/>
  <c r="B247" i="41"/>
  <c r="B144" i="41"/>
  <c r="J144" i="41" s="1"/>
  <c r="L602" i="41"/>
  <c r="G595" i="41"/>
  <c r="B137" i="41"/>
  <c r="D12" i="41"/>
  <c r="G12" i="41"/>
  <c r="L12" i="41"/>
  <c r="G494" i="41"/>
  <c r="G477" i="41"/>
  <c r="D598" i="41"/>
  <c r="B311" i="41"/>
  <c r="I311" i="41" s="1"/>
  <c r="D59" i="41"/>
  <c r="G620" i="41"/>
  <c r="D595" i="41"/>
  <c r="L287" i="41"/>
  <c r="L305" i="41"/>
  <c r="B561" i="41"/>
  <c r="J561" i="41" s="1"/>
  <c r="B379" i="41"/>
  <c r="K379" i="41" s="1"/>
  <c r="L595" i="41"/>
  <c r="L456" i="41"/>
  <c r="D561" i="41"/>
  <c r="G287" i="41"/>
  <c r="L601" i="41"/>
  <c r="L137" i="41"/>
  <c r="B287" i="41"/>
  <c r="H287" i="41" s="1"/>
  <c r="L391" i="41"/>
  <c r="B476" i="41"/>
  <c r="K476" i="41" s="1"/>
  <c r="L157" i="41"/>
  <c r="G338" i="41"/>
  <c r="L705" i="41"/>
  <c r="B74" i="41"/>
  <c r="E74" i="41" s="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K704" i="41" s="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E598" i="41" s="1"/>
  <c r="D305" i="41"/>
  <c r="L56" i="41"/>
  <c r="B108" i="41"/>
  <c r="J108" i="41" s="1"/>
  <c r="B477" i="41"/>
  <c r="J477" i="41" s="1"/>
  <c r="D497" i="41"/>
  <c r="L341" i="41"/>
  <c r="G519" i="41"/>
  <c r="D75" i="41"/>
  <c r="B678" i="41"/>
  <c r="K678" i="41" s="1"/>
  <c r="D251" i="41"/>
  <c r="B111" i="41"/>
  <c r="I111" i="41" s="1"/>
  <c r="G340" i="41"/>
  <c r="L142" i="41"/>
  <c r="L39" i="41"/>
  <c r="B211" i="41"/>
  <c r="H211" i="41" s="1"/>
  <c r="D373" i="41"/>
  <c r="B338" i="41"/>
  <c r="I338" i="41" s="1"/>
  <c r="B370" i="41"/>
  <c r="G117" i="41"/>
  <c r="L59" i="41"/>
  <c r="L696" i="41"/>
  <c r="G476" i="41"/>
  <c r="D556" i="41"/>
  <c r="B55" i="41"/>
  <c r="H55" i="41" s="1"/>
  <c r="L388" i="41"/>
  <c r="B95" i="41"/>
  <c r="G532" i="41"/>
  <c r="D56" i="41"/>
  <c r="D311" i="41"/>
  <c r="L519" i="41"/>
  <c r="D705" i="41"/>
  <c r="B660" i="41"/>
  <c r="J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J705" i="41" s="1"/>
  <c r="G251" i="41"/>
  <c r="D111" i="41"/>
  <c r="L340" i="41"/>
  <c r="B460" i="41"/>
  <c r="K460" i="41" s="1"/>
  <c r="D338" i="41"/>
  <c r="B18" i="4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K201" i="41" s="1"/>
  <c r="G676" i="41"/>
  <c r="B534" i="41"/>
  <c r="E534" i="41" s="1"/>
  <c r="B41" i="41"/>
  <c r="J41" i="41" s="1"/>
  <c r="B62" i="41"/>
  <c r="L173" i="41"/>
  <c r="B564" i="41"/>
  <c r="K564" i="41" s="1"/>
  <c r="B471" i="41"/>
  <c r="H471" i="41" s="1"/>
  <c r="G254" i="41"/>
  <c r="B271" i="41"/>
  <c r="I271" i="41" s="1"/>
  <c r="G60" i="41"/>
  <c r="B106" i="41"/>
  <c r="I106" i="41" s="1"/>
  <c r="L486" i="41"/>
  <c r="D247" i="41"/>
  <c r="G496" i="41"/>
  <c r="B371" i="41"/>
  <c r="K371" i="41" s="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E494" i="41" s="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K496" i="41" s="1"/>
  <c r="G482" i="41"/>
  <c r="D408" i="41"/>
  <c r="G198" i="41"/>
  <c r="D652" i="41"/>
  <c r="D15" i="41"/>
  <c r="D320" i="41"/>
  <c r="G230" i="41"/>
  <c r="G578" i="41"/>
  <c r="L77" i="41"/>
  <c r="B602" i="41"/>
  <c r="J602" i="41" s="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I531" i="41" s="1"/>
  <c r="D130" i="41"/>
  <c r="B546" i="41"/>
  <c r="K546" i="41" s="1"/>
  <c r="B127" i="41"/>
  <c r="K127" i="41" s="1"/>
  <c r="B664" i="41"/>
  <c r="K664" i="41" s="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H53" i="41" s="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I107" i="41" s="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H693" i="41" s="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I541" i="41" s="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E513" i="41" s="1"/>
  <c r="B706" i="41"/>
  <c r="J706" i="41" s="1"/>
  <c r="L503" i="41"/>
  <c r="B169" i="41"/>
  <c r="E169" i="41" s="1"/>
  <c r="B459" i="41"/>
  <c r="J459" i="41" s="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J208" i="41" s="1"/>
  <c r="B231" i="41"/>
  <c r="I231" i="41" s="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H384" i="41" s="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I142" i="41" s="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J401" i="41" s="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I362" i="41" s="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J672" i="41" s="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J260" i="41" s="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H339" i="41"/>
  <c r="E104" i="41"/>
  <c r="I104" i="41"/>
  <c r="K104" i="41"/>
  <c r="H104" i="41"/>
  <c r="J104" i="41"/>
  <c r="E147" i="41"/>
  <c r="K147" i="41"/>
  <c r="I147" i="41"/>
  <c r="J147" i="41"/>
  <c r="H147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J101" i="41"/>
  <c r="I101" i="41"/>
  <c r="H101" i="41"/>
  <c r="K101" i="41"/>
  <c r="E101" i="41"/>
  <c r="E60" i="41"/>
  <c r="E391" i="41"/>
  <c r="H391" i="41"/>
  <c r="J391" i="41"/>
  <c r="I391" i="41"/>
  <c r="K391" i="41"/>
  <c r="E247" i="41"/>
  <c r="K247" i="41"/>
  <c r="J247" i="41"/>
  <c r="I247" i="41"/>
  <c r="H247" i="41"/>
  <c r="E53" i="41"/>
  <c r="H71" i="41"/>
  <c r="I71" i="41"/>
  <c r="J71" i="41"/>
  <c r="E71" i="41"/>
  <c r="K408" i="41"/>
  <c r="J408" i="41"/>
  <c r="E408" i="41"/>
  <c r="I408" i="41"/>
  <c r="H408" i="41"/>
  <c r="K473" i="41"/>
  <c r="H473" i="41"/>
  <c r="E473" i="41"/>
  <c r="I473" i="41"/>
  <c r="J473" i="41"/>
  <c r="E78" i="41"/>
  <c r="I78" i="41"/>
  <c r="J78" i="41"/>
  <c r="H78" i="41"/>
  <c r="K78" i="41"/>
  <c r="K19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J217" i="41"/>
  <c r="I556" i="41"/>
  <c r="J556" i="41"/>
  <c r="E556" i="41"/>
  <c r="H556" i="41"/>
  <c r="K556" i="41"/>
  <c r="I79" i="41"/>
  <c r="K389" i="41"/>
  <c r="I389" i="41"/>
  <c r="J389" i="41"/>
  <c r="H389" i="41"/>
  <c r="E389" i="41"/>
  <c r="I76" i="41"/>
  <c r="J76" i="41"/>
  <c r="H76" i="41"/>
  <c r="E76" i="41"/>
  <c r="K76" i="41"/>
  <c r="J661" i="41"/>
  <c r="H661" i="41"/>
  <c r="E661" i="41"/>
  <c r="K661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J516" i="41"/>
  <c r="I516" i="41"/>
  <c r="K516" i="41"/>
  <c r="E516" i="41"/>
  <c r="H51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I137" i="41"/>
  <c r="K137" i="41"/>
  <c r="J137" i="41"/>
  <c r="E137" i="41"/>
  <c r="H137" i="41"/>
  <c r="E93" i="41"/>
  <c r="H93" i="41"/>
  <c r="J93" i="41"/>
  <c r="H415" i="41"/>
  <c r="J415" i="41"/>
  <c r="K415" i="41"/>
  <c r="E415" i="41"/>
  <c r="I415" i="41"/>
  <c r="J578" i="41"/>
  <c r="H578" i="41"/>
  <c r="I578" i="41"/>
  <c r="K578" i="41"/>
  <c r="E578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E62" i="41"/>
  <c r="J62" i="41"/>
  <c r="E710" i="41"/>
  <c r="J710" i="41"/>
  <c r="I710" i="41"/>
  <c r="H710" i="41"/>
  <c r="K71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E373" i="41"/>
  <c r="I373" i="41"/>
  <c r="J373" i="41"/>
  <c r="K373" i="41"/>
  <c r="H373" i="41"/>
  <c r="J398" i="41"/>
  <c r="E398" i="41"/>
  <c r="I398" i="41"/>
  <c r="H398" i="41"/>
  <c r="K398" i="41"/>
  <c r="K25" i="41"/>
  <c r="E25" i="41"/>
  <c r="J25" i="41"/>
  <c r="I25" i="41"/>
  <c r="H25" i="41"/>
  <c r="E412" i="41"/>
  <c r="H412" i="41"/>
  <c r="K412" i="41"/>
  <c r="J412" i="41"/>
  <c r="I412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E584" i="41"/>
  <c r="I584" i="41"/>
  <c r="K584" i="41"/>
  <c r="J584" i="41"/>
  <c r="H584" i="41"/>
  <c r="H99" i="41"/>
  <c r="E99" i="41"/>
  <c r="K99" i="41"/>
  <c r="I99" i="41"/>
  <c r="J99" i="41"/>
  <c r="J579" i="41"/>
  <c r="H246" i="41"/>
  <c r="K246" i="41"/>
  <c r="J246" i="41"/>
  <c r="E246" i="41"/>
  <c r="I246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I678" i="41"/>
  <c r="J340" i="41"/>
  <c r="K340" i="41"/>
  <c r="I340" i="41"/>
  <c r="H340" i="41"/>
  <c r="E340" i="41"/>
  <c r="I120" i="41"/>
  <c r="K120" i="41"/>
  <c r="E120" i="41"/>
  <c r="J120" i="41"/>
  <c r="H120" i="41"/>
  <c r="E486" i="41"/>
  <c r="K486" i="41"/>
  <c r="J486" i="41"/>
  <c r="H486" i="41"/>
  <c r="I486" i="41"/>
  <c r="K74" i="41"/>
  <c r="E697" i="41"/>
  <c r="H697" i="41"/>
  <c r="I697" i="41"/>
  <c r="J697" i="41"/>
  <c r="K697" i="41"/>
  <c r="J338" i="41"/>
  <c r="J599" i="41"/>
  <c r="E599" i="41"/>
  <c r="I599" i="41"/>
  <c r="H599" i="41"/>
  <c r="K599" i="41"/>
  <c r="I370" i="41"/>
  <c r="J370" i="41"/>
  <c r="E370" i="41"/>
  <c r="H370" i="41"/>
  <c r="K370" i="41"/>
  <c r="E162" i="41"/>
  <c r="K162" i="41"/>
  <c r="H162" i="41"/>
  <c r="J162" i="41"/>
  <c r="I162" i="41"/>
  <c r="I393" i="41"/>
  <c r="E393" i="41"/>
  <c r="H393" i="41"/>
  <c r="K393" i="41"/>
  <c r="J393" i="41"/>
  <c r="K18" i="41"/>
  <c r="H18" i="41"/>
  <c r="I18" i="41"/>
  <c r="E18" i="41"/>
  <c r="J18" i="41"/>
  <c r="I686" i="41"/>
  <c r="K686" i="41"/>
  <c r="E686" i="41"/>
  <c r="J686" i="41"/>
  <c r="H686" i="41"/>
  <c r="H24" i="41"/>
  <c r="I24" i="41"/>
  <c r="J24" i="41"/>
  <c r="E24" i="41"/>
  <c r="K24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H345" i="41"/>
  <c r="J345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H476" i="41"/>
  <c r="I505" i="41"/>
  <c r="J505" i="41"/>
  <c r="K505" i="41"/>
  <c r="E505" i="41"/>
  <c r="H505" i="41"/>
  <c r="I530" i="41"/>
  <c r="K530" i="41"/>
  <c r="J530" i="41"/>
  <c r="H530" i="41"/>
  <c r="E530" i="41"/>
  <c r="K366" i="41"/>
  <c r="I296" i="41"/>
  <c r="K296" i="41"/>
  <c r="H296" i="41"/>
  <c r="E296" i="41"/>
  <c r="J296" i="41"/>
  <c r="J704" i="41"/>
  <c r="H515" i="41"/>
  <c r="J515" i="41"/>
  <c r="E515" i="41"/>
  <c r="K515" i="41"/>
  <c r="I515" i="41"/>
  <c r="K487" i="41"/>
  <c r="J487" i="41"/>
  <c r="I487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E95" i="41"/>
  <c r="K95" i="41"/>
  <c r="J95" i="41"/>
  <c r="H95" i="41"/>
  <c r="I95" i="41"/>
  <c r="H165" i="41"/>
  <c r="K165" i="41"/>
  <c r="J165" i="41"/>
  <c r="I165" i="41"/>
  <c r="E165" i="41"/>
  <c r="E580" i="41"/>
  <c r="H580" i="41"/>
  <c r="K580" i="41"/>
  <c r="J580" i="41"/>
  <c r="I58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H597" i="41"/>
  <c r="E597" i="41"/>
  <c r="K597" i="41"/>
  <c r="I597" i="41"/>
  <c r="J597" i="41"/>
  <c r="I64" i="41"/>
  <c r="K64" i="41"/>
  <c r="E64" i="41"/>
  <c r="J64" i="41"/>
  <c r="H6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I206" i="41"/>
  <c r="H206" i="41"/>
  <c r="J206" i="41"/>
  <c r="K206" i="41"/>
  <c r="E206" i="41"/>
  <c r="K595" i="41"/>
  <c r="J595" i="41"/>
  <c r="H595" i="41"/>
  <c r="I595" i="41"/>
  <c r="E595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J172" i="41"/>
  <c r="K172" i="41"/>
  <c r="E172" i="41"/>
  <c r="I172" i="41"/>
  <c r="H172" i="41"/>
  <c r="J177" i="41"/>
  <c r="K177" i="41"/>
  <c r="I177" i="41"/>
  <c r="H177" i="41"/>
  <c r="E177" i="41"/>
  <c r="I664" i="41"/>
  <c r="J664" i="41"/>
  <c r="H664" i="41"/>
  <c r="K587" i="41"/>
  <c r="H587" i="41"/>
  <c r="E587" i="41"/>
  <c r="I587" i="41"/>
  <c r="J587" i="41"/>
  <c r="J301" i="41"/>
  <c r="E301" i="41"/>
  <c r="I301" i="41"/>
  <c r="K301" i="41"/>
  <c r="H301" i="41"/>
  <c r="K136" i="41"/>
  <c r="J136" i="41"/>
  <c r="I136" i="41"/>
  <c r="E136" i="41"/>
  <c r="H136" i="41"/>
  <c r="J288" i="41"/>
  <c r="K288" i="41"/>
  <c r="E288" i="41"/>
  <c r="H288" i="41"/>
  <c r="I288" i="41"/>
  <c r="I568" i="41"/>
  <c r="J568" i="41"/>
  <c r="E568" i="41"/>
  <c r="H568" i="41"/>
  <c r="K568" i="41"/>
  <c r="K602" i="41"/>
  <c r="H602" i="41"/>
  <c r="I602" i="41"/>
  <c r="E602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E107" i="41" l="1"/>
  <c r="E678" i="41"/>
  <c r="E311" i="41"/>
  <c r="E664" i="41"/>
  <c r="H91" i="41"/>
  <c r="K204" i="41"/>
  <c r="H241" i="41"/>
  <c r="E531" i="41"/>
  <c r="K420" i="41"/>
  <c r="E547" i="41"/>
  <c r="H541" i="41"/>
  <c r="K531" i="41"/>
  <c r="I420" i="41"/>
  <c r="H314" i="41"/>
  <c r="I366" i="41"/>
  <c r="E91" i="41"/>
  <c r="J547" i="41"/>
  <c r="E520" i="41"/>
  <c r="H153" i="41"/>
  <c r="E184" i="41"/>
  <c r="H251" i="41"/>
  <c r="E144" i="41"/>
  <c r="I348" i="41"/>
  <c r="J127" i="41"/>
  <c r="I484" i="41"/>
  <c r="K477" i="41"/>
  <c r="J598" i="41"/>
  <c r="J91" i="41"/>
  <c r="J420" i="41"/>
  <c r="E366" i="41"/>
  <c r="E241" i="41"/>
  <c r="E96" i="41"/>
  <c r="E79" i="41"/>
  <c r="I91" i="41"/>
  <c r="E420" i="41"/>
  <c r="E679" i="41"/>
  <c r="E487" i="41"/>
  <c r="I151" i="41"/>
  <c r="I345" i="41"/>
  <c r="K547" i="41"/>
  <c r="K520" i="41"/>
  <c r="K93" i="41"/>
  <c r="I354" i="41"/>
  <c r="H79" i="41"/>
  <c r="I198" i="41"/>
  <c r="K60" i="41"/>
  <c r="I548" i="41"/>
  <c r="J201" i="41"/>
  <c r="K561" i="41"/>
  <c r="K144" i="41"/>
  <c r="E287" i="41"/>
  <c r="E704" i="41"/>
  <c r="I704" i="41"/>
  <c r="I476" i="41"/>
  <c r="K338" i="41"/>
  <c r="I74" i="41"/>
  <c r="H678" i="41"/>
  <c r="H311" i="41"/>
  <c r="E476" i="41"/>
  <c r="I31" i="41"/>
  <c r="H704" i="41"/>
  <c r="J476" i="41"/>
  <c r="E338" i="41"/>
  <c r="H74" i="41"/>
  <c r="J74" i="41"/>
  <c r="J678" i="41"/>
  <c r="K311" i="41"/>
  <c r="I196" i="41"/>
  <c r="K493" i="41"/>
  <c r="H563" i="41"/>
  <c r="H338" i="41"/>
  <c r="J311" i="41"/>
  <c r="I92" i="41"/>
  <c r="K411" i="41"/>
  <c r="I144" i="41"/>
  <c r="K92" i="41"/>
  <c r="J287" i="41"/>
  <c r="E561" i="41"/>
  <c r="J211" i="41"/>
  <c r="E108" i="41"/>
  <c r="H144" i="41"/>
  <c r="I679" i="41"/>
  <c r="E204" i="41"/>
  <c r="J184" i="41"/>
  <c r="E171" i="41"/>
  <c r="I156" i="41"/>
  <c r="H204" i="41"/>
  <c r="I314" i="41"/>
  <c r="E257" i="41"/>
  <c r="H441" i="41"/>
  <c r="K708" i="41"/>
  <c r="E555" i="41"/>
  <c r="H171" i="41"/>
  <c r="J60" i="41"/>
  <c r="I526" i="41"/>
  <c r="E460" i="41"/>
  <c r="K705" i="41"/>
  <c r="H660" i="41"/>
  <c r="I379" i="41"/>
  <c r="J460" i="41"/>
  <c r="E477" i="41"/>
  <c r="H92" i="41"/>
  <c r="H411" i="41"/>
  <c r="I287" i="41"/>
  <c r="H561" i="41"/>
  <c r="E295" i="41"/>
  <c r="K287" i="41"/>
  <c r="I561" i="41"/>
  <c r="J443" i="41"/>
  <c r="H425" i="41"/>
  <c r="I631" i="41"/>
  <c r="J283" i="41"/>
  <c r="K275" i="41"/>
  <c r="E497" i="41"/>
  <c r="H148" i="41"/>
  <c r="H89" i="41"/>
  <c r="H267" i="41"/>
  <c r="K195" i="41"/>
  <c r="E560" i="41"/>
  <c r="E310" i="41"/>
  <c r="I422" i="41"/>
  <c r="J550" i="41"/>
  <c r="E55" i="41"/>
  <c r="I375" i="41"/>
  <c r="H614" i="41"/>
  <c r="I562" i="41"/>
  <c r="I705" i="41"/>
  <c r="K94" i="41"/>
  <c r="H274" i="41"/>
  <c r="K562" i="41"/>
  <c r="J526" i="41"/>
  <c r="K218" i="41"/>
  <c r="H460" i="41"/>
  <c r="H705" i="41"/>
  <c r="K598" i="41"/>
  <c r="J534" i="41"/>
  <c r="H353" i="41"/>
  <c r="E458" i="41"/>
  <c r="I396" i="41"/>
  <c r="E641" i="41"/>
  <c r="K283" i="41"/>
  <c r="I546" i="41"/>
  <c r="H526" i="41"/>
  <c r="J92" i="41"/>
  <c r="J411" i="41"/>
  <c r="E660" i="41"/>
  <c r="I460" i="41"/>
  <c r="J379" i="41"/>
  <c r="E379" i="41"/>
  <c r="E705" i="41"/>
  <c r="I477" i="41"/>
  <c r="H598" i="41"/>
  <c r="I598" i="41"/>
  <c r="J111" i="41"/>
  <c r="H422" i="41"/>
  <c r="I660" i="41"/>
  <c r="H379" i="41"/>
  <c r="H477" i="41"/>
  <c r="J251" i="41"/>
  <c r="I55" i="41"/>
  <c r="I149" i="41"/>
  <c r="H404" i="41"/>
  <c r="J286" i="41"/>
  <c r="E283" i="41"/>
  <c r="E546" i="41"/>
  <c r="K526" i="41"/>
  <c r="K660" i="41"/>
  <c r="H192" i="41"/>
  <c r="K251" i="41"/>
  <c r="J422" i="41"/>
  <c r="J655" i="41"/>
  <c r="K375" i="41"/>
  <c r="I37" i="41"/>
  <c r="K614" i="41"/>
  <c r="K414" i="41"/>
  <c r="K669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<sst xmlns="http://schemas.openxmlformats.org/spreadsheetml/2006/main" count="4821" uniqueCount="1645">
  <si>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</si>
  <si>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</si>
  <si>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</si>
  <si>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</si>
  <si>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</si>
  <si>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</si>
  <si>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</si>
  <si>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</si>
  <si>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</si>
  <si>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</si>
  <si>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</si>
  <si>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</si>
  <si>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</si>
  <si>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</si>
  <si>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</si>
  <si>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</si>
  <si>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</si>
  <si>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</si>
  <si>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</si>
  <si>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</si>
  <si>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</si>
  <si>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</si>
  <si>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</si>
  <si>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</si>
  <si>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</si>
  <si>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</si>
  <si>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</si>
  <si>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</si>
  <si>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</si>
  <si>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</si>
  <si>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</si>
  <si>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</si>
  <si>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</si>
  <si>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</si>
  <si>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</si>
  <si>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</si>
  <si>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</si>
  <si>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</si>
  <si>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</si>
  <si>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</si>
  <si>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</si>
  <si>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</si>
  <si>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</si>
  <si>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</si>
  <si>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</si>
  <si>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</si>
  <si>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</si>
  <si>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</si>
  <si>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</si>
  <si>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</si>
  <si>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</si>
  <si>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</si>
  <si>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</si>
  <si>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</si>
  <si>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</si>
  <si>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</si>
  <si>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</si>
  <si>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</si>
  <si>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</si>
  <si>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</si>
  <si>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</si>
  <si>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</si>
  <si>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</si>
  <si>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</si>
  <si>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</si>
  <si>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</si>
  <si>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</si>
  <si>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</si>
  <si>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</si>
  <si>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</si>
  <si>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</si>
  <si>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</si>
  <si>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</si>
  <si>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</si>
  <si>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</si>
  <si>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</si>
  <si>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</si>
  <si>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</si>
  <si>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</si>
  <si>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</si>
  <si>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</si>
  <si>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</si>
  <si>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</si>
  <si>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</si>
  <si>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</si>
  <si>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</si>
  <si>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</si>
  <si>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</si>
  <si>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</si>
  <si>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</si>
  <si>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</si>
  <si>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</si>
  <si>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</si>
  <si>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</si>
  <si>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</si>
  <si>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</si>
  <si>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</si>
  <si>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</si>
  <si>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</si>
  <si>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</si>
  <si>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</si>
  <si>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</si>
  <si>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</si>
  <si>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</si>
  <si>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</si>
  <si>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</si>
  <si>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</si>
  <si>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</si>
  <si>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</si>
  <si>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</si>
  <si>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</si>
  <si>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</si>
  <si>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</si>
  <si>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</si>
  <si>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</si>
  <si>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</si>
  <si>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</si>
  <si>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</si>
  <si>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</si>
  <si>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</si>
  <si>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</si>
  <si>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</si>
  <si>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</si>
  <si>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</si>
  <si>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</si>
  <si>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</si>
  <si>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</si>
  <si>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</si>
  <si>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</si>
  <si>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</si>
  <si>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</si>
  <si>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</si>
  <si>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</si>
  <si>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</si>
  <si>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</si>
  <si>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</si>
  <si>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</si>
  <si>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</si>
  <si>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</si>
  <si>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</si>
  <si>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</si>
  <si>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</si>
  <si>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</si>
  <si>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</si>
  <si>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</si>
  <si>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</si>
  <si>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</si>
  <si>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</si>
  <si>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</si>
  <si>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</si>
  <si>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</si>
  <si>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</si>
  <si>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</si>
  <si>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</si>
  <si>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</si>
  <si>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</si>
  <si>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</si>
  <si>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</si>
  <si>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</si>
  <si>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</si>
  <si>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</si>
  <si>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</si>
  <si>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</si>
  <si>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</si>
  <si>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</si>
  <si>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</si>
  <si>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</si>
  <si>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</si>
  <si>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</si>
  <si>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</si>
  <si>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</si>
  <si>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</si>
  <si>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</si>
  <si>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</si>
  <si>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</si>
  <si>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</si>
  <si>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</si>
  <si>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</si>
  <si>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</si>
  <si>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</si>
  <si>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</si>
  <si>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</si>
  <si>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</si>
  <si>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</si>
  <si>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</si>
  <si>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</si>
  <si>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</si>
  <si>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</si>
  <si>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</si>
  <si>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</si>
  <si>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</si>
  <si>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</si>
  <si>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</si>
  <si>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</si>
  <si>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</si>
  <si>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</si>
  <si>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</si>
  <si>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</si>
  <si>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</si>
  <si>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</si>
  <si>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</si>
  <si>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</si>
  <si>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</si>
  <si>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</si>
  <si>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</si>
  <si>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</si>
  <si>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</si>
  <si>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</si>
  <si>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</si>
  <si>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</si>
  <si>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</si>
  <si>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</si>
  <si>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</si>
  <si>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</si>
  <si>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</si>
  <si>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</si>
  <si>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</si>
  <si>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</si>
  <si>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</si>
  <si>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</si>
  <si>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</si>
  <si>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</si>
  <si>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</si>
  <si>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</si>
  <si>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</si>
  <si>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</si>
  <si>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</si>
  <si>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</si>
  <si>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</si>
  <si>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</si>
  <si>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</si>
  <si>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</si>
  <si>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</si>
  <si>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</si>
  <si>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</si>
  <si>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</si>
  <si>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</si>
  <si>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</si>
  <si>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</si>
  <si>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</si>
  <si>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</si>
  <si>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</si>
  <si>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</si>
  <si>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</si>
  <si>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</si>
  <si>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</si>
  <si>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</si>
  <si>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</si>
  <si>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</si>
  <si>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</si>
  <si>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</si>
  <si>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</si>
  <si>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</si>
  <si>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</si>
  <si>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</si>
  <si>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</si>
  <si>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</si>
  <si>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</si>
  <si>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</si>
  <si>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</si>
  <si>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</si>
  <si>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</si>
  <si>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</si>
  <si>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</si>
  <si>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</si>
  <si>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</si>
  <si>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</si>
  <si>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</si>
  <si>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</si>
  <si>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</si>
  <si>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</si>
  <si>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</si>
  <si>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</si>
  <si>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</si>
  <si>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</si>
  <si>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</si>
  <si>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</si>
  <si>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</si>
  <si>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</si>
  <si>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</si>
  <si>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</si>
  <si>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</si>
  <si>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</si>
  <si>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</si>
  <si>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</si>
  <si>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</si>
  <si>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</si>
  <si>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</si>
  <si>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</si>
  <si>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</si>
  <si>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</si>
  <si>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</si>
  <si>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</si>
  <si>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</si>
  <si>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</si>
  <si>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</si>
  <si>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</si>
  <si>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</si>
  <si>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</si>
  <si>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</si>
  <si>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</si>
  <si>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</si>
  <si>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</si>
  <si>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</si>
  <si>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</si>
  <si>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</si>
  <si>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</si>
  <si>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</si>
  <si>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</si>
  <si>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</si>
  <si>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</si>
  <si>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</si>
  <si>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</si>
  <si>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</si>
  <si>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</si>
  <si>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</si>
  <si>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</si>
  <si>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</si>
  <si>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</si>
  <si>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</si>
  <si>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</si>
  <si>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</si>
  <si>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</si>
  <si>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</si>
  <si>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</si>
  <si>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</si>
  <si>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</si>
  <si>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</si>
  <si>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</si>
  <si>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</si>
  <si>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</si>
  <si>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</si>
  <si>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</si>
  <si>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</si>
  <si>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</si>
  <si>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</si>
  <si>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</si>
  <si>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</si>
  <si>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</si>
  <si>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</si>
  <si>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</si>
  <si>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</si>
  <si>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</si>
  <si>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</si>
  <si>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</si>
  <si>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</si>
  <si>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</si>
  <si>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</si>
  <si>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</si>
  <si>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</si>
  <si>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</si>
  <si>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</si>
  <si>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</si>
  <si>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</si>
  <si>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</si>
  <si>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</si>
  <si>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</si>
  <si>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</si>
  <si>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</si>
  <si>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</si>
  <si>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</si>
  <si>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</si>
  <si>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</si>
  <si>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</si>
  <si>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</si>
  <si>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</si>
  <si>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</si>
  <si>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</si>
  <si>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</si>
  <si>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</si>
  <si>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</si>
  <si>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</si>
  <si>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</si>
  <si>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</si>
  <si>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</si>
  <si>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</si>
  <si>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</si>
  <si>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</si>
  <si>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</si>
  <si>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</si>
  <si>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</si>
  <si>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</si>
  <si>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</si>
  <si>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</si>
  <si>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</si>
  <si>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</si>
  <si>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</si>
  <si>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</si>
  <si>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</si>
  <si>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</si>
  <si>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</si>
  <si>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</si>
  <si>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</si>
  <si>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</si>
  <si>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</si>
  <si>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</si>
  <si>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</si>
  <si>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</si>
  <si>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</si>
  <si>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</si>
  <si>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</si>
  <si>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</si>
  <si>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</si>
  <si>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</si>
  <si>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</si>
  <si>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</si>
  <si>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</si>
  <si>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</si>
  <si>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</si>
  <si>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</si>
  <si>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</si>
  <si>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</si>
  <si>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</si>
  <si>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</si>
  <si>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</si>
  <si>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</si>
  <si>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</si>
  <si>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</si>
  <si>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</si>
  <si>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</si>
  <si>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</si>
  <si>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</si>
  <si>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</si>
  <si>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</si>
  <si>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</si>
  <si>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</si>
  <si>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</si>
  <si>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</si>
  <si>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</si>
  <si>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</si>
  <si>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</si>
  <si>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</si>
  <si>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</si>
  <si>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</si>
  <si>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</si>
  <si>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</si>
  <si>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</si>
  <si>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</si>
  <si>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</si>
  <si>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</si>
  <si>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</si>
  <si>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</si>
  <si>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</si>
  <si>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</si>
  <si>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</si>
  <si>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</si>
  <si>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</si>
  <si>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</si>
  <si>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</si>
  <si>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</si>
  <si>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</si>
  <si>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</si>
  <si>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</si>
  <si>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</si>
  <si>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</si>
  <si>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</si>
  <si>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</si>
  <si>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</si>
  <si>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</si>
  <si>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</si>
  <si>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</si>
  <si>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</si>
  <si>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</si>
  <si>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</si>
  <si>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</si>
  <si>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</si>
  <si>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</si>
  <si>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</si>
  <si>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</si>
  <si>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</si>
  <si>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</si>
  <si>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</si>
  <si>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</si>
  <si>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</si>
  <si>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</si>
  <si>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</si>
  <si>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</si>
  <si>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</si>
  <si>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</si>
  <si>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</si>
  <si>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</si>
  <si>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</si>
  <si>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</si>
  <si>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</si>
  <si>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</si>
  <si>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</si>
  <si>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</si>
  <si>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</si>
  <si>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</si>
  <si>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</si>
  <si>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</si>
  <si>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</si>
  <si>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</si>
  <si>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</si>
  <si>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</si>
  <si>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</si>
  <si>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</si>
  <si>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</si>
  <si>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</si>
  <si>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</si>
  <si>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</si>
  <si>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</si>
  <si>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</si>
  <si>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</si>
  <si>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</si>
  <si>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</si>
  <si>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</si>
  <si>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</si>
  <si>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</si>
  <si>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</si>
  <si>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</si>
  <si>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</si>
  <si>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</si>
  <si>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</si>
  <si>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</si>
  <si>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</si>
  <si>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</si>
  <si>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</si>
  <si>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</si>
  <si>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</si>
  <si>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</si>
  <si>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</si>
  <si>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</si>
  <si>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</si>
  <si>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</si>
  <si>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</si>
  <si>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</si>
  <si>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</si>
  <si>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</si>
  <si>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</si>
  <si>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</si>
  <si>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</si>
  <si>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</si>
  <si>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</si>
  <si>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</si>
  <si>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</si>
  <si>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</si>
  <si>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</si>
  <si>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</si>
  <si>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</si>
  <si>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</si>
  <si>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</si>
  <si>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</si>
  <si>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</si>
  <si>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</si>
  <si>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</si>
  <si>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</si>
  <si>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</si>
  <si>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</si>
  <si>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</si>
  <si>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</si>
  <si>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</si>
  <si>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</si>
  <si>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</si>
  <si>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</si>
  <si>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</si>
  <si>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</si>
  <si>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</si>
  <si>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</si>
  <si>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</si>
  <si>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</si>
  <si>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</si>
  <si>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</si>
  <si>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</si>
  <si>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</si>
  <si>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</si>
  <si>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</si>
  <si>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</si>
  <si>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</si>
  <si>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</si>
  <si>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</si>
  <si>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</si>
  <si>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</si>
  <si>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</si>
  <si>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</si>
  <si>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</si>
  <si>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</si>
  <si>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</si>
  <si>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</si>
  <si>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</si>
  <si>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</si>
  <si>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</si>
  <si>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</si>
  <si>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</si>
  <si>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</si>
  <si>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</si>
  <si>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</si>
  <si>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</si>
  <si>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</si>
  <si>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</si>
  <si>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</si>
  <si>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</si>
  <si>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</si>
  <si>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</si>
  <si>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</si>
  <si>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</si>
  <si>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</si>
  <si>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</si>
  <si>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</si>
  <si>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</si>
  <si>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</si>
  <si>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</si>
  <si>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</si>
  <si>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</si>
  <si>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</si>
  <si>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</si>
  <si>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</si>
  <si>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</si>
  <si>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</si>
  <si>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</si>
  <si>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</si>
  <si>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</si>
  <si>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</si>
  <si>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</si>
  <si>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</si>
  <si>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</si>
  <si>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</si>
  <si>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</si>
  <si>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</si>
  <si>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</si>
  <si>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</si>
  <si>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</si>
  <si>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</si>
  <si>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</si>
  <si>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</si>
  <si>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</si>
  <si>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</si>
  <si>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</si>
  <si>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</si>
  <si>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</si>
  <si>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</si>
  <si>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</si>
  <si>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</si>
  <si>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</si>
  <si>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</si>
  <si>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</si>
  <si>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</si>
  <si>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</si>
  <si>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</si>
  <si>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</si>
  <si>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</si>
  <si>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</si>
  <si>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</si>
  <si>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</si>
  <si>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</si>
  <si>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</si>
  <si>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</si>
  <si>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</si>
  <si>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</si>
  <si>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</si>
  <si>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</si>
  <si>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</si>
  <si>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</si>
  <si>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</si>
  <si>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</si>
  <si>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</si>
  <si>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</si>
  <si>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</si>
  <si>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</si>
  <si>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</si>
  <si>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</si>
  <si>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</si>
  <si>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</si>
  <si>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</si>
  <si>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</si>
  <si>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</si>
  <si>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</si>
  <si>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</si>
  <si>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</si>
  <si>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</si>
  <si>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</si>
  <si>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</si>
  <si>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</si>
  <si>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</si>
  <si>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</si>
  <si>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</si>
  <si>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</si>
  <si>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</si>
  <si>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</si>
  <si>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</si>
  <si>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</si>
  <si>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</si>
  <si>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</si>
  <si>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</si>
  <si>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</si>
  <si>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</si>
  <si>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</si>
  <si>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</si>
  <si>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</si>
  <si>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</si>
  <si>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</si>
  <si>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</si>
  <si>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</si>
  <si>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</si>
  <si>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</si>
  <si>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</si>
  <si>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</si>
  <si>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</si>
  <si>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</si>
  <si>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</si>
  <si>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</si>
  <si>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</si>
  <si>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</si>
  <si>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</si>
  <si>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</si>
  <si>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</si>
  <si>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</si>
  <si>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</si>
  <si>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</si>
  <si>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</si>
  <si>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</si>
  <si>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</si>
  <si>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</si>
  <si>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</si>
  <si>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</si>
  <si>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</si>
  <si>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</si>
  <si>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</si>
  <si>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</si>
  <si>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</si>
  <si>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</si>
  <si>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</si>
  <si>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</si>
  <si>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</si>
  <si>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</si>
  <si>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</si>
  <si>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</si>
  <si>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</si>
  <si>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</si>
  <si>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</si>
  <si>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</si>
  <si>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</si>
  <si>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</si>
  <si>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</si>
  <si>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</si>
  <si>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</si>
  <si>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</si>
  <si>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</si>
  <si>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</si>
  <si>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</si>
  <si>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</si>
  <si>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</si>
  <si>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</si>
  <si>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</si>
  <si>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</si>
  <si>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</si>
  <si>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</si>
  <si>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</si>
  <si>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</si>
  <si>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</si>
  <si>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</si>
  <si>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</si>
  <si>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</si>
  <si>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</si>
  <si>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</si>
  <si>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</si>
  <si>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</si>
  <si>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</si>
  <si>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</si>
  <si>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</si>
  <si>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</si>
  <si>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</si>
  <si>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</si>
  <si>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</si>
  <si>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</si>
  <si>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</si>
  <si>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</si>
  <si>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</si>
  <si>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</si>
  <si>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</si>
  <si>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</si>
  <si>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</si>
  <si>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</si>
  <si>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</si>
  <si>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</si>
  <si>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</si>
  <si>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</si>
  <si>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</si>
  <si>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</si>
  <si>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</si>
  <si>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</si>
  <si>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</si>
  <si>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</si>
  <si>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</si>
  <si>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</si>
  <si>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</si>
  <si>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</si>
  <si>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</si>
  <si>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</si>
  <si>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</si>
  <si>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</si>
  <si>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</si>
  <si>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</si>
  <si>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</si>
  <si>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</si>
  <si>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</si>
  <si>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</si>
  <si>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</si>
  <si>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</si>
  <si>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</si>
  <si>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</si>
  <si>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</si>
  <si>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</si>
  <si>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</si>
  <si>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</si>
  <si>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</si>
  <si>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</si>
  <si>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</si>
  <si>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</si>
  <si>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</si>
  <si>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</si>
  <si>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</si>
  <si>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</si>
  <si>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</si>
  <si>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</si>
  <si>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</si>
  <si>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</si>
  <si>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</si>
  <si>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</si>
  <si>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</si>
  <si>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</si>
  <si>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</si>
  <si>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</si>
  <si>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</si>
  <si>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</si>
  <si>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</si>
  <si>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</si>
  <si>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</si>
  <si>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</si>
  <si>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</si>
  <si>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</si>
  <si>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</si>
  <si>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</si>
  <si>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</si>
  <si>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</si>
  <si>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</si>
  <si>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</si>
  <si>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</si>
  <si>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</si>
  <si>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</si>
  <si>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</si>
  <si>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</si>
  <si>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</si>
  <si>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</si>
  <si>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</si>
  <si>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</si>
  <si>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</si>
  <si>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</si>
  <si>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</si>
  <si>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</si>
  <si>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</si>
  <si>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</si>
  <si>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</si>
  <si>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</si>
  <si>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</si>
  <si>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</si>
  <si>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</si>
  <si>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</si>
  <si>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</si>
  <si>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</si>
  <si>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</si>
  <si>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</si>
  <si>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</si>
  <si>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</si>
  <si>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</si>
  <si>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</si>
  <si>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</si>
  <si>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</si>
  <si>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</si>
  <si>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</si>
  <si>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</si>
  <si>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</si>
  <si>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</si>
  <si>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</si>
  <si>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</si>
  <si>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</si>
  <si>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</si>
  <si>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</si>
  <si>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</si>
  <si>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</si>
  <si>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</si>
  <si>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</si>
  <si>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</si>
  <si>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</si>
  <si>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</si>
  <si>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</si>
  <si>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</si>
  <si>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</si>
  <si>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</si>
  <si>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</si>
  <si>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</si>
  <si>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</si>
  <si>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</si>
  <si>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</si>
  <si>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</si>
  <si>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</si>
  <si>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</si>
  <si>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</si>
  <si>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</si>
  <si>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</si>
  <si>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</si>
  <si>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</si>
  <si>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</si>
  <si>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</si>
  <si>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</si>
  <si>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</si>
  <si>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</si>
  <si>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</si>
  <si>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</si>
  <si>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</si>
  <si>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</si>
  <si>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</si>
  <si>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</si>
  <si>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</si>
  <si>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</si>
  <si>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</si>
  <si>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</si>
  <si>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</si>
  <si>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</si>
  <si>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</si>
  <si>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</si>
  <si>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</si>
  <si>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</si>
  <si>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</si>
  <si>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</si>
  <si>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</si>
  <si>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</si>
  <si>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</si>
  <si>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</si>
  <si>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</si>
  <si>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</si>
  <si>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</si>
  <si>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</si>
  <si>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</si>
  <si>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</si>
  <si>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</si>
  <si>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</si>
  <si>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</si>
  <si>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</si>
  <si>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</si>
  <si>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</si>
  <si>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</si>
  <si>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</si>
  <si>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</si>
  <si>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</si>
  <si>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</si>
  <si>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</si>
  <si>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</si>
  <si>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</si>
  <si>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</si>
  <si>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</si>
  <si>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</si>
  <si>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</si>
  <si>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</si>
  <si>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</si>
  <si>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</si>
  <si>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</si>
  <si>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</si>
  <si>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</si>
  <si>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</si>
  <si>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</si>
  <si>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</si>
  <si>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</si>
  <si>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</si>
  <si>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</si>
  <si>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</si>
  <si>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</si>
  <si>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</si>
  <si>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</si>
  <si>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</si>
  <si>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</si>
  <si>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</si>
  <si>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</si>
  <si>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</si>
  <si>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</si>
  <si>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</si>
  <si>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</si>
  <si>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</si>
  <si>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</si>
  <si>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</si>
  <si>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</si>
  <si>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</si>
  <si>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</si>
  <si>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</si>
  <si>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</si>
  <si>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</si>
  <si>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</si>
  <si>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</si>
  <si>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</si>
  <si>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</si>
  <si>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</si>
  <si>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</si>
  <si>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</si>
  <si>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</si>
  <si>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</si>
  <si>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</si>
  <si>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</si>
  <si>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</si>
  <si>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</si>
  <si>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</si>
  <si>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</si>
  <si>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</si>
  <si>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</si>
  <si>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</si>
  <si>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</si>
  <si>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</si>
  <si>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</si>
  <si>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</si>
  <si>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</si>
  <si>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</si>
  <si>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</si>
  <si>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</si>
  <si>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</si>
  <si>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</si>
  <si>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</si>
  <si>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</si>
  <si>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</si>
  <si>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</si>
  <si>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</si>
  <si>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</si>
  <si>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</si>
  <si>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</si>
  <si>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</si>
  <si>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</si>
  <si>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</si>
  <si>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</si>
  <si>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</si>
  <si>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</si>
  <si>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</si>
  <si>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</si>
  <si>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</si>
  <si>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</si>
  <si>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</si>
  <si>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</si>
  <si>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</si>
  <si>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</si>
  <si>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</si>
  <si>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</si>
  <si>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</si>
  <si>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</si>
  <si>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</si>
  <si>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</si>
  <si>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</si>
  <si>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</si>
  <si>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</si>
  <si>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</si>
  <si>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</si>
  <si>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</si>
  <si>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</si>
  <si>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</si>
  <si>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</si>
  <si>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</si>
  <si>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</si>
  <si>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</si>
  <si>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</si>
  <si>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</si>
  <si>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</si>
  <si>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</si>
  <si>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</si>
  <si>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</si>
  <si>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</si>
  <si>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</si>
  <si>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</si>
  <si>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</si>
  <si>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</si>
  <si>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</si>
  <si>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</si>
  <si>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</si>
  <si>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</si>
  <si>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</si>
  <si>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</si>
  <si>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</si>
  <si>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</si>
  <si>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</si>
  <si>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</si>
  <si>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</si>
  <si>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</si>
  <si>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</si>
  <si>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</si>
  <si>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</si>
  <si>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</si>
  <si>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</si>
  <si>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</si>
  <si>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</si>
  <si>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</si>
  <si>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</si>
  <si>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</si>
  <si>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</si>
  <si>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</si>
  <si>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</si>
  <si>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</si>
  <si>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</si>
  <si>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</si>
  <si>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</si>
  <si>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</si>
  <si>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</si>
  <si>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</si>
  <si>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</si>
  <si>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</si>
  <si>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</si>
  <si>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</si>
  <si>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</si>
  <si>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</si>
  <si>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</si>
  <si>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</si>
  <si>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</si>
  <si>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</si>
  <si>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</si>
  <si>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</si>
  <si>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</si>
  <si>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</si>
  <si>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</si>
  <si>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</si>
  <si>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</si>
  <si>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</si>
  <si>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</si>
  <si>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</si>
  <si>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</si>
  <si>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</si>
  <si>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</si>
  <si>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</si>
  <si>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</si>
  <si>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</si>
  <si>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</si>
  <si>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</si>
  <si>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</si>
  <si>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</si>
  <si>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</si>
  <si>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</si>
  <si>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</si>
  <si>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</si>
  <si>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</si>
  <si>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</si>
  <si>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</si>
  <si>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</si>
  <si>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</si>
  <si>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</si>
  <si>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</si>
  <si>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</si>
  <si>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</si>
  <si>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</si>
  <si>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</si>
  <si>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</si>
  <si>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</si>
  <si>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</si>
  <si>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</si>
  <si>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</si>
  <si>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</si>
  <si>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</si>
  <si>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</si>
  <si>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</si>
  <si>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</si>
  <si>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</si>
  <si>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</si>
  <si>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</si>
  <si>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</si>
  <si>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</si>
  <si>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</si>
  <si>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</si>
  <si>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</si>
  <si>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</si>
  <si>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</si>
  <si>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</si>
  <si>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</si>
  <si>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</si>
  <si>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</si>
  <si>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</si>
  <si>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</si>
  <si>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</si>
  <si>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</si>
  <si>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</si>
  <si>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</si>
  <si>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</si>
  <si>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</si>
  <si>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</si>
  <si>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</si>
  <si>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</si>
  <si>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</si>
  <si>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</si>
  <si>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</si>
  <si>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</si>
  <si>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</si>
  <si>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</si>
  <si>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</si>
  <si>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</si>
  <si>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</si>
  <si>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</si>
  <si>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</si>
  <si>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</si>
  <si>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</si>
  <si>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</si>
  <si>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</si>
  <si>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</si>
  <si>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</si>
  <si>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</si>
  <si>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</si>
  <si>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</si>
  <si>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</si>
  <si>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</si>
  <si>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</si>
  <si>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</si>
  <si>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</si>
  <si>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</si>
  <si>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</si>
  <si>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</si>
  <si>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</si>
  <si>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</si>
  <si>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</si>
  <si>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</si>
  <si>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</si>
  <si>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</si>
  <si>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</si>
  <si>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</si>
  <si>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</si>
  <si>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</si>
  <si>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</si>
  <si>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</si>
  <si>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</si>
  <si>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</si>
  <si>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</si>
  <si>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</si>
  <si>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</si>
  <si>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</si>
  <si>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</si>
  <si>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</si>
  <si>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</si>
  <si>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</si>
  <si>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</si>
  <si>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</si>
  <si>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</si>
  <si>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</si>
  <si>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</si>
  <si>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</si>
  <si>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</si>
  <si>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</si>
  <si>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</si>
  <si>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</si>
  <si>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</si>
  <si>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</si>
  <si>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</si>
  <si>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</si>
  <si>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</si>
  <si>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</si>
  <si>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</si>
  <si>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</si>
  <si>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</si>
  <si>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</si>
  <si>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</si>
  <si>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</si>
  <si>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</si>
  <si>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</si>
  <si>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</si>
  <si>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</si>
  <si>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</si>
  <si>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</si>
  <si>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</si>
  <si>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</si>
  <si>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</si>
  <si>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</si>
  <si>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</si>
  <si>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</si>
  <si>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</si>
  <si>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</si>
  <si>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</si>
  <si>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</si>
  <si>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</si>
  <si>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</si>
  <si>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</si>
  <si>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</si>
  <si>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</si>
  <si>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</si>
  <si>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</si>
  <si>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</si>
  <si>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</si>
  <si>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</si>
  <si>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</si>
  <si>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</si>
  <si>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</si>
  <si>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</si>
  <si>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</si>
  <si>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</si>
  <si>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</si>
  <si>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</si>
  <si>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</si>
  <si>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</si>
  <si>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</si>
  <si>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</si>
  <si>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</si>
  <si>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</si>
  <si>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</si>
  <si>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</si>
  <si>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</si>
  <si>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</si>
  <si>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</si>
  <si>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</si>
  <si>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</si>
  <si>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</si>
  <si>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</si>
  <si>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</si>
  <si>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</si>
  <si>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</si>
  <si>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</si>
  <si>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</si>
  <si>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</si>
  <si>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</si>
  <si>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</si>
  <si>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</si>
  <si>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</si>
  <si>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</si>
  <si>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</si>
  <si>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</si>
  <si>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</si>
  <si>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</si>
  <si>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</si>
  <si>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</si>
  <si>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</si>
  <si>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</si>
  <si>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</si>
  <si>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</si>
  <si>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</si>
  <si>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</si>
  <si>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</si>
  <si>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</si>
  <si>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</si>
  <si>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</si>
  <si>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</si>
  <si>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</si>
  <si>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</si>
  <si>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</si>
  <si>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</si>
  <si>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</si>
  <si>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</si>
  <si>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</si>
  <si>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</si>
  <si>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</si>
  <si>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</si>
  <si>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</si>
  <si>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</si>
  <si>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</si>
  <si>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</si>
  <si>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</si>
  <si>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</si>
  <si>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</si>
  <si>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</si>
  <si>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</si>
  <si>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</si>
  <si>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</si>
  <si>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</si>
  <si>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</si>
  <si>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</si>
  <si>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</si>
  <si>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</si>
  <si>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</si>
  <si>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</si>
  <si>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</si>
  <si>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</si>
  <si>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</si>
  <si>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</si>
  <si>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</si>
  <si>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</si>
  <si>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</si>
  <si>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</si>
  <si>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</si>
  <si>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</si>
  <si>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</si>
  <si>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</si>
  <si>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</si>
  <si>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</si>
  <si>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</si>
  <si>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</si>
  <si>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</si>
  <si>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</si>
  <si>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</si>
  <si>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</si>
  <si>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</si>
  <si>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</si>
  <si>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</si>
  <si>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</si>
  <si>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</si>
  <si>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</si>
  <si>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</si>
  <si>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</si>
  <si>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</si>
  <si>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</si>
  <si>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</si>
  <si>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</si>
  <si>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</si>
  <si>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</si>
  <si>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</si>
  <si>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</si>
  <si>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</si>
  <si>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</si>
  <si>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</si>
  <si>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</si>
  <si>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</si>
  <si>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</si>
  <si>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</si>
  <si>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</si>
  <si>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</si>
  <si>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</si>
  <si>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</si>
  <si>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</si>
  <si>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</si>
  <si>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</si>
  <si>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</si>
  <si>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</si>
  <si>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</si>
  <si>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</si>
  <si>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</si>
  <si>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</si>
  <si>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</si>
  <si>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</si>
  <si>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</si>
  <si>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</si>
  <si>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</si>
  <si>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</si>
  <si>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</si>
  <si>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</si>
  <si>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</si>
  <si>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</si>
  <si>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</si>
  <si>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</si>
  <si>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</si>
  <si>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</si>
  <si>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</si>
  <si>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</si>
  <si>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</si>
  <si>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</si>
  <si>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</si>
  <si>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</si>
  <si>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</si>
  <si>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</si>
  <si>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</si>
  <si>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</si>
  <si>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</si>
  <si>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</si>
  <si>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</si>
  <si>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</si>
  <si>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</si>
  <si>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</si>
  <si>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</si>
  <si>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</si>
  <si>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</si>
  <si>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</si>
  <si>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</si>
  <si>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</si>
  <si>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</si>
  <si>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</si>
  <si>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</si>
  <si>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</si>
  <si>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</si>
  <si>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</si>
  <si>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</si>
  <si>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</si>
  <si>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</si>
  <si>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</si>
  <si>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</si>
  <si>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</si>
  <si>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</si>
  <si>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</si>
  <si>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</si>
  <si>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</si>
  <si>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</si>
  <si>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</si>
  <si>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</si>
  <si>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</si>
  <si>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</si>
  <si>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</si>
  <si>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</si>
  <si>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</si>
  <si>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</si>
  <si>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</si>
  <si>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</si>
  <si>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</si>
  <si>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</si>
  <si>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</si>
  <si>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</si>
  <si>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</si>
  <si>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</si>
  <si>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</si>
  <si>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</si>
  <si>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</si>
  <si>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</si>
  <si>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</si>
  <si>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</si>
  <si>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</si>
  <si>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</si>
  <si>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</si>
  <si>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</si>
  <si>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</si>
  <si>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</si>
  <si>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</si>
  <si>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</si>
  <si>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</si>
  <si>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</si>
  <si>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</si>
  <si>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</si>
  <si>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</si>
  <si>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</si>
  <si>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</si>
  <si>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</si>
  <si>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</si>
  <si>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</si>
  <si>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</si>
  <si>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</si>
  <si>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</si>
  <si>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</si>
  <si>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</si>
  <si>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</si>
  <si>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</si>
  <si>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</si>
  <si>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</si>
  <si>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</si>
  <si>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</si>
  <si>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</si>
  <si>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</si>
  <si>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</si>
  <si>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</si>
  <si>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</si>
  <si>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</si>
  <si>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</si>
  <si>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</si>
  <si>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</si>
  <si>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</si>
  <si>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</si>
  <si>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</si>
  <si>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</si>
  <si>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</si>
  <si>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</si>
  <si>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</si>
  <si>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</si>
  <si>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</si>
  <si>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</si>
  <si>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</si>
  <si>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</si>
  <si>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</si>
  <si>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</si>
  <si>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</si>
  <si>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</si>
  <si>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</si>
  <si>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</si>
  <si>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</si>
  <si>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</si>
  <si>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</si>
  <si>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</si>
  <si>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</si>
  <si>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</si>
  <si>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</si>
  <si>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</si>
  <si>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</si>
  <si>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</si>
  <si>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</si>
  <si>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</si>
  <si>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</si>
  <si>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</si>
  <si>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</si>
  <si>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</si>
  <si>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</si>
  <si>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</si>
  <si>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</si>
  <si>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</si>
  <si>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</si>
  <si>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</si>
  <si>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</si>
  <si>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</si>
  <si>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</si>
  <si>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</si>
  <si>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</si>
  <si>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</si>
  <si>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</si>
  <si>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</si>
  <si>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</si>
  <si>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</si>
  <si>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</si>
  <si>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</si>
  <si>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</si>
  <si>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</si>
  <si>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</si>
  <si>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</si>
  <si>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</si>
  <si>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</si>
  <si>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</si>
  <si>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</si>
  <si>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</si>
  <si>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</si>
  <si>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</si>
  <si>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</si>
  <si>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</si>
  <si>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</si>
  <si>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</si>
  <si>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</si>
  <si>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</si>
  <si>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</si>
  <si>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</si>
  <si>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</si>
  <si>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</si>
  <si>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</si>
  <si>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</si>
  <si>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</si>
  <si>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</si>
  <si>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</si>
  <si>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</si>
  <si>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</si>
  <si>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</si>
  <si>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</si>
  <si>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</si>
  <si>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</si>
  <si>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</si>
  <si>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</si>
  <si>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</si>
  <si>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</si>
  <si>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</si>
  <si>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</si>
  <si>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</si>
  <si>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</si>
  <si>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</si>
  <si>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</si>
  <si>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</si>
  <si>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</si>
  <si>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</si>
  <si>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 xml:space="preserve">Jumper Wire : </t>
  </si>
  <si>
    <t>Hasil Ukur Trafo 3 Ph 50 KVA ( X ) di -</t>
  </si>
  <si>
    <t>KOORDINAT LOKASI :  -7.018860, 110.551765</t>
  </si>
  <si>
    <t>ZAENAL ARIFIN</t>
  </si>
  <si>
    <t>DS.CANDISARI MRANGGEN</t>
  </si>
  <si>
    <t>MGN 01</t>
  </si>
  <si>
    <t>Keterangan Tambahan : -7.018860, 110.551765</t>
  </si>
  <si>
    <t>MGN01-93/19/21</t>
  </si>
  <si>
    <t>Daya 53.000 VA</t>
  </si>
  <si>
    <t>Trafo 3 Fasa 50 KVA 1 Tiang (G312-A)</t>
  </si>
  <si>
    <t>CG-312A 50KVA</t>
  </si>
  <si>
    <t>CM2-11M</t>
  </si>
  <si>
    <t>SJ6</t>
  </si>
  <si>
    <t>SR APP 3PH 53KVA</t>
  </si>
  <si>
    <t>CM2-12</t>
  </si>
  <si>
    <t>Tegowanu, Maret 2024</t>
  </si>
  <si>
    <t>Stainless Steel Strap 20 X 0.7 mm</t>
  </si>
  <si>
    <t>C12-350E</t>
  </si>
  <si>
    <t>CC1-A</t>
  </si>
  <si>
    <t>P12-C2</t>
  </si>
  <si>
    <t>SJ5</t>
  </si>
  <si>
    <t>BTG</t>
  </si>
  <si>
    <t xml:space="preserve">PEKERJAAN PEMASANGAN KONSTRUKSI </t>
  </si>
  <si>
    <t>LVTC 3X70+NX70 mm2</t>
  </si>
  <si>
    <t>MTR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</si>
</sst>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  <font>
      <sz val="11"/>
      <color indexed="8"/>
      <name val="Calibri"/>
      <charset val="134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731">
    <xf numFmtId="0" fontId="0" fillId="0" borderId="0"/>
    <xf numFmtId="172" fontId="45" fillId="0" borderId="0">
      <alignment horizontal="centerContinuous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67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4" fontId="39" fillId="0" borderId="0" applyFill="0" applyBorder="0" applyAlignment="0"/>
    <xf numFmtId="174" fontId="25" fillId="0" borderId="0" applyFill="0" applyBorder="0" applyAlignment="0"/>
    <xf numFmtId="175" fontId="39" fillId="0" borderId="0" applyFill="0" applyBorder="0" applyAlignment="0"/>
    <xf numFmtId="175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65" fontId="107" fillId="0" borderId="0" applyFont="0" applyFill="0" applyBorder="0" applyAlignment="0" applyProtection="0"/>
    <xf numFmtId="0" fontId="68" fillId="0" borderId="0"/>
    <xf numFmtId="0" fontId="68" fillId="0" borderId="0"/>
    <xf numFmtId="0" fontId="68" fillId="0" borderId="0"/>
    <xf numFmtId="165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80" fontId="39" fillId="0" borderId="0" applyFont="0" applyFill="0" applyBorder="0" applyAlignment="0" applyProtection="0"/>
    <xf numFmtId="180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69" fillId="0" borderId="0" applyFont="0" applyFill="0" applyBorder="0" applyAlignment="0" applyProtection="0"/>
    <xf numFmtId="164" fontId="70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26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71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64" fontId="39" fillId="0" borderId="0" applyFont="0" applyFill="0" applyBorder="0" applyAlignment="0" applyProtection="0"/>
    <xf numFmtId="164" fontId="25" fillId="0" borderId="0" applyFont="0" applyFill="0" applyBorder="0" applyAlignment="0" applyProtection="0"/>
    <xf numFmtId="177" fontId="39" fillId="0" borderId="0" applyFont="0" applyFill="0" applyBorder="0" applyAlignment="0" applyProtection="0"/>
    <xf numFmtId="177" fontId="25" fillId="0" borderId="0" applyFont="0" applyFill="0" applyBorder="0" applyAlignment="0" applyProtection="0"/>
    <xf numFmtId="169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1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8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39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0" fillId="0" borderId="0" applyFont="0" applyFill="0" applyBorder="0" applyAlignment="0" applyProtection="0"/>
    <xf numFmtId="18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72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0" fontId="68" fillId="0" borderId="0"/>
    <xf numFmtId="0" fontId="68" fillId="0" borderId="0"/>
    <xf numFmtId="186" fontId="39" fillId="0" borderId="3"/>
    <xf numFmtId="186" fontId="25" fillId="0" borderId="3"/>
    <xf numFmtId="166" fontId="26" fillId="0" borderId="0" applyFont="0" applyFill="0" applyBorder="0" applyAlignment="0" applyProtection="0"/>
    <xf numFmtId="166" fontId="51" fillId="0" borderId="0" applyFont="0" applyFill="0" applyBorder="0" applyAlignment="0" applyProtection="0"/>
    <xf numFmtId="173" fontId="39" fillId="0" borderId="0" applyFont="0" applyFill="0" applyBorder="0" applyAlignment="0" applyProtection="0"/>
    <xf numFmtId="17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73" fillId="0" borderId="0" applyFont="0" applyFill="0" applyBorder="0" applyAlignment="0" applyProtection="0"/>
    <xf numFmtId="188" fontId="75" fillId="0" borderId="0">
      <protection locked="0"/>
    </xf>
    <xf numFmtId="14" fontId="67" fillId="0" borderId="0" applyFill="0" applyBorder="0" applyAlignment="0"/>
    <xf numFmtId="189" fontId="76" fillId="0" borderId="0">
      <protection locked="0"/>
    </xf>
    <xf numFmtId="0" fontId="77" fillId="0" borderId="0"/>
    <xf numFmtId="0" fontId="77" fillId="0" borderId="4"/>
    <xf numFmtId="0" fontId="77" fillId="0" borderId="4"/>
    <xf numFmtId="0" fontId="77" fillId="0" borderId="4"/>
    <xf numFmtId="0" fontId="77" fillId="0" borderId="4"/>
    <xf numFmtId="0" fontId="78" fillId="22" borderId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9" fillId="0" borderId="0" applyNumberFormat="0" applyAlignment="0">
      <alignment horizontal="lef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>
      <protection locked="0"/>
    </xf>
    <xf numFmtId="190" fontId="75" fillId="0" borderId="0">
      <protection locked="0"/>
    </xf>
    <xf numFmtId="0" fontId="82" fillId="0" borderId="5"/>
    <xf numFmtId="0" fontId="82" fillId="0" borderId="5"/>
    <xf numFmtId="0" fontId="82" fillId="0" borderId="5"/>
    <xf numFmtId="0" fontId="82" fillId="0" borderId="5"/>
    <xf numFmtId="0" fontId="82" fillId="0" borderId="4"/>
    <xf numFmtId="0" fontId="82" fillId="0" borderId="4"/>
    <xf numFmtId="0" fontId="82" fillId="23" borderId="4"/>
    <xf numFmtId="0" fontId="82" fillId="23" borderId="4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83" fillId="0" borderId="0" applyNumberFormat="0"/>
    <xf numFmtId="38" fontId="44" fillId="24" borderId="0" applyNumberFormat="0" applyBorder="0" applyAlignment="0" applyProtection="0"/>
    <xf numFmtId="0" fontId="84" fillId="0" borderId="6" applyNumberFormat="0" applyAlignment="0" applyProtection="0">
      <alignment horizontal="left" vertical="center"/>
    </xf>
    <xf numFmtId="0" fontId="84" fillId="0" borderId="7">
      <alignment horizontal="left" vertical="center"/>
    </xf>
    <xf numFmtId="0" fontId="84" fillId="0" borderId="7">
      <alignment horizontal="left" vertical="center"/>
    </xf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91" fontId="80" fillId="0" borderId="0">
      <protection locked="0"/>
    </xf>
    <xf numFmtId="191" fontId="80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10" fontId="44" fillId="25" borderId="3" applyNumberFormat="0" applyBorder="0" applyAlignment="0" applyProtection="0"/>
    <xf numFmtId="10" fontId="44" fillId="25" borderId="3" applyNumberFormat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192" fontId="39" fillId="0" borderId="0" applyFont="0" applyFill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37" fontId="85" fillId="0" borderId="0"/>
    <xf numFmtId="193" fontId="39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25" fillId="0" borderId="0"/>
    <xf numFmtId="193" fontId="39" fillId="0" borderId="0"/>
    <xf numFmtId="172" fontId="86" fillId="0" borderId="0"/>
    <xf numFmtId="172" fontId="87" fillId="0" borderId="0"/>
    <xf numFmtId="172" fontId="87" fillId="0" borderId="0"/>
    <xf numFmtId="0" fontId="69" fillId="0" borderId="0"/>
    <xf numFmtId="0" fontId="114" fillId="0" borderId="0"/>
    <xf numFmtId="0" fontId="39" fillId="0" borderId="0"/>
    <xf numFmtId="0" fontId="25" fillId="0" borderId="0"/>
    <xf numFmtId="0" fontId="72" fillId="0" borderId="0"/>
    <xf numFmtId="0" fontId="39" fillId="0" borderId="0"/>
    <xf numFmtId="12" fontId="39" fillId="0" borderId="0"/>
    <xf numFmtId="12" fontId="25" fillId="0" borderId="0"/>
    <xf numFmtId="0" fontId="114" fillId="0" borderId="0"/>
    <xf numFmtId="0" fontId="114" fillId="0" borderId="0"/>
    <xf numFmtId="0" fontId="114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72" fillId="0" borderId="0"/>
    <xf numFmtId="0" fontId="39" fillId="0" borderId="0"/>
    <xf numFmtId="0" fontId="114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39" fillId="0" borderId="0"/>
    <xf numFmtId="0" fontId="39" fillId="0" borderId="0"/>
    <xf numFmtId="0" fontId="70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25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26" fillId="0" borderId="0"/>
    <xf numFmtId="0" fontId="26" fillId="0" borderId="0"/>
    <xf numFmtId="0" fontId="39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67" fillId="0" borderId="0">
      <alignment vertical="top"/>
    </xf>
    <xf numFmtId="0" fontId="26" fillId="0" borderId="0"/>
    <xf numFmtId="194" fontId="46" fillId="0" borderId="0"/>
    <xf numFmtId="0" fontId="114" fillId="0" borderId="0"/>
    <xf numFmtId="0" fontId="1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4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 applyNumberFormat="0" applyFont="0" applyFill="0" applyAlignment="0" applyProtection="0"/>
    <xf numFmtId="0" fontId="87" fillId="0" borderId="0"/>
    <xf numFmtId="0" fontId="87" fillId="0" borderId="0"/>
    <xf numFmtId="0" fontId="25" fillId="0" borderId="0" applyNumberFormat="0" applyFont="0" applyFill="0" applyAlignment="0" applyProtection="0"/>
    <xf numFmtId="0" fontId="39" fillId="0" borderId="0"/>
    <xf numFmtId="0" fontId="114" fillId="0" borderId="0"/>
    <xf numFmtId="182" fontId="87" fillId="0" borderId="0"/>
    <xf numFmtId="0" fontId="87" fillId="0" borderId="0"/>
    <xf numFmtId="195" fontId="87" fillId="0" borderId="0"/>
    <xf numFmtId="196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5" fontId="87" fillId="0" borderId="0"/>
    <xf numFmtId="0" fontId="87" fillId="0" borderId="0"/>
    <xf numFmtId="0" fontId="39" fillId="0" borderId="0"/>
    <xf numFmtId="0" fontId="25" fillId="0" borderId="0"/>
    <xf numFmtId="182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114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 applyNumberFormat="0" applyFont="0" applyFill="0" applyAlignment="0" applyProtection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198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7" fontId="87" fillId="0" borderId="0"/>
    <xf numFmtId="199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2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9" fillId="0" borderId="0"/>
    <xf numFmtId="0" fontId="2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114" fillId="0" borderId="0"/>
    <xf numFmtId="0" fontId="39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194" fontId="46" fillId="0" borderId="0"/>
    <xf numFmtId="0" fontId="25" fillId="0" borderId="0"/>
    <xf numFmtId="0" fontId="25" fillId="0" borderId="0" applyProtection="0"/>
    <xf numFmtId="0" fontId="114" fillId="0" borderId="0"/>
    <xf numFmtId="0" fontId="114" fillId="0" borderId="0"/>
    <xf numFmtId="0" fontId="114" fillId="0" borderId="0"/>
    <xf numFmtId="0" fontId="25" fillId="0" borderId="0"/>
    <xf numFmtId="0" fontId="25" fillId="0" borderId="0" applyProtection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4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114" fillId="0" borderId="0"/>
    <xf numFmtId="0" fontId="115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39" fillId="0" borderId="0"/>
    <xf numFmtId="0" fontId="25" fillId="0" borderId="0"/>
    <xf numFmtId="0" fontId="116" fillId="0" borderId="0"/>
    <xf numFmtId="0" fontId="25" fillId="0" borderId="0"/>
    <xf numFmtId="0" fontId="25" fillId="0" borderId="0"/>
    <xf numFmtId="0" fontId="26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6" fillId="0" borderId="0"/>
    <xf numFmtId="0" fontId="115" fillId="0" borderId="0"/>
    <xf numFmtId="0" fontId="70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39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25" fillId="0" borderId="0"/>
    <xf numFmtId="194" fontId="46" fillId="0" borderId="0"/>
    <xf numFmtId="194" fontId="46" fillId="0" borderId="0"/>
    <xf numFmtId="0" fontId="11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115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39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176" fontId="39" fillId="0" borderId="0" applyFont="0" applyFill="0" applyBorder="0" applyAlignment="0" applyProtection="0"/>
    <xf numFmtId="176" fontId="25" fillId="0" borderId="0" applyFont="0" applyFill="0" applyBorder="0" applyAlignment="0" applyProtection="0"/>
    <xf numFmtId="200" fontId="39" fillId="0" borderId="0" applyFont="0" applyFill="0" applyBorder="0" applyAlignment="0" applyProtection="0"/>
    <xf numFmtId="200" fontId="25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7" fillId="0" borderId="0"/>
    <xf numFmtId="201" fontId="90" fillId="0" borderId="0" applyNumberFormat="0" applyFill="0" applyBorder="0" applyAlignment="0" applyProtection="0">
      <alignment horizontal="left"/>
    </xf>
    <xf numFmtId="0" fontId="91" fillId="0" borderId="14"/>
    <xf numFmtId="0" fontId="91" fillId="0" borderId="14"/>
    <xf numFmtId="0" fontId="92" fillId="0" borderId="15"/>
    <xf numFmtId="0" fontId="92" fillId="0" borderId="15"/>
    <xf numFmtId="40" fontId="93" fillId="0" borderId="0" applyBorder="0">
      <alignment horizontal="right"/>
    </xf>
    <xf numFmtId="49" fontId="67" fillId="0" borderId="0" applyFill="0" applyBorder="0" applyAlignment="0"/>
    <xf numFmtId="202" fontId="39" fillId="0" borderId="0" applyFill="0" applyBorder="0" applyAlignment="0"/>
    <xf numFmtId="202" fontId="25" fillId="0" borderId="0" applyFill="0" applyBorder="0" applyAlignment="0"/>
    <xf numFmtId="203" fontId="39" fillId="0" borderId="0" applyFill="0" applyBorder="0" applyAlignment="0"/>
    <xf numFmtId="203" fontId="25" fillId="0" borderId="0" applyFill="0" applyBorder="0" applyAlignment="0"/>
    <xf numFmtId="204" fontId="94" fillId="0" borderId="16" applyFont="0" applyBorder="0" applyAlignment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9" fillId="0" borderId="0"/>
    <xf numFmtId="0" fontId="13" fillId="0" borderId="0"/>
    <xf numFmtId="9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12" fillId="0" borderId="0"/>
    <xf numFmtId="41" fontId="25" fillId="0" borderId="0" applyFont="0" applyFill="0" applyBorder="0" applyAlignment="0" applyProtection="0"/>
    <xf numFmtId="9" fontId="146" fillId="0" borderId="0" applyFont="0" applyFill="0" applyBorder="0" applyAlignment="0" applyProtection="0"/>
    <xf numFmtId="41" fontId="158" fillId="0" borderId="0" applyFont="0" applyFill="0" applyBorder="0" applyAlignment="0" applyProtection="0"/>
    <xf numFmtId="0" fontId="25" fillId="0" borderId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25" fillId="0" borderId="0" applyFont="0" applyFill="0" applyBorder="0" applyAlignment="0" applyProtection="0"/>
    <xf numFmtId="7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25" fillId="0" borderId="0" applyFont="0" applyFill="0" applyBorder="0" applyAlignment="0" applyProtection="0"/>
    <xf numFmtId="0" fontId="10" fillId="0" borderId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0" fontId="19" fillId="0" borderId="0"/>
    <xf numFmtId="0" fontId="10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41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1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" fillId="0" borderId="0"/>
    <xf numFmtId="0" fontId="9" fillId="0" borderId="0"/>
    <xf numFmtId="41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722">
    <xf numFmtId="0" fontId="0" fillId="0" borderId="0" xfId="0"/>
    <xf numFmtId="0" fontId="48" fillId="0" borderId="0" xfId="1448" applyFont="1" applyAlignment="1">
      <alignment horizontal="center" wrapText="1"/>
    </xf>
    <xf numFmtId="0" fontId="47" fillId="0" borderId="0" xfId="1448" applyFont="1" applyAlignment="1">
      <alignment horizontal="left" vertical="center" wrapText="1"/>
    </xf>
    <xf numFmtId="0" fontId="57" fillId="0" borderId="0" xfId="1448" applyFont="1" applyAlignment="1">
      <alignment horizontal="center" wrapText="1"/>
    </xf>
    <xf numFmtId="3" fontId="48" fillId="0" borderId="0" xfId="1448" applyNumberFormat="1" applyFont="1" applyAlignment="1">
      <alignment horizontal="center" vertical="center" wrapText="1"/>
    </xf>
    <xf numFmtId="0" fontId="57" fillId="0" borderId="0" xfId="1448" applyFont="1" applyAlignment="1">
      <alignment wrapText="1"/>
    </xf>
    <xf numFmtId="0" fontId="58" fillId="0" borderId="0" xfId="1448" applyFont="1" applyAlignment="1">
      <alignment wrapText="1"/>
    </xf>
    <xf numFmtId="0" fontId="47" fillId="0" borderId="0" xfId="1448" applyFont="1" applyAlignment="1">
      <alignment horizontal="center" wrapText="1"/>
    </xf>
    <xf numFmtId="0" fontId="47" fillId="0" borderId="0" xfId="1448" applyFont="1" applyAlignment="1">
      <alignment horizontal="center" vertical="center" wrapText="1"/>
    </xf>
    <xf numFmtId="3" fontId="47" fillId="0" borderId="0" xfId="1448" applyNumberFormat="1" applyFont="1" applyAlignment="1">
      <alignment horizontal="center" vertical="center" wrapText="1"/>
    </xf>
    <xf numFmtId="0" fontId="47" fillId="0" borderId="18" xfId="1448" applyFont="1" applyBorder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7" fillId="0" borderId="0" xfId="1448" applyFont="1" applyAlignment="1">
      <alignment horizontal="center" vertical="center" wrapText="1"/>
    </xf>
    <xf numFmtId="0" fontId="60" fillId="0" borderId="18" xfId="1448" applyFont="1" applyBorder="1" applyAlignment="1">
      <alignment horizontal="center" wrapText="1"/>
    </xf>
    <xf numFmtId="0" fontId="61" fillId="0" borderId="0" xfId="1448" applyFont="1" applyAlignment="1">
      <alignment wrapText="1"/>
    </xf>
    <xf numFmtId="0" fontId="48" fillId="0" borderId="18" xfId="1448" applyFont="1" applyBorder="1" applyAlignment="1">
      <alignment horizontal="center" vertical="center" wrapText="1"/>
    </xf>
    <xf numFmtId="164" fontId="48" fillId="0" borderId="0" xfId="527" applyNumberFormat="1" applyFont="1" applyFill="1" applyBorder="1" applyAlignment="1">
      <alignment horizontal="center" wrapText="1"/>
    </xf>
    <xf numFmtId="0" fontId="48" fillId="0" borderId="18" xfId="1448" quotePrefix="1" applyFont="1" applyBorder="1" applyAlignment="1">
      <alignment horizontal="center" vertical="center" wrapText="1"/>
    </xf>
    <xf numFmtId="18" fontId="48" fillId="0" borderId="18" xfId="1448" quotePrefix="1" applyNumberFormat="1" applyFont="1" applyBorder="1" applyAlignment="1">
      <alignment horizontal="center" vertical="center" wrapText="1"/>
    </xf>
    <xf numFmtId="0" fontId="57" fillId="0" borderId="0" xfId="1448" applyFont="1" applyAlignment="1">
      <alignment vertical="top" wrapText="1"/>
    </xf>
    <xf numFmtId="164" fontId="48" fillId="0" borderId="18" xfId="1448" applyNumberFormat="1" applyFont="1" applyBorder="1" applyAlignment="1">
      <alignment horizontal="center" vertical="center" wrapText="1"/>
    </xf>
    <xf numFmtId="17" fontId="48" fillId="0" borderId="18" xfId="1448" quotePrefix="1" applyNumberFormat="1" applyFont="1" applyBorder="1" applyAlignment="1">
      <alignment horizontal="center" vertical="center" wrapText="1"/>
    </xf>
    <xf numFmtId="164" fontId="48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2" fillId="0" borderId="0" xfId="1614" applyFont="1" applyAlignment="1">
      <alignment horizontal="center" vertical="center"/>
    </xf>
    <xf numFmtId="0" fontId="47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/>
    </xf>
    <xf numFmtId="165" fontId="56" fillId="0" borderId="0" xfId="1652" applyNumberFormat="1" applyFont="1"/>
    <xf numFmtId="0" fontId="114" fillId="0" borderId="19" xfId="1614" applyBorder="1" applyAlignment="1">
      <alignment horizontal="center"/>
    </xf>
    <xf numFmtId="0" fontId="56" fillId="0" borderId="0" xfId="1614" applyFont="1" applyAlignment="1">
      <alignment horizontal="center"/>
    </xf>
    <xf numFmtId="0" fontId="56" fillId="0" borderId="0" xfId="1614" applyFont="1" applyAlignment="1">
      <alignment horizontal="center" vertical="center" wrapText="1"/>
    </xf>
    <xf numFmtId="3" fontId="48" fillId="0" borderId="0" xfId="1614" applyNumberFormat="1" applyFont="1" applyAlignment="1">
      <alignment vertical="center"/>
    </xf>
    <xf numFmtId="0" fontId="24" fillId="0" borderId="0" xfId="1614" applyFont="1" applyAlignment="1">
      <alignment horizontal="center"/>
    </xf>
    <xf numFmtId="0" fontId="48" fillId="0" borderId="2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left" vertical="center" wrapText="1"/>
    </xf>
    <xf numFmtId="0" fontId="48" fillId="0" borderId="21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/>
    </xf>
    <xf numFmtId="3" fontId="50" fillId="0" borderId="21" xfId="1614" applyNumberFormat="1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8" fillId="0" borderId="22" xfId="1614" applyNumberFormat="1" applyFont="1" applyBorder="1" applyAlignment="1">
      <alignment horizontal="center" vertical="center"/>
    </xf>
    <xf numFmtId="0" fontId="65" fillId="0" borderId="0" xfId="1614" applyFont="1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3" fontId="65" fillId="0" borderId="0" xfId="1614" applyNumberFormat="1" applyFont="1" applyAlignment="1">
      <alignment horizontal="center" vertical="center"/>
    </xf>
    <xf numFmtId="0" fontId="65" fillId="0" borderId="0" xfId="1614" applyFont="1" applyAlignment="1">
      <alignment horizontal="center"/>
    </xf>
    <xf numFmtId="0" fontId="53" fillId="0" borderId="23" xfId="1614" applyFont="1" applyBorder="1" applyAlignment="1">
      <alignment horizontal="center" vertical="center"/>
    </xf>
    <xf numFmtId="0" fontId="53" fillId="0" borderId="24" xfId="1614" applyFont="1" applyBorder="1" applyAlignment="1">
      <alignment horizontal="left" vertical="center"/>
    </xf>
    <xf numFmtId="0" fontId="53" fillId="0" borderId="24" xfId="1614" applyFont="1" applyBorder="1" applyAlignment="1">
      <alignment vertical="center"/>
    </xf>
    <xf numFmtId="0" fontId="24" fillId="0" borderId="24" xfId="1614" applyFont="1" applyBorder="1" applyAlignment="1">
      <alignment horizontal="center" vertical="center"/>
    </xf>
    <xf numFmtId="3" fontId="48" fillId="0" borderId="24" xfId="1614" applyNumberFormat="1" applyFont="1" applyBorder="1" applyAlignment="1">
      <alignment horizontal="center" vertical="center"/>
    </xf>
    <xf numFmtId="3" fontId="48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4" fillId="0" borderId="0" xfId="1614" applyNumberFormat="1" applyFont="1" applyAlignment="1">
      <alignment horizontal="center"/>
    </xf>
    <xf numFmtId="37" fontId="66" fillId="0" borderId="0" xfId="1614" applyNumberFormat="1" applyFont="1" applyAlignment="1">
      <alignment horizontal="center"/>
    </xf>
    <xf numFmtId="37" fontId="56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6" fillId="0" borderId="30" xfId="1614" applyNumberFormat="1" applyFont="1" applyBorder="1" applyAlignment="1">
      <alignment horizontal="center"/>
    </xf>
    <xf numFmtId="0" fontId="55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3" fillId="0" borderId="0" xfId="1614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0" fontId="53" fillId="0" borderId="0" xfId="1614" applyFont="1" applyAlignment="1">
      <alignment vertical="center"/>
    </xf>
    <xf numFmtId="0" fontId="24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2" fillId="0" borderId="0" xfId="1614" applyFont="1" applyAlignment="1">
      <alignment vertical="center"/>
    </xf>
    <xf numFmtId="0" fontId="52" fillId="0" borderId="0" xfId="1614" applyFont="1" applyAlignment="1">
      <alignment horizontal="center"/>
    </xf>
    <xf numFmtId="0" fontId="95" fillId="0" borderId="0" xfId="1614" applyFont="1" applyAlignment="1">
      <alignment horizontal="center" vertical="center" wrapText="1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37" fontId="56" fillId="0" borderId="27" xfId="1614" applyNumberFormat="1" applyFont="1" applyBorder="1" applyAlignment="1">
      <alignment horizontal="center"/>
    </xf>
    <xf numFmtId="37" fontId="66" fillId="0" borderId="32" xfId="1614" applyNumberFormat="1" applyFont="1" applyBorder="1" applyAlignment="1">
      <alignment horizontal="center"/>
    </xf>
    <xf numFmtId="0" fontId="24" fillId="0" borderId="21" xfId="1652" applyFont="1" applyBorder="1" applyAlignment="1">
      <alignment horizontal="center" vertical="center"/>
    </xf>
    <xf numFmtId="0" fontId="47" fillId="0" borderId="0" xfId="1448" applyFont="1" applyAlignment="1">
      <alignment horizontal="left" vertical="center"/>
    </xf>
    <xf numFmtId="0" fontId="57" fillId="0" borderId="0" xfId="1448" applyFont="1" applyAlignment="1">
      <alignment horizontal="left" wrapText="1"/>
    </xf>
    <xf numFmtId="3" fontId="64" fillId="0" borderId="0" xfId="1614" applyNumberFormat="1" applyFont="1" applyAlignment="1">
      <alignment horizontal="center"/>
    </xf>
    <xf numFmtId="0" fontId="56" fillId="0" borderId="0" xfId="1614" applyFont="1"/>
    <xf numFmtId="0" fontId="48" fillId="0" borderId="21" xfId="1448" applyFont="1" applyBorder="1" applyAlignment="1">
      <alignment horizontal="center" vertical="center"/>
    </xf>
    <xf numFmtId="0" fontId="48" fillId="0" borderId="21" xfId="1448" applyFont="1" applyBorder="1" applyAlignment="1">
      <alignment horizontal="left" wrapText="1"/>
    </xf>
    <xf numFmtId="0" fontId="57" fillId="0" borderId="21" xfId="1448" applyFont="1" applyBorder="1" applyAlignment="1">
      <alignment horizontal="center" wrapText="1"/>
    </xf>
    <xf numFmtId="0" fontId="48" fillId="0" borderId="21" xfId="1448" applyFont="1" applyBorder="1" applyAlignment="1">
      <alignment horizontal="center" vertical="center" wrapText="1"/>
    </xf>
    <xf numFmtId="3" fontId="48" fillId="0" borderId="21" xfId="1448" applyNumberFormat="1" applyFont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66" fillId="0" borderId="34" xfId="1614" applyFont="1" applyBorder="1" applyAlignment="1">
      <alignment vertical="center"/>
    </xf>
    <xf numFmtId="169" fontId="48" fillId="0" borderId="0" xfId="714" applyFont="1" applyFill="1" applyAlignment="1">
      <alignment horizontal="center" wrapText="1"/>
    </xf>
    <xf numFmtId="169" fontId="47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center" wrapText="1"/>
    </xf>
    <xf numFmtId="169" fontId="48" fillId="0" borderId="21" xfId="715" applyNumberFormat="1" applyFont="1" applyFill="1" applyBorder="1" applyAlignment="1">
      <alignment horizontal="center" vertical="center" wrapText="1"/>
    </xf>
    <xf numFmtId="169" fontId="48" fillId="0" borderId="21" xfId="714" applyFont="1" applyFill="1" applyBorder="1" applyAlignment="1">
      <alignment horizontal="center" vertical="center" wrapText="1"/>
    </xf>
    <xf numFmtId="169" fontId="48" fillId="0" borderId="33" xfId="714" applyFont="1" applyFill="1" applyBorder="1" applyAlignment="1">
      <alignment horizontal="center" vertical="center" wrapText="1"/>
    </xf>
    <xf numFmtId="165" fontId="47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2" fillId="0" borderId="20" xfId="1652" applyFont="1" applyBorder="1" applyAlignment="1">
      <alignment horizontal="center" vertical="center"/>
    </xf>
    <xf numFmtId="0" fontId="22" fillId="0" borderId="21" xfId="1652" applyFont="1" applyBorder="1" applyAlignment="1">
      <alignment horizontal="center" vertical="center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6" fillId="0" borderId="0" xfId="1614" applyFont="1" applyAlignment="1">
      <alignment horizontal="left" vertical="center"/>
    </xf>
    <xf numFmtId="3" fontId="47" fillId="0" borderId="0" xfId="1614" applyNumberFormat="1" applyFont="1" applyAlignment="1">
      <alignment horizontal="left" vertical="center"/>
    </xf>
    <xf numFmtId="3" fontId="47" fillId="0" borderId="3" xfId="1448" applyNumberFormat="1" applyFont="1" applyBorder="1" applyAlignment="1">
      <alignment horizontal="center" vertical="center" wrapText="1"/>
    </xf>
    <xf numFmtId="0" fontId="48" fillId="0" borderId="21" xfId="1451" applyFont="1" applyBorder="1" applyAlignment="1">
      <alignment horizontal="left" vertical="center" wrapText="1"/>
    </xf>
    <xf numFmtId="0" fontId="60" fillId="0" borderId="18" xfId="1448" quotePrefix="1" applyFont="1" applyBorder="1" applyAlignment="1">
      <alignment horizontal="center" vertical="center" wrapText="1"/>
    </xf>
    <xf numFmtId="0" fontId="52" fillId="0" borderId="0" xfId="1505" applyFont="1"/>
    <xf numFmtId="0" fontId="64" fillId="0" borderId="0" xfId="1615" applyFont="1" applyAlignment="1">
      <alignment horizontal="center"/>
    </xf>
    <xf numFmtId="0" fontId="52" fillId="0" borderId="0" xfId="1615" applyFont="1" applyAlignment="1">
      <alignment horizontal="center" vertical="center"/>
    </xf>
    <xf numFmtId="0" fontId="47" fillId="0" borderId="0" xfId="1615" applyFont="1" applyAlignment="1">
      <alignment horizontal="left" vertical="center"/>
    </xf>
    <xf numFmtId="0" fontId="47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9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5" fontId="47" fillId="0" borderId="0" xfId="1615" applyNumberFormat="1" applyFont="1" applyAlignment="1">
      <alignment horizontal="left" vertical="center"/>
    </xf>
    <xf numFmtId="165" fontId="56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8" fillId="0" borderId="35" xfId="1615" applyFont="1" applyBorder="1" applyAlignment="1">
      <alignment horizontal="center" vertical="center"/>
    </xf>
    <xf numFmtId="0" fontId="48" fillId="0" borderId="35" xfId="1615" applyFont="1" applyBorder="1" applyAlignment="1">
      <alignment horizontal="left" vertical="center" wrapText="1"/>
    </xf>
    <xf numFmtId="0" fontId="48" fillId="0" borderId="35" xfId="1615" applyFont="1" applyBorder="1" applyAlignment="1">
      <alignment horizontal="center" vertical="center" wrapText="1"/>
    </xf>
    <xf numFmtId="0" fontId="50" fillId="0" borderId="35" xfId="1615" applyFont="1" applyBorder="1" applyAlignment="1">
      <alignment horizontal="center" vertical="center"/>
    </xf>
    <xf numFmtId="0" fontId="17" fillId="0" borderId="35" xfId="1653" applyFont="1" applyBorder="1" applyAlignment="1">
      <alignment horizontal="center" vertical="center"/>
    </xf>
    <xf numFmtId="3" fontId="50" fillId="0" borderId="35" xfId="1615" applyNumberFormat="1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0" fontId="17" fillId="0" borderId="0" xfId="1615" applyFont="1" applyAlignment="1">
      <alignment horizontal="center"/>
    </xf>
    <xf numFmtId="0" fontId="56" fillId="0" borderId="21" xfId="1653" applyFont="1" applyBorder="1" applyAlignment="1">
      <alignment horizontal="center" vertical="center"/>
    </xf>
    <xf numFmtId="0" fontId="56" fillId="0" borderId="21" xfId="1653" applyFont="1" applyBorder="1" applyAlignment="1">
      <alignment vertical="center" wrapText="1"/>
    </xf>
    <xf numFmtId="0" fontId="48" fillId="0" borderId="21" xfId="1615" applyFont="1" applyBorder="1" applyAlignment="1">
      <alignment horizontal="center" vertical="center" wrapText="1"/>
    </xf>
    <xf numFmtId="0" fontId="50" fillId="0" borderId="21" xfId="1615" applyFont="1" applyBorder="1" applyAlignment="1">
      <alignment horizontal="center" vertical="center"/>
    </xf>
    <xf numFmtId="0" fontId="17" fillId="0" borderId="21" xfId="1653" applyFont="1" applyBorder="1" applyAlignment="1">
      <alignment horizontal="center" vertical="center"/>
    </xf>
    <xf numFmtId="3" fontId="50" fillId="0" borderId="21" xfId="1615" applyNumberFormat="1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0" fontId="65" fillId="0" borderId="0" xfId="1615" applyFont="1" applyAlignment="1">
      <alignment horizontal="center"/>
    </xf>
    <xf numFmtId="3" fontId="17" fillId="0" borderId="21" xfId="1653" applyNumberFormat="1" applyFont="1" applyBorder="1" applyAlignment="1">
      <alignment horizontal="center" vertical="center"/>
    </xf>
    <xf numFmtId="0" fontId="52" fillId="0" borderId="0" xfId="1615" applyFont="1" applyAlignment="1">
      <alignment vertical="center"/>
    </xf>
    <xf numFmtId="0" fontId="52" fillId="0" borderId="33" xfId="1615" applyFont="1" applyBorder="1" applyAlignment="1">
      <alignment horizontal="center" vertical="center"/>
    </xf>
    <xf numFmtId="0" fontId="52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9" fillId="0" borderId="33" xfId="1615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4" fillId="0" borderId="0" xfId="1614" applyFont="1" applyAlignment="1">
      <alignment vertical="center"/>
    </xf>
    <xf numFmtId="0" fontId="64" fillId="0" borderId="0" xfId="1614" applyFont="1" applyAlignment="1">
      <alignment horizontal="center" vertical="center"/>
    </xf>
    <xf numFmtId="0" fontId="64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3" fillId="0" borderId="0" xfId="1614" applyFont="1" applyAlignment="1">
      <alignment horizontal="center"/>
    </xf>
    <xf numFmtId="0" fontId="95" fillId="0" borderId="0" xfId="1614" applyFont="1" applyAlignment="1">
      <alignment horizontal="center" vertical="center"/>
    </xf>
    <xf numFmtId="0" fontId="95" fillId="0" borderId="0" xfId="1614" applyFont="1" applyAlignment="1">
      <alignment vertical="center"/>
    </xf>
    <xf numFmtId="207" fontId="48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4" fontId="98" fillId="0" borderId="0" xfId="1448" applyNumberFormat="1" applyFont="1" applyAlignment="1">
      <alignment wrapText="1"/>
    </xf>
    <xf numFmtId="164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8" fillId="0" borderId="21" xfId="717" applyNumberFormat="1" applyFont="1" applyFill="1" applyBorder="1" applyAlignment="1" applyProtection="1">
      <alignment horizontal="center" vertical="center" wrapText="1"/>
    </xf>
    <xf numFmtId="164" fontId="48" fillId="0" borderId="21" xfId="1451" applyNumberFormat="1" applyFont="1" applyBorder="1" applyAlignment="1">
      <alignment horizontal="center" vertical="center" wrapText="1"/>
    </xf>
    <xf numFmtId="169" fontId="60" fillId="0" borderId="21" xfId="717" applyNumberFormat="1" applyFont="1" applyFill="1" applyBorder="1" applyAlignment="1" applyProtection="1">
      <alignment horizontal="center" vertical="center" wrapText="1"/>
    </xf>
    <xf numFmtId="0" fontId="48" fillId="0" borderId="21" xfId="1451" applyFont="1" applyBorder="1" applyAlignment="1">
      <alignment horizontal="center" vertical="center" wrapText="1"/>
    </xf>
    <xf numFmtId="169" fontId="48" fillId="0" borderId="21" xfId="728" applyFont="1" applyFill="1" applyBorder="1" applyAlignment="1" applyProtection="1">
      <alignment horizontal="center" vertical="center" wrapText="1"/>
    </xf>
    <xf numFmtId="3" fontId="48" fillId="0" borderId="21" xfId="1450" applyNumberFormat="1" applyFont="1" applyBorder="1" applyAlignment="1">
      <alignment horizontal="center" vertical="center" wrapText="1"/>
    </xf>
    <xf numFmtId="169" fontId="48" fillId="0" borderId="21" xfId="728" applyFont="1" applyFill="1" applyBorder="1" applyAlignment="1">
      <alignment horizontal="center" vertical="center" wrapText="1"/>
    </xf>
    <xf numFmtId="0" fontId="47" fillId="0" borderId="3" xfId="1448" applyFont="1" applyBorder="1" applyAlignment="1">
      <alignment horizontal="center" vertical="center"/>
    </xf>
    <xf numFmtId="0" fontId="47" fillId="0" borderId="3" xfId="1448" applyFont="1" applyBorder="1" applyAlignment="1">
      <alignment horizontal="left" vertical="center" wrapText="1"/>
    </xf>
    <xf numFmtId="0" fontId="47" fillId="0" borderId="3" xfId="1448" applyFont="1" applyBorder="1" applyAlignment="1">
      <alignment horizontal="center" vertical="center" wrapText="1"/>
    </xf>
    <xf numFmtId="169" fontId="47" fillId="0" borderId="3" xfId="715" applyNumberFormat="1" applyFont="1" applyFill="1" applyBorder="1" applyAlignment="1">
      <alignment horizontal="center" vertical="center" wrapText="1"/>
    </xf>
    <xf numFmtId="3" fontId="120" fillId="32" borderId="3" xfId="1448" applyNumberFormat="1" applyFont="1" applyFill="1" applyBorder="1" applyAlignment="1">
      <alignment horizontal="center" vertical="center" wrapText="1"/>
    </xf>
    <xf numFmtId="0" fontId="48" fillId="0" borderId="21" xfId="1451" applyFont="1" applyBorder="1" applyAlignment="1">
      <alignment horizontal="center" vertical="center"/>
    </xf>
    <xf numFmtId="0" fontId="123" fillId="0" borderId="21" xfId="1451" applyFont="1" applyBorder="1" applyAlignment="1">
      <alignment horizontal="left" vertical="center" wrapText="1"/>
    </xf>
    <xf numFmtId="0" fontId="48" fillId="33" borderId="21" xfId="1451" applyFont="1" applyFill="1" applyBorder="1" applyAlignment="1">
      <alignment horizontal="left" vertical="center" wrapText="1"/>
    </xf>
    <xf numFmtId="0" fontId="48" fillId="0" borderId="21" xfId="1451" applyFont="1" applyBorder="1" applyAlignment="1">
      <alignment horizontal="left" wrapText="1"/>
    </xf>
    <xf numFmtId="0" fontId="48" fillId="0" borderId="21" xfId="1450" applyFont="1" applyBorder="1" applyAlignment="1">
      <alignment horizontal="center" vertical="center"/>
    </xf>
    <xf numFmtId="0" fontId="48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5" fontId="119" fillId="0" borderId="0" xfId="523" applyFont="1" applyFill="1" applyAlignment="1">
      <alignment horizontal="left" wrapText="1"/>
    </xf>
    <xf numFmtId="0" fontId="12" fillId="0" borderId="0" xfId="2673" applyAlignment="1">
      <alignment vertical="center" wrapText="1"/>
    </xf>
    <xf numFmtId="0" fontId="12" fillId="0" borderId="0" xfId="2673" applyAlignment="1">
      <alignment horizontal="center" vertical="center" wrapText="1"/>
    </xf>
    <xf numFmtId="0" fontId="12" fillId="0" borderId="28" xfId="2673" applyBorder="1" applyAlignment="1">
      <alignment vertical="center" wrapText="1"/>
    </xf>
    <xf numFmtId="0" fontId="121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21" fillId="0" borderId="28" xfId="2673" applyFont="1" applyBorder="1" applyAlignment="1">
      <alignment vertical="center" wrapText="1"/>
    </xf>
    <xf numFmtId="0" fontId="14" fillId="0" borderId="21" xfId="1615" applyFont="1" applyBorder="1" applyAlignment="1">
      <alignment horizontal="center" vertical="center"/>
    </xf>
    <xf numFmtId="0" fontId="133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7" fillId="0" borderId="21" xfId="1450" applyFont="1" applyBorder="1" applyAlignment="1">
      <alignment horizontal="center" wrapText="1"/>
    </xf>
    <xf numFmtId="0" fontId="48" fillId="0" borderId="21" xfId="1450" applyFont="1" applyBorder="1" applyAlignment="1">
      <alignment horizontal="center" vertical="center" wrapText="1"/>
    </xf>
    <xf numFmtId="3" fontId="48" fillId="0" borderId="21" xfId="1451" applyNumberFormat="1" applyFont="1" applyBorder="1" applyAlignment="1">
      <alignment horizontal="center" vertical="center" wrapText="1"/>
    </xf>
    <xf numFmtId="164" fontId="48" fillId="0" borderId="21" xfId="1450" applyNumberFormat="1" applyFont="1" applyBorder="1" applyAlignment="1">
      <alignment horizontal="center" vertical="center" wrapText="1"/>
    </xf>
    <xf numFmtId="3" fontId="48" fillId="0" borderId="0" xfId="1451" applyNumberFormat="1" applyFont="1" applyAlignment="1">
      <alignment horizontal="center" vertical="center" wrapText="1"/>
    </xf>
    <xf numFmtId="0" fontId="25" fillId="0" borderId="0" xfId="1649"/>
    <xf numFmtId="3" fontId="123" fillId="0" borderId="21" xfId="1451" applyNumberFormat="1" applyFont="1" applyBorder="1" applyAlignment="1">
      <alignment horizontal="center" vertical="center" wrapText="1"/>
    </xf>
    <xf numFmtId="3" fontId="14" fillId="0" borderId="21" xfId="1615" applyNumberFormat="1" applyFont="1" applyBorder="1" applyAlignment="1">
      <alignment horizontal="center" vertical="center"/>
    </xf>
    <xf numFmtId="0" fontId="13" fillId="0" borderId="0" xfId="2670" applyAlignment="1">
      <alignment horizontal="center" vertical="center"/>
    </xf>
    <xf numFmtId="0" fontId="129" fillId="36" borderId="0" xfId="2670" applyFont="1" applyFill="1" applyAlignment="1">
      <alignment horizontal="left" vertical="center"/>
    </xf>
    <xf numFmtId="0" fontId="129" fillId="36" borderId="0" xfId="2670" applyFont="1" applyFill="1" applyAlignment="1">
      <alignment horizontal="center" vertical="center"/>
    </xf>
    <xf numFmtId="0" fontId="130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left" vertical="center"/>
    </xf>
    <xf numFmtId="0" fontId="131" fillId="36" borderId="0" xfId="2670" applyFont="1" applyFill="1" applyAlignment="1">
      <alignment horizontal="center" vertical="center"/>
    </xf>
    <xf numFmtId="0" fontId="131" fillId="36" borderId="0" xfId="2670" applyFont="1" applyFill="1" applyAlignment="1">
      <alignment horizontal="right" vertical="center"/>
    </xf>
    <xf numFmtId="9" fontId="132" fillId="36" borderId="0" xfId="2671" applyFont="1" applyFill="1" applyBorder="1" applyAlignment="1" applyProtection="1">
      <alignment horizontal="right" vertical="center"/>
    </xf>
    <xf numFmtId="165" fontId="131" fillId="36" borderId="0" xfId="2672" applyFont="1" applyFill="1" applyBorder="1" applyAlignment="1" applyProtection="1">
      <alignment horizontal="right" vertical="center"/>
    </xf>
    <xf numFmtId="165" fontId="132" fillId="36" borderId="0" xfId="2672" applyFont="1" applyFill="1" applyBorder="1" applyAlignment="1" applyProtection="1">
      <alignment horizontal="right" vertical="center"/>
    </xf>
    <xf numFmtId="10" fontId="132" fillId="36" borderId="0" xfId="2671" applyNumberFormat="1" applyFont="1" applyFill="1" applyBorder="1" applyAlignment="1" applyProtection="1">
      <alignment horizontal="right" vertical="center"/>
    </xf>
    <xf numFmtId="169" fontId="131" fillId="36" borderId="0" xfId="2672" applyNumberFormat="1" applyFont="1" applyFill="1" applyBorder="1" applyAlignment="1" applyProtection="1">
      <alignment horizontal="right" vertical="center"/>
    </xf>
    <xf numFmtId="0" fontId="125" fillId="0" borderId="0" xfId="2670" applyFont="1" applyAlignment="1">
      <alignment horizontal="left" vertical="center"/>
    </xf>
    <xf numFmtId="0" fontId="128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5" fillId="0" borderId="0" xfId="1538"/>
    <xf numFmtId="165" fontId="115" fillId="0" borderId="0" xfId="1538" applyNumberFormat="1"/>
    <xf numFmtId="0" fontId="65" fillId="0" borderId="0" xfId="1538" applyFont="1"/>
    <xf numFmtId="0" fontId="118" fillId="0" borderId="0" xfId="1538" applyFont="1"/>
    <xf numFmtId="0" fontId="56" fillId="0" borderId="42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5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5" fontId="0" fillId="0" borderId="3" xfId="1026" applyFont="1" applyFill="1" applyBorder="1" applyProtection="1"/>
    <xf numFmtId="165" fontId="115" fillId="0" borderId="3" xfId="1538" applyNumberFormat="1" applyBorder="1"/>
    <xf numFmtId="165" fontId="126" fillId="0" borderId="3" xfId="1026" applyFont="1" applyBorder="1" applyProtection="1"/>
    <xf numFmtId="165" fontId="0" fillId="0" borderId="3" xfId="1026" applyFont="1" applyBorder="1" applyProtection="1"/>
    <xf numFmtId="165" fontId="118" fillId="0" borderId="3" xfId="1538" applyNumberFormat="1" applyFont="1" applyBorder="1"/>
    <xf numFmtId="0" fontId="65" fillId="0" borderId="3" xfId="1538" applyFont="1" applyBorder="1"/>
    <xf numFmtId="164" fontId="115" fillId="0" borderId="3" xfId="1538" applyNumberFormat="1" applyBorder="1"/>
    <xf numFmtId="165" fontId="107" fillId="0" borderId="3" xfId="1026" applyFont="1" applyFill="1" applyBorder="1" applyProtection="1"/>
    <xf numFmtId="0" fontId="53" fillId="0" borderId="0" xfId="1538" applyFont="1"/>
    <xf numFmtId="0" fontId="53" fillId="0" borderId="3" xfId="1538" applyFont="1" applyBorder="1" applyAlignment="1">
      <alignment horizontal="center"/>
    </xf>
    <xf numFmtId="165" fontId="53" fillId="0" borderId="3" xfId="1538" applyNumberFormat="1" applyFont="1" applyBorder="1"/>
    <xf numFmtId="0" fontId="115" fillId="29" borderId="0" xfId="1538" applyFill="1"/>
    <xf numFmtId="0" fontId="53" fillId="0" borderId="0" xfId="1538" applyFont="1" applyAlignment="1">
      <alignment horizontal="center"/>
    </xf>
    <xf numFmtId="165" fontId="53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5" fontId="115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34" fillId="0" borderId="0" xfId="1614" applyFont="1" applyAlignment="1">
      <alignment horizontal="center"/>
    </xf>
    <xf numFmtId="0" fontId="135" fillId="0" borderId="0" xfId="1614" applyFont="1" applyAlignment="1">
      <alignment horizontal="center" vertical="center"/>
    </xf>
    <xf numFmtId="0" fontId="136" fillId="0" borderId="0" xfId="1614" applyFont="1" applyAlignment="1">
      <alignment horizontal="left" vertical="center"/>
    </xf>
    <xf numFmtId="0" fontId="136" fillId="0" borderId="0" xfId="1614" applyFont="1" applyAlignment="1">
      <alignment vertical="center"/>
    </xf>
    <xf numFmtId="0" fontId="137" fillId="0" borderId="0" xfId="1614" applyFont="1" applyAlignment="1">
      <alignment horizontal="center" vertical="center"/>
    </xf>
    <xf numFmtId="3" fontId="135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 vertical="center"/>
    </xf>
    <xf numFmtId="0" fontId="137" fillId="0" borderId="0" xfId="1614" applyFont="1" applyAlignment="1">
      <alignment horizontal="center"/>
    </xf>
    <xf numFmtId="0" fontId="135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/>
    </xf>
    <xf numFmtId="0" fontId="139" fillId="0" borderId="0" xfId="1614" applyFont="1"/>
    <xf numFmtId="165" fontId="139" fillId="0" borderId="0" xfId="1652" applyNumberFormat="1" applyFont="1"/>
    <xf numFmtId="0" fontId="139" fillId="0" borderId="0" xfId="1614" applyFont="1" applyAlignment="1">
      <alignment horizontal="left" vertical="center"/>
    </xf>
    <xf numFmtId="0" fontId="139" fillId="0" borderId="0" xfId="1614" applyFont="1" applyAlignment="1">
      <alignment horizontal="center" vertical="center"/>
    </xf>
    <xf numFmtId="3" fontId="136" fillId="0" borderId="0" xfId="1614" applyNumberFormat="1" applyFont="1" applyAlignment="1">
      <alignment horizontal="left" vertical="center"/>
    </xf>
    <xf numFmtId="0" fontId="139" fillId="0" borderId="0" xfId="1614" applyFont="1" applyAlignment="1">
      <alignment horizontal="center"/>
    </xf>
    <xf numFmtId="0" fontId="136" fillId="0" borderId="0" xfId="1614" applyFont="1" applyAlignment="1">
      <alignment horizontal="center"/>
    </xf>
    <xf numFmtId="0" fontId="139" fillId="0" borderId="0" xfId="1614" applyFont="1" applyAlignment="1">
      <alignment horizontal="center" vertical="center" wrapText="1"/>
    </xf>
    <xf numFmtId="0" fontId="136" fillId="0" borderId="0" xfId="1614" applyFont="1" applyAlignment="1">
      <alignment horizontal="center" vertical="center" wrapText="1"/>
    </xf>
    <xf numFmtId="3" fontId="135" fillId="0" borderId="0" xfId="1614" applyNumberFormat="1" applyFont="1" applyAlignment="1">
      <alignment vertical="center"/>
    </xf>
    <xf numFmtId="0" fontId="136" fillId="0" borderId="20" xfId="1615" applyFont="1" applyBorder="1" applyAlignment="1">
      <alignment horizontal="center" vertical="center"/>
    </xf>
    <xf numFmtId="0" fontId="136" fillId="0" borderId="21" xfId="1615" applyFont="1" applyBorder="1" applyAlignment="1">
      <alignment horizontal="left" vertical="center" wrapText="1"/>
    </xf>
    <xf numFmtId="0" fontId="135" fillId="0" borderId="21" xfId="1614" applyFont="1" applyBorder="1" applyAlignment="1">
      <alignment horizontal="center" vertical="center" wrapText="1"/>
    </xf>
    <xf numFmtId="0" fontId="142" fillId="0" borderId="21" xfId="1614" applyFont="1" applyBorder="1" applyAlignment="1">
      <alignment horizontal="center" vertical="center"/>
    </xf>
    <xf numFmtId="3" fontId="142" fillId="0" borderId="21" xfId="1614" applyNumberFormat="1" applyFont="1" applyBorder="1" applyAlignment="1">
      <alignment horizontal="center" vertical="center"/>
    </xf>
    <xf numFmtId="3" fontId="135" fillId="0" borderId="21" xfId="1614" applyNumberFormat="1" applyFont="1" applyBorder="1" applyAlignment="1">
      <alignment horizontal="center" vertical="center"/>
    </xf>
    <xf numFmtId="3" fontId="135" fillId="0" borderId="22" xfId="1614" applyNumberFormat="1" applyFont="1" applyBorder="1" applyAlignment="1">
      <alignment horizontal="center" vertical="center"/>
    </xf>
    <xf numFmtId="3" fontId="135" fillId="0" borderId="0" xfId="1614" applyNumberFormat="1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42" fillId="0" borderId="0" xfId="1614" applyFont="1" applyAlignment="1">
      <alignment horizontal="center"/>
    </xf>
    <xf numFmtId="0" fontId="137" fillId="0" borderId="21" xfId="1653" applyFont="1" applyBorder="1" applyAlignment="1">
      <alignment horizontal="center" vertical="center"/>
    </xf>
    <xf numFmtId="3" fontId="138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5" fillId="0" borderId="21" xfId="1451" applyFont="1" applyBorder="1" applyAlignment="1">
      <alignment horizontal="left" vertical="center" wrapText="1"/>
    </xf>
    <xf numFmtId="0" fontId="137" fillId="0" borderId="20" xfId="1652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9" fillId="0" borderId="20" xfId="1652" applyFont="1" applyBorder="1" applyAlignment="1">
      <alignment horizontal="center" vertical="center"/>
    </xf>
    <xf numFmtId="0" fontId="139" fillId="0" borderId="21" xfId="1652" applyFont="1" applyBorder="1" applyAlignment="1">
      <alignment vertical="center" wrapText="1"/>
    </xf>
    <xf numFmtId="0" fontId="142" fillId="0" borderId="21" xfId="1652" applyFont="1" applyBorder="1" applyAlignment="1">
      <alignment horizontal="center" vertical="center"/>
    </xf>
    <xf numFmtId="0" fontId="142" fillId="0" borderId="44" xfId="1652" applyFont="1" applyBorder="1" applyAlignment="1">
      <alignment horizontal="center" vertical="center"/>
    </xf>
    <xf numFmtId="0" fontId="142" fillId="0" borderId="3" xfId="1652" applyFont="1" applyBorder="1" applyAlignment="1">
      <alignment vertical="center" wrapText="1"/>
    </xf>
    <xf numFmtId="0" fontId="135" fillId="0" borderId="3" xfId="1614" applyFont="1" applyBorder="1" applyAlignment="1">
      <alignment horizontal="center" vertical="center" wrapText="1"/>
    </xf>
    <xf numFmtId="0" fontId="142" fillId="0" borderId="3" xfId="1614" applyFont="1" applyBorder="1" applyAlignment="1">
      <alignment horizontal="center" vertical="center"/>
    </xf>
    <xf numFmtId="0" fontId="142" fillId="0" borderId="3" xfId="1652" applyFont="1" applyBorder="1" applyAlignment="1">
      <alignment horizontal="center" vertical="center"/>
    </xf>
    <xf numFmtId="207" fontId="142" fillId="0" borderId="3" xfId="1614" applyNumberFormat="1" applyFont="1" applyBorder="1" applyAlignment="1">
      <alignment horizontal="center" vertical="center"/>
    </xf>
    <xf numFmtId="3" fontId="135" fillId="0" borderId="3" xfId="1614" applyNumberFormat="1" applyFont="1" applyBorder="1" applyAlignment="1">
      <alignment horizontal="center" vertical="center"/>
    </xf>
    <xf numFmtId="3" fontId="135" fillId="0" borderId="39" xfId="1614" applyNumberFormat="1" applyFont="1" applyBorder="1" applyAlignment="1">
      <alignment horizontal="center" vertical="center"/>
    </xf>
    <xf numFmtId="0" fontId="142" fillId="0" borderId="20" xfId="1652" applyFont="1" applyBorder="1" applyAlignment="1">
      <alignment horizontal="center" vertical="center"/>
    </xf>
    <xf numFmtId="0" fontId="142" fillId="0" borderId="21" xfId="1652" applyFont="1" applyBorder="1" applyAlignment="1">
      <alignment vertical="center" wrapText="1"/>
    </xf>
    <xf numFmtId="0" fontId="135" fillId="0" borderId="23" xfId="1614" applyFont="1" applyBorder="1" applyAlignment="1">
      <alignment horizontal="center" vertical="center"/>
    </xf>
    <xf numFmtId="0" fontId="135" fillId="0" borderId="24" xfId="1614" applyFont="1" applyBorder="1" applyAlignment="1">
      <alignment horizontal="left" vertical="center"/>
    </xf>
    <xf numFmtId="0" fontId="135" fillId="0" borderId="24" xfId="1614" applyFont="1" applyBorder="1" applyAlignment="1">
      <alignment vertical="center"/>
    </xf>
    <xf numFmtId="0" fontId="142" fillId="0" borderId="24" xfId="1614" applyFont="1" applyBorder="1" applyAlignment="1">
      <alignment horizontal="center" vertical="center"/>
    </xf>
    <xf numFmtId="3" fontId="135" fillId="0" borderId="24" xfId="1614" applyNumberFormat="1" applyFont="1" applyBorder="1" applyAlignment="1">
      <alignment horizontal="center" vertical="center"/>
    </xf>
    <xf numFmtId="3" fontId="135" fillId="0" borderId="25" xfId="1614" applyNumberFormat="1" applyFont="1" applyBorder="1" applyAlignment="1">
      <alignment horizontal="center" vertical="center"/>
    </xf>
    <xf numFmtId="0" fontId="137" fillId="0" borderId="26" xfId="1614" applyFont="1" applyBorder="1" applyAlignment="1">
      <alignment horizontal="center" vertical="center"/>
    </xf>
    <xf numFmtId="37" fontId="139" fillId="0" borderId="27" xfId="1614" applyNumberFormat="1" applyFont="1" applyBorder="1" applyAlignment="1">
      <alignment horizontal="center"/>
    </xf>
    <xf numFmtId="37" fontId="137" fillId="0" borderId="27" xfId="1614" applyNumberFormat="1" applyFont="1" applyBorder="1" applyAlignment="1">
      <alignment horizontal="center"/>
    </xf>
    <xf numFmtId="0" fontId="137" fillId="0" borderId="28" xfId="1614" applyFont="1" applyBorder="1" applyAlignment="1">
      <alignment horizontal="center" vertical="center"/>
    </xf>
    <xf numFmtId="37" fontId="139" fillId="0" borderId="29" xfId="1614" applyNumberFormat="1" applyFont="1" applyBorder="1" applyAlignment="1">
      <alignment horizontal="center"/>
    </xf>
    <xf numFmtId="37" fontId="137" fillId="0" borderId="29" xfId="1614" applyNumberFormat="1" applyFont="1" applyBorder="1" applyAlignment="1">
      <alignment horizontal="center"/>
    </xf>
    <xf numFmtId="37" fontId="143" fillId="0" borderId="30" xfId="1614" applyNumberFormat="1" applyFont="1" applyBorder="1" applyAlignment="1">
      <alignment horizontal="center"/>
    </xf>
    <xf numFmtId="37" fontId="143" fillId="0" borderId="32" xfId="1614" applyNumberFormat="1" applyFont="1" applyBorder="1" applyAlignment="1">
      <alignment horizontal="center"/>
    </xf>
    <xf numFmtId="0" fontId="143" fillId="0" borderId="34" xfId="1614" applyFont="1" applyBorder="1" applyAlignment="1">
      <alignment vertical="center"/>
    </xf>
    <xf numFmtId="0" fontId="137" fillId="0" borderId="19" xfId="1614" applyFont="1" applyBorder="1"/>
    <xf numFmtId="0" fontId="137" fillId="0" borderId="19" xfId="1614" applyFont="1" applyBorder="1" applyAlignment="1">
      <alignment horizontal="center"/>
    </xf>
    <xf numFmtId="0" fontId="137" fillId="0" borderId="19" xfId="1614" applyFont="1" applyBorder="1" applyAlignment="1">
      <alignment horizontal="right"/>
    </xf>
    <xf numFmtId="0" fontId="137" fillId="0" borderId="31" xfId="1614" applyFont="1" applyBorder="1" applyAlignment="1">
      <alignment horizontal="right"/>
    </xf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vertical="center"/>
    </xf>
    <xf numFmtId="0" fontId="142" fillId="0" borderId="0" xfId="1614" applyFont="1" applyAlignment="1">
      <alignment horizontal="center" vertical="center"/>
    </xf>
    <xf numFmtId="164" fontId="142" fillId="0" borderId="0" xfId="1652" applyNumberFormat="1" applyFont="1" applyAlignment="1">
      <alignment vertical="center"/>
    </xf>
    <xf numFmtId="0" fontId="137" fillId="0" borderId="0" xfId="1652" applyFont="1" applyAlignment="1">
      <alignment horizontal="right"/>
    </xf>
    <xf numFmtId="0" fontId="144" fillId="0" borderId="0" xfId="1644" applyFont="1" applyAlignment="1">
      <alignment horizontal="center" vertical="center"/>
    </xf>
    <xf numFmtId="0" fontId="142" fillId="0" borderId="0" xfId="1652" applyFont="1" applyAlignment="1">
      <alignment vertical="center"/>
    </xf>
    <xf numFmtId="0" fontId="145" fillId="39" borderId="59" xfId="2670" applyFont="1" applyFill="1" applyBorder="1" applyAlignment="1">
      <alignment horizontal="left" vertical="center"/>
    </xf>
    <xf numFmtId="0" fontId="145" fillId="39" borderId="60" xfId="2670" applyFont="1" applyFill="1" applyBorder="1" applyAlignment="1">
      <alignment horizontal="center" vertical="center"/>
    </xf>
    <xf numFmtId="0" fontId="145" fillId="39" borderId="62" xfId="2670" applyFont="1" applyFill="1" applyBorder="1" applyAlignment="1">
      <alignment horizontal="left" vertical="center"/>
    </xf>
    <xf numFmtId="0" fontId="145" fillId="39" borderId="58" xfId="2670" applyFont="1" applyFill="1" applyBorder="1" applyAlignment="1">
      <alignment horizontal="center" vertical="center"/>
    </xf>
    <xf numFmtId="0" fontId="145" fillId="39" borderId="64" xfId="2670" applyFont="1" applyFill="1" applyBorder="1" applyAlignment="1">
      <alignment horizontal="left" vertical="center"/>
    </xf>
    <xf numFmtId="0" fontId="145" fillId="39" borderId="65" xfId="2670" applyFont="1" applyFill="1" applyBorder="1" applyAlignment="1">
      <alignment horizontal="center" vertical="center"/>
    </xf>
    <xf numFmtId="165" fontId="127" fillId="40" borderId="61" xfId="2672" applyFont="1" applyFill="1" applyBorder="1" applyAlignment="1" applyProtection="1">
      <alignment horizontal="right" vertical="center" wrapText="1"/>
      <protection locked="0"/>
    </xf>
    <xf numFmtId="165" fontId="127" fillId="40" borderId="63" xfId="2672" applyFont="1" applyFill="1" applyBorder="1" applyAlignment="1" applyProtection="1">
      <alignment horizontal="right" vertical="center"/>
      <protection locked="0"/>
    </xf>
    <xf numFmtId="169" fontId="127" fillId="40" borderId="63" xfId="2672" applyNumberFormat="1" applyFont="1" applyFill="1" applyBorder="1" applyAlignment="1" applyProtection="1">
      <alignment horizontal="right" vertical="center"/>
      <protection locked="0"/>
    </xf>
    <xf numFmtId="169" fontId="127" fillId="40" borderId="66" xfId="2672" applyNumberFormat="1" applyFont="1" applyFill="1" applyBorder="1" applyAlignment="1" applyProtection="1">
      <alignment horizontal="right" vertical="center"/>
      <protection locked="0"/>
    </xf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51" xfId="2673" applyFont="1" applyBorder="1" applyAlignment="1">
      <alignment horizontal="center" vertical="center" wrapText="1"/>
    </xf>
    <xf numFmtId="0" fontId="148" fillId="0" borderId="0" xfId="2673" applyFont="1" applyAlignment="1">
      <alignment horizontal="center" vertical="center" wrapText="1"/>
    </xf>
    <xf numFmtId="0" fontId="149" fillId="0" borderId="0" xfId="2673" applyFont="1" applyAlignment="1">
      <alignment vertical="center" wrapText="1"/>
    </xf>
    <xf numFmtId="0" fontId="150" fillId="0" borderId="0" xfId="2673" applyFont="1" applyAlignment="1">
      <alignment vertical="center" wrapText="1"/>
    </xf>
    <xf numFmtId="0" fontId="133" fillId="35" borderId="70" xfId="2673" applyFont="1" applyFill="1" applyBorder="1" applyAlignment="1">
      <alignment vertical="center" wrapText="1"/>
    </xf>
    <xf numFmtId="0" fontId="133" fillId="43" borderId="70" xfId="2673" applyFont="1" applyFill="1" applyBorder="1" applyAlignment="1">
      <alignment vertical="center" wrapText="1"/>
    </xf>
    <xf numFmtId="0" fontId="147" fillId="0" borderId="0" xfId="2673" applyFont="1" applyAlignment="1">
      <alignment vertical="center" wrapText="1"/>
    </xf>
    <xf numFmtId="0" fontId="153" fillId="0" borderId="0" xfId="2673" applyFont="1" applyAlignment="1">
      <alignment horizontal="center" vertical="center" wrapText="1"/>
    </xf>
    <xf numFmtId="1" fontId="154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22" fillId="35" borderId="32" xfId="2673" applyFont="1" applyFill="1" applyBorder="1" applyAlignment="1">
      <alignment vertical="center" wrapText="1"/>
    </xf>
    <xf numFmtId="0" fontId="122" fillId="43" borderId="32" xfId="2673" applyFont="1" applyFill="1" applyBorder="1" applyAlignment="1">
      <alignment vertical="center" wrapText="1"/>
    </xf>
    <xf numFmtId="0" fontId="122" fillId="0" borderId="0" xfId="2673" applyFont="1" applyAlignment="1">
      <alignment vertical="center" wrapText="1"/>
    </xf>
    <xf numFmtId="2" fontId="122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3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2" fillId="0" borderId="0" xfId="2673" applyNumberFormat="1" applyAlignment="1">
      <alignment vertical="center" wrapText="1"/>
    </xf>
    <xf numFmtId="1" fontId="1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2" fillId="0" borderId="0" xfId="2675" applyFont="1" applyFill="1" applyBorder="1" applyAlignment="1">
      <alignment horizontal="center" vertical="center" wrapText="1"/>
    </xf>
    <xf numFmtId="1" fontId="122" fillId="0" borderId="45" xfId="2673" applyNumberFormat="1" applyFont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55" fillId="0" borderId="0" xfId="2673" applyFont="1" applyAlignment="1">
      <alignment horizontal="center" vertical="center" wrapText="1"/>
    </xf>
    <xf numFmtId="2" fontId="155" fillId="0" borderId="0" xfId="2673" applyNumberFormat="1" applyFont="1" applyAlignment="1">
      <alignment horizontal="center" vertical="center" wrapText="1"/>
    </xf>
    <xf numFmtId="1" fontId="155" fillId="0" borderId="0" xfId="2673" applyNumberFormat="1" applyFont="1" applyAlignment="1">
      <alignment horizontal="center" vertical="center" wrapText="1"/>
    </xf>
    <xf numFmtId="0" fontId="156" fillId="0" borderId="0" xfId="2673" applyFont="1" applyAlignment="1">
      <alignment vertical="center" wrapText="1"/>
    </xf>
    <xf numFmtId="0" fontId="133" fillId="35" borderId="46" xfId="2673" applyFont="1" applyFill="1" applyBorder="1" applyAlignment="1">
      <alignment vertical="center" wrapText="1"/>
    </xf>
    <xf numFmtId="0" fontId="133" fillId="0" borderId="48" xfId="2673" applyFont="1" applyBorder="1" applyAlignment="1">
      <alignment horizontal="center" vertical="center" wrapText="1"/>
    </xf>
    <xf numFmtId="0" fontId="133" fillId="35" borderId="44" xfId="2673" applyFont="1" applyFill="1" applyBorder="1" applyAlignment="1">
      <alignment vertical="center" wrapText="1"/>
    </xf>
    <xf numFmtId="1" fontId="122" fillId="0" borderId="50" xfId="2673" applyNumberFormat="1" applyFont="1" applyBorder="1" applyAlignment="1">
      <alignment vertical="center" wrapText="1"/>
    </xf>
    <xf numFmtId="0" fontId="122" fillId="35" borderId="44" xfId="2673" applyFont="1" applyFill="1" applyBorder="1" applyAlignment="1">
      <alignment vertical="center" wrapText="1"/>
    </xf>
    <xf numFmtId="0" fontId="122" fillId="35" borderId="74" xfId="2673" applyFont="1" applyFill="1" applyBorder="1" applyAlignment="1">
      <alignment vertical="center" wrapText="1"/>
    </xf>
    <xf numFmtId="0" fontId="109" fillId="0" borderId="52" xfId="2673" applyFont="1" applyBorder="1" applyAlignment="1">
      <alignment horizontal="center" vertical="center" wrapText="1"/>
    </xf>
    <xf numFmtId="0" fontId="133" fillId="0" borderId="46" xfId="2673" applyFont="1" applyBorder="1" applyAlignment="1">
      <alignment vertical="center" wrapText="1"/>
    </xf>
    <xf numFmtId="0" fontId="133" fillId="0" borderId="44" xfId="2673" applyFont="1" applyBorder="1" applyAlignment="1">
      <alignment vertical="center" wrapText="1"/>
    </xf>
    <xf numFmtId="0" fontId="122" fillId="0" borderId="44" xfId="2673" applyFont="1" applyBorder="1" applyAlignment="1">
      <alignment vertical="center" wrapText="1"/>
    </xf>
    <xf numFmtId="0" fontId="122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8" fillId="0" borderId="0" xfId="2676" applyFont="1" applyAlignment="1">
      <alignment horizontal="center" vertical="center"/>
    </xf>
    <xf numFmtId="0" fontId="11" fillId="0" borderId="0" xfId="2670" applyFont="1" applyAlignment="1">
      <alignment horizontal="center" vertical="center"/>
    </xf>
    <xf numFmtId="0" fontId="118" fillId="0" borderId="0" xfId="2670" applyFont="1" applyAlignment="1">
      <alignment horizontal="left" vertical="center"/>
    </xf>
    <xf numFmtId="0" fontId="11" fillId="0" borderId="21" xfId="1653" applyFont="1" applyBorder="1" applyAlignment="1">
      <alignment horizontal="left" vertical="center" wrapText="1"/>
    </xf>
    <xf numFmtId="207" fontId="48" fillId="0" borderId="21" xfId="2549" applyNumberFormat="1" applyFont="1" applyBorder="1" applyAlignment="1">
      <alignment horizontal="center" vertical="center" wrapText="1"/>
    </xf>
    <xf numFmtId="0" fontId="48" fillId="0" borderId="21" xfId="2677" applyFont="1" applyBorder="1" applyAlignment="1">
      <alignment horizontal="left" vertical="center" wrapText="1"/>
    </xf>
    <xf numFmtId="169" fontId="131" fillId="47" borderId="0" xfId="2672" applyNumberFormat="1" applyFont="1" applyFill="1" applyBorder="1" applyAlignment="1" applyProtection="1">
      <alignment horizontal="right" vertical="center"/>
    </xf>
    <xf numFmtId="0" fontId="142" fillId="0" borderId="21" xfId="1615" applyFont="1" applyBorder="1" applyAlignment="1">
      <alignment horizontal="center" vertical="center"/>
    </xf>
    <xf numFmtId="20" fontId="159" fillId="33" borderId="101" xfId="0" applyNumberFormat="1" applyFont="1" applyFill="1" applyBorder="1" applyAlignment="1">
      <alignment horizontal="center"/>
    </xf>
    <xf numFmtId="0" fontId="141" fillId="0" borderId="20" xfId="1652" applyFont="1" applyBorder="1" applyAlignment="1">
      <alignment horizontal="center" vertical="center"/>
    </xf>
    <xf numFmtId="0" fontId="141" fillId="0" borderId="21" xfId="1652" applyFont="1" applyBorder="1" applyAlignment="1">
      <alignment vertical="center" wrapText="1"/>
    </xf>
    <xf numFmtId="0" fontId="159" fillId="33" borderId="26" xfId="0" applyFont="1" applyFill="1" applyBorder="1" applyAlignment="1">
      <alignment horizontal="center"/>
    </xf>
    <xf numFmtId="0" fontId="159" fillId="33" borderId="36" xfId="0" applyFont="1" applyFill="1" applyBorder="1" applyAlignment="1">
      <alignment horizontal="center"/>
    </xf>
    <xf numFmtId="0" fontId="159" fillId="33" borderId="28" xfId="0" applyFont="1" applyFill="1" applyBorder="1" applyAlignment="1">
      <alignment horizontal="center"/>
    </xf>
    <xf numFmtId="0" fontId="163" fillId="33" borderId="18" xfId="0" applyFont="1" applyFill="1" applyBorder="1" applyAlignment="1">
      <alignment horizontal="left"/>
    </xf>
    <xf numFmtId="0" fontId="159" fillId="33" borderId="37" xfId="0" applyFont="1" applyFill="1" applyBorder="1" applyAlignment="1">
      <alignment horizontal="center"/>
    </xf>
    <xf numFmtId="0" fontId="162" fillId="33" borderId="0" xfId="0" applyFont="1" applyFill="1" applyAlignment="1">
      <alignment horizontal="center"/>
    </xf>
    <xf numFmtId="0" fontId="164" fillId="33" borderId="28" xfId="0" applyFont="1" applyFill="1" applyBorder="1" applyAlignment="1">
      <alignment horizontal="center"/>
    </xf>
    <xf numFmtId="0" fontId="164" fillId="33" borderId="0" xfId="0" applyFont="1" applyFill="1" applyAlignment="1">
      <alignment horizontal="center"/>
    </xf>
    <xf numFmtId="0" fontId="166" fillId="33" borderId="81" xfId="0" applyFont="1" applyFill="1" applyBorder="1" applyAlignment="1">
      <alignment horizontal="center" vertical="center"/>
    </xf>
    <xf numFmtId="0" fontId="166" fillId="33" borderId="82" xfId="0" applyFont="1" applyFill="1" applyBorder="1" applyAlignment="1">
      <alignment horizontal="center" vertical="center"/>
    </xf>
    <xf numFmtId="0" fontId="168" fillId="33" borderId="85" xfId="0" applyFont="1" applyFill="1" applyBorder="1" applyAlignment="1">
      <alignment horizontal="center" vertical="center"/>
    </xf>
    <xf numFmtId="0" fontId="166" fillId="33" borderId="86" xfId="0" applyFont="1" applyFill="1" applyBorder="1" applyAlignment="1">
      <alignment horizontal="center" vertical="center"/>
    </xf>
    <xf numFmtId="0" fontId="169" fillId="33" borderId="0" xfId="0" applyFont="1" applyFill="1" applyAlignment="1">
      <alignment horizontal="center"/>
    </xf>
    <xf numFmtId="0" fontId="168" fillId="33" borderId="91" xfId="0" applyFont="1" applyFill="1" applyBorder="1" applyAlignment="1">
      <alignment horizontal="center" vertical="center"/>
    </xf>
    <xf numFmtId="0" fontId="170" fillId="33" borderId="94" xfId="0" applyFont="1" applyFill="1" applyBorder="1" applyAlignment="1">
      <alignment horizontal="center" vertical="top" wrapText="1"/>
    </xf>
    <xf numFmtId="0" fontId="170" fillId="33" borderId="95" xfId="0" applyFont="1" applyFill="1" applyBorder="1" applyAlignment="1">
      <alignment horizontal="center" vertical="top" wrapText="1"/>
    </xf>
    <xf numFmtId="0" fontId="159" fillId="33" borderId="40" xfId="0" applyFont="1" applyFill="1" applyBorder="1" applyAlignment="1">
      <alignment horizontal="center"/>
    </xf>
    <xf numFmtId="0" fontId="170" fillId="33" borderId="28" xfId="0" applyFont="1" applyFill="1" applyBorder="1" applyAlignment="1">
      <alignment horizontal="center"/>
    </xf>
    <xf numFmtId="0" fontId="170" fillId="33" borderId="0" xfId="0" applyFont="1" applyFill="1" applyAlignment="1">
      <alignment horizontal="center"/>
    </xf>
    <xf numFmtId="0" fontId="159" fillId="33" borderId="40" xfId="0" applyFont="1" applyFill="1" applyBorder="1" applyAlignment="1">
      <alignment horizontal="center" vertical="center" wrapText="1"/>
    </xf>
    <xf numFmtId="0" fontId="170" fillId="33" borderId="34" xfId="0" applyFont="1" applyFill="1" applyBorder="1" applyAlignment="1">
      <alignment horizontal="center"/>
    </xf>
    <xf numFmtId="0" fontId="170" fillId="33" borderId="19" xfId="0" applyFont="1" applyFill="1" applyBorder="1" applyAlignment="1">
      <alignment horizontal="center"/>
    </xf>
    <xf numFmtId="0" fontId="159" fillId="33" borderId="19" xfId="0" applyFont="1" applyFill="1" applyBorder="1" applyAlignment="1">
      <alignment horizontal="center"/>
    </xf>
    <xf numFmtId="0" fontId="159" fillId="33" borderId="96" xfId="0" applyFont="1" applyFill="1" applyBorder="1" applyAlignment="1">
      <alignment horizontal="center"/>
    </xf>
    <xf numFmtId="0" fontId="159" fillId="33" borderId="99" xfId="0" applyFont="1" applyFill="1" applyBorder="1" applyAlignment="1">
      <alignment horizontal="center" vertical="top" wrapText="1"/>
    </xf>
    <xf numFmtId="0" fontId="159" fillId="33" borderId="101" xfId="0" applyFont="1" applyFill="1" applyBorder="1" applyAlignment="1">
      <alignment vertical="top" wrapText="1"/>
    </xf>
    <xf numFmtId="0" fontId="159" fillId="33" borderId="100" xfId="0" applyFont="1" applyFill="1" applyBorder="1" applyAlignment="1">
      <alignment vertical="top" wrapText="1"/>
    </xf>
    <xf numFmtId="49" fontId="159" fillId="33" borderId="99" xfId="0" applyNumberFormat="1" applyFont="1" applyFill="1" applyBorder="1" applyAlignment="1">
      <alignment horizontal="center" vertical="top" wrapText="1"/>
    </xf>
    <xf numFmtId="49" fontId="159" fillId="33" borderId="102" xfId="0" applyNumberFormat="1" applyFont="1" applyFill="1" applyBorder="1" applyAlignment="1">
      <alignment horizontal="center" vertical="top" wrapText="1"/>
    </xf>
    <xf numFmtId="0" fontId="159" fillId="33" borderId="101" xfId="0" applyFont="1" applyFill="1" applyBorder="1" applyAlignment="1">
      <alignment horizontal="center" vertical="center"/>
    </xf>
    <xf numFmtId="0" fontId="159" fillId="33" borderId="100" xfId="0" applyFont="1" applyFill="1" applyBorder="1" applyAlignment="1">
      <alignment horizontal="center" vertical="center"/>
    </xf>
    <xf numFmtId="0" fontId="159" fillId="33" borderId="105" xfId="0" applyFont="1" applyFill="1" applyBorder="1" applyAlignment="1">
      <alignment horizontal="center"/>
    </xf>
    <xf numFmtId="0" fontId="159" fillId="33" borderId="101" xfId="0" applyFont="1" applyFill="1" applyBorder="1" applyAlignment="1">
      <alignment horizontal="center"/>
    </xf>
    <xf numFmtId="0" fontId="159" fillId="33" borderId="100" xfId="0" applyFont="1" applyFill="1" applyBorder="1" applyAlignment="1">
      <alignment horizontal="center"/>
    </xf>
    <xf numFmtId="0" fontId="162" fillId="0" borderId="100" xfId="1450" applyFont="1" applyBorder="1" applyAlignment="1">
      <alignment horizontal="center"/>
    </xf>
    <xf numFmtId="0" fontId="159" fillId="33" borderId="102" xfId="0" applyFont="1" applyFill="1" applyBorder="1" applyAlignment="1">
      <alignment horizontal="center" vertical="top" wrapText="1"/>
    </xf>
    <xf numFmtId="0" fontId="43" fillId="0" borderId="0" xfId="1614" applyFont="1" applyAlignment="1">
      <alignment horizontal="center" vertical="center"/>
    </xf>
    <xf numFmtId="0" fontId="171" fillId="0" borderId="26" xfId="1451" applyFont="1" applyBorder="1"/>
    <xf numFmtId="0" fontId="171" fillId="0" borderId="36" xfId="1451" applyFont="1" applyBorder="1"/>
    <xf numFmtId="0" fontId="171" fillId="0" borderId="43" xfId="1451" applyFont="1" applyBorder="1"/>
    <xf numFmtId="0" fontId="171" fillId="0" borderId="28" xfId="1451" applyFont="1" applyBorder="1"/>
    <xf numFmtId="0" fontId="171" fillId="0" borderId="37" xfId="1451" applyFont="1" applyBorder="1"/>
    <xf numFmtId="0" fontId="163" fillId="0" borderId="37" xfId="1451" applyFont="1" applyBorder="1" applyAlignment="1">
      <alignment vertical="center"/>
    </xf>
    <xf numFmtId="0" fontId="171" fillId="0" borderId="34" xfId="1451" applyFont="1" applyBorder="1"/>
    <xf numFmtId="0" fontId="171" fillId="0" borderId="19" xfId="1451" applyFont="1" applyBorder="1"/>
    <xf numFmtId="0" fontId="163" fillId="0" borderId="19" xfId="1451" applyFont="1" applyBorder="1" applyAlignment="1">
      <alignment vertical="center"/>
    </xf>
    <xf numFmtId="0" fontId="163" fillId="0" borderId="19" xfId="1451" applyFont="1" applyBorder="1" applyAlignment="1">
      <alignment horizontal="center" vertical="center"/>
    </xf>
    <xf numFmtId="0" fontId="163" fillId="0" borderId="31" xfId="1451" applyFont="1" applyBorder="1" applyAlignment="1">
      <alignment vertical="center"/>
    </xf>
    <xf numFmtId="0" fontId="171" fillId="33" borderId="0" xfId="1451" applyFont="1" applyFill="1"/>
    <xf numFmtId="0" fontId="171" fillId="33" borderId="26" xfId="1451" applyFont="1" applyFill="1" applyBorder="1"/>
    <xf numFmtId="0" fontId="171" fillId="33" borderId="36" xfId="1451" applyFont="1" applyFill="1" applyBorder="1"/>
    <xf numFmtId="0" fontId="171" fillId="33" borderId="43" xfId="1451" applyFont="1" applyFill="1" applyBorder="1"/>
    <xf numFmtId="0" fontId="171" fillId="33" borderId="28" xfId="1451" applyFont="1" applyFill="1" applyBorder="1"/>
    <xf numFmtId="0" fontId="171" fillId="33" borderId="37" xfId="1451" applyFont="1" applyFill="1" applyBorder="1"/>
    <xf numFmtId="0" fontId="173" fillId="33" borderId="0" xfId="1451" applyFont="1" applyFill="1" applyAlignment="1">
      <alignment vertical="center"/>
    </xf>
    <xf numFmtId="0" fontId="172" fillId="33" borderId="0" xfId="1451" applyFont="1" applyFill="1" applyAlignment="1">
      <alignment vertical="center"/>
    </xf>
    <xf numFmtId="0" fontId="176" fillId="33" borderId="0" xfId="1451" applyFont="1" applyFill="1" applyAlignment="1">
      <alignment horizontal="center" vertical="center"/>
    </xf>
    <xf numFmtId="0" fontId="177" fillId="33" borderId="0" xfId="1451" applyFont="1" applyFill="1"/>
    <xf numFmtId="0" fontId="178" fillId="33" borderId="0" xfId="1451" applyFont="1" applyFill="1"/>
    <xf numFmtId="0" fontId="163" fillId="33" borderId="0" xfId="1451" applyFont="1" applyFill="1" applyAlignment="1">
      <alignment vertical="center"/>
    </xf>
    <xf numFmtId="0" fontId="163" fillId="33" borderId="37" xfId="1451" applyFont="1" applyFill="1" applyBorder="1" applyAlignment="1">
      <alignment vertical="center"/>
    </xf>
    <xf numFmtId="0" fontId="178" fillId="33" borderId="0" xfId="1451" applyFont="1" applyFill="1" applyAlignment="1">
      <alignment horizontal="center"/>
    </xf>
    <xf numFmtId="0" fontId="163" fillId="33" borderId="0" xfId="1451" applyFont="1" applyFill="1" applyAlignment="1">
      <alignment horizontal="center" vertical="center"/>
    </xf>
    <xf numFmtId="0" fontId="163" fillId="33" borderId="37" xfId="1451" applyFont="1" applyFill="1" applyBorder="1" applyAlignment="1">
      <alignment horizontal="center" vertical="center"/>
    </xf>
    <xf numFmtId="0" fontId="179" fillId="33" borderId="0" xfId="1451" applyFont="1" applyFill="1" applyAlignment="1">
      <alignment vertical="center"/>
    </xf>
    <xf numFmtId="0" fontId="179" fillId="33" borderId="37" xfId="1451" applyFont="1" applyFill="1" applyBorder="1" applyAlignment="1">
      <alignment vertical="center"/>
    </xf>
    <xf numFmtId="0" fontId="171" fillId="33" borderId="34" xfId="1451" applyFont="1" applyFill="1" applyBorder="1"/>
    <xf numFmtId="0" fontId="171" fillId="33" borderId="19" xfId="1451" applyFont="1" applyFill="1" applyBorder="1"/>
    <xf numFmtId="0" fontId="163" fillId="33" borderId="19" xfId="1451" applyFont="1" applyFill="1" applyBorder="1" applyAlignment="1">
      <alignment vertical="center"/>
    </xf>
    <xf numFmtId="0" fontId="163" fillId="33" borderId="19" xfId="1451" applyFont="1" applyFill="1" applyBorder="1" applyAlignment="1">
      <alignment horizontal="center" vertical="center"/>
    </xf>
    <xf numFmtId="0" fontId="163" fillId="33" borderId="31" xfId="1451" applyFont="1" applyFill="1" applyBorder="1" applyAlignment="1">
      <alignment vertical="center"/>
    </xf>
    <xf numFmtId="0" fontId="171" fillId="33" borderId="31" xfId="1451" applyFont="1" applyFill="1" applyBorder="1"/>
    <xf numFmtId="0" fontId="159" fillId="33" borderId="0" xfId="0" applyFont="1" applyFill="1" applyAlignment="1">
      <alignment horizontal="center"/>
    </xf>
    <xf numFmtId="0" fontId="136" fillId="0" borderId="20" xfId="1653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141" fillId="0" borderId="20" xfId="1653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71" fillId="0" borderId="0" xfId="1451" applyFont="1"/>
    <xf numFmtId="0" fontId="173" fillId="0" borderId="0" xfId="1451" applyFont="1" applyAlignment="1">
      <alignment vertical="center"/>
    </xf>
    <xf numFmtId="0" fontId="174" fillId="0" borderId="0" xfId="1451" applyFont="1"/>
    <xf numFmtId="0" fontId="172" fillId="0" borderId="0" xfId="1451" applyFont="1" applyAlignment="1">
      <alignment vertical="center"/>
    </xf>
    <xf numFmtId="0" fontId="176" fillId="0" borderId="0" xfId="1451" applyFont="1" applyAlignment="1">
      <alignment horizontal="center" vertical="center"/>
    </xf>
    <xf numFmtId="0" fontId="177" fillId="0" borderId="0" xfId="1451" applyFont="1"/>
    <xf numFmtId="0" fontId="178" fillId="0" borderId="0" xfId="1451" applyFont="1"/>
    <xf numFmtId="0" fontId="163" fillId="0" borderId="0" xfId="1451" applyFont="1" applyAlignment="1">
      <alignment vertical="center"/>
    </xf>
    <xf numFmtId="0" fontId="163" fillId="0" borderId="0" xfId="1451" applyFont="1" applyAlignment="1">
      <alignment horizontal="center" vertical="center"/>
    </xf>
    <xf numFmtId="0" fontId="171" fillId="0" borderId="0" xfId="1451" applyFont="1" applyAlignment="1">
      <alignment horizontal="center" vertical="center"/>
    </xf>
    <xf numFmtId="0" fontId="171" fillId="0" borderId="0" xfId="1451" applyFont="1" applyAlignment="1">
      <alignment horizontal="center"/>
    </xf>
    <xf numFmtId="0" fontId="172" fillId="35" borderId="0" xfId="1451" applyFont="1" applyFill="1" applyAlignment="1">
      <alignment vertical="center"/>
    </xf>
    <xf numFmtId="0" fontId="178" fillId="0" borderId="19" xfId="1451" applyFont="1" applyBorder="1" applyAlignment="1">
      <alignment horizontal="center"/>
    </xf>
    <xf numFmtId="0" fontId="178" fillId="0" borderId="19" xfId="1451" applyFont="1" applyBorder="1"/>
    <xf numFmtId="0" fontId="161" fillId="0" borderId="0" xfId="2669" applyFont="1" applyAlignment="1">
      <alignment vertical="center"/>
    </xf>
    <xf numFmtId="0" fontId="162" fillId="0" borderId="0" xfId="1450" applyFont="1" applyAlignment="1">
      <alignment horizontal="center"/>
    </xf>
    <xf numFmtId="0" fontId="8" fillId="0" borderId="20" xfId="1652" applyFont="1" applyBorder="1" applyAlignment="1">
      <alignment horizontal="center" vertical="center"/>
    </xf>
    <xf numFmtId="0" fontId="159" fillId="33" borderId="0" xfId="0" applyFont="1" applyFill="1" applyAlignment="1">
      <alignment vertical="center"/>
    </xf>
    <xf numFmtId="0" fontId="159" fillId="33" borderId="37" xfId="0" applyFont="1" applyFill="1" applyBorder="1" applyAlignment="1">
      <alignment vertical="center"/>
    </xf>
    <xf numFmtId="0" fontId="159" fillId="33" borderId="42" xfId="0" applyFont="1" applyFill="1" applyBorder="1" applyAlignment="1">
      <alignment vertical="center"/>
    </xf>
    <xf numFmtId="0" fontId="159" fillId="33" borderId="77" xfId="0" applyFont="1" applyFill="1" applyBorder="1" applyAlignment="1">
      <alignment vertical="center"/>
    </xf>
    <xf numFmtId="0" fontId="7" fillId="0" borderId="0" xfId="2673" applyFont="1" applyAlignment="1">
      <alignment vertical="center" wrapText="1"/>
    </xf>
    <xf numFmtId="0" fontId="181" fillId="0" borderId="0" xfId="0" applyFont="1" applyAlignment="1">
      <alignment horizontal="left" vertical="center"/>
    </xf>
    <xf numFmtId="0" fontId="177" fillId="33" borderId="0" xfId="0" applyFont="1" applyFill="1" applyAlignment="1">
      <alignment horizontal="center"/>
    </xf>
    <xf numFmtId="0" fontId="137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163" fillId="33" borderId="0" xfId="0" applyFont="1" applyFill="1" applyAlignment="1">
      <alignment horizontal="center"/>
    </xf>
    <xf numFmtId="0" fontId="5" fillId="0" borderId="21" xfId="1652" applyFont="1" applyBorder="1" applyAlignment="1">
      <alignment horizontal="center" vertical="center"/>
    </xf>
    <xf numFmtId="0" fontId="118" fillId="0" borderId="20" xfId="1652" applyFont="1" applyBorder="1" applyAlignment="1">
      <alignment horizontal="center" vertical="center"/>
    </xf>
    <xf numFmtId="0" fontId="118" fillId="0" borderId="21" xfId="1652" applyFont="1" applyBorder="1" applyAlignment="1">
      <alignment horizontal="left" vertical="center" wrapText="1"/>
    </xf>
    <xf numFmtId="0" fontId="117" fillId="0" borderId="20" xfId="1652" applyFont="1" applyBorder="1" applyAlignment="1">
      <alignment horizontal="center" vertical="center"/>
    </xf>
    <xf numFmtId="0" fontId="48" fillId="0" borderId="21" xfId="0" applyFont="1" applyBorder="1" applyAlignment="1">
      <alignment horizontal="left" vertical="center" wrapText="1"/>
    </xf>
    <xf numFmtId="0" fontId="14" fillId="0" borderId="21" xfId="1614" applyFont="1" applyBorder="1" applyAlignment="1">
      <alignment horizontal="center" vertical="center"/>
    </xf>
    <xf numFmtId="3" fontId="14" fillId="0" borderId="21" xfId="1599" applyNumberFormat="1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7" fillId="0" borderId="21" xfId="1652" applyFont="1" applyBorder="1" applyAlignment="1">
      <alignment vertical="center"/>
    </xf>
    <xf numFmtId="0" fontId="48" fillId="0" borderId="21" xfId="1450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35" fillId="0" borderId="21" xfId="1614" applyFont="1" applyFill="1" applyBorder="1" applyAlignment="1">
      <alignment horizontal="center" vertical="center" wrapText="1"/>
    </xf>
    <xf numFmtId="0" fontId="142" fillId="0" borderId="21" xfId="1614" applyFont="1" applyFill="1" applyBorder="1" applyAlignment="1">
      <alignment horizontal="center" vertical="center"/>
    </xf>
    <xf numFmtId="3" fontId="142" fillId="0" borderId="21" xfId="1614" applyNumberFormat="1" applyFont="1" applyFill="1" applyBorder="1" applyAlignment="1">
      <alignment horizontal="center" vertical="center"/>
    </xf>
    <xf numFmtId="3" fontId="135" fillId="0" borderId="21" xfId="1614" applyNumberFormat="1" applyFont="1" applyFill="1" applyBorder="1" applyAlignment="1">
      <alignment horizontal="center" vertical="center"/>
    </xf>
    <xf numFmtId="3" fontId="135" fillId="0" borderId="22" xfId="1614" applyNumberFormat="1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7" fillId="31" borderId="38" xfId="1615" applyNumberFormat="1" applyFont="1" applyFill="1" applyBorder="1" applyAlignment="1">
      <alignment horizontal="center" vertical="center"/>
    </xf>
    <xf numFmtId="3" fontId="47" fillId="31" borderId="54" xfId="1615" applyNumberFormat="1" applyFont="1" applyFill="1" applyBorder="1" applyAlignment="1">
      <alignment horizontal="center" vertical="center"/>
    </xf>
    <xf numFmtId="3" fontId="47" fillId="31" borderId="18" xfId="1615" applyNumberFormat="1" applyFont="1" applyFill="1" applyBorder="1" applyAlignment="1">
      <alignment horizontal="center" vertical="center"/>
    </xf>
    <xf numFmtId="3" fontId="47" fillId="31" borderId="40" xfId="1615" applyNumberFormat="1" applyFont="1" applyFill="1" applyBorder="1" applyAlignment="1">
      <alignment horizontal="center" vertical="center"/>
    </xf>
    <xf numFmtId="3" fontId="47" fillId="31" borderId="41" xfId="1615" applyNumberFormat="1" applyFont="1" applyFill="1" applyBorder="1" applyAlignment="1">
      <alignment horizontal="center" vertical="center"/>
    </xf>
    <xf numFmtId="3" fontId="47" fillId="31" borderId="55" xfId="1615" applyNumberFormat="1" applyFont="1" applyFill="1" applyBorder="1" applyAlignment="1">
      <alignment horizontal="center" vertical="center"/>
    </xf>
    <xf numFmtId="3" fontId="47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6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 wrapText="1"/>
    </xf>
    <xf numFmtId="37" fontId="66" fillId="0" borderId="19" xfId="1614" applyNumberFormat="1" applyFont="1" applyBorder="1" applyAlignment="1">
      <alignment horizontal="center"/>
    </xf>
    <xf numFmtId="0" fontId="51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6" fillId="0" borderId="26" xfId="1614" applyFont="1" applyBorder="1" applyAlignment="1">
      <alignment horizontal="left" vertical="center"/>
    </xf>
    <xf numFmtId="0" fontId="66" fillId="0" borderId="36" xfId="1614" applyFont="1" applyBorder="1" applyAlignment="1">
      <alignment horizontal="left" vertical="center"/>
    </xf>
    <xf numFmtId="0" fontId="66" fillId="0" borderId="43" xfId="1614" applyFont="1" applyBorder="1" applyAlignment="1">
      <alignment horizontal="left" vertical="center"/>
    </xf>
    <xf numFmtId="0" fontId="66" fillId="0" borderId="28" xfId="1614" applyFont="1" applyBorder="1" applyAlignment="1">
      <alignment horizontal="left" vertical="center"/>
    </xf>
    <xf numFmtId="0" fontId="66" fillId="0" borderId="0" xfId="1614" applyFont="1" applyAlignment="1">
      <alignment horizontal="left" vertical="center"/>
    </xf>
    <xf numFmtId="0" fontId="66" fillId="0" borderId="37" xfId="1614" applyFont="1" applyBorder="1" applyAlignment="1">
      <alignment horizontal="left" vertical="center"/>
    </xf>
    <xf numFmtId="0" fontId="56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6" fillId="0" borderId="3" xfId="1614" applyFont="1" applyBorder="1" applyAlignment="1">
      <alignment horizontal="center" vertical="center"/>
    </xf>
    <xf numFmtId="0" fontId="56" fillId="0" borderId="39" xfId="1614" applyFont="1" applyBorder="1" applyAlignment="1">
      <alignment horizontal="center" vertical="center"/>
    </xf>
    <xf numFmtId="0" fontId="56" fillId="0" borderId="35" xfId="1652" applyFont="1" applyBorder="1" applyAlignment="1">
      <alignment horizontal="center" vertical="center" wrapText="1"/>
    </xf>
    <xf numFmtId="0" fontId="56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4" fillId="0" borderId="46" xfId="1614" applyFont="1" applyBorder="1" applyAlignment="1">
      <alignment horizontal="center" vertical="center"/>
    </xf>
    <xf numFmtId="0" fontId="54" fillId="0" borderId="44" xfId="1614" applyFont="1" applyBorder="1" applyAlignment="1">
      <alignment horizontal="center" vertical="center"/>
    </xf>
    <xf numFmtId="0" fontId="54" fillId="0" borderId="47" xfId="1614" applyFont="1" applyBorder="1" applyAlignment="1">
      <alignment horizontal="center" vertical="center"/>
    </xf>
    <xf numFmtId="0" fontId="54" fillId="0" borderId="21" xfId="1614" applyFont="1" applyBorder="1" applyAlignment="1">
      <alignment horizontal="center" vertical="center"/>
    </xf>
    <xf numFmtId="0" fontId="54" fillId="0" borderId="33" xfId="1614" applyFont="1" applyBorder="1" applyAlignment="1">
      <alignment horizontal="center" vertical="center"/>
    </xf>
    <xf numFmtId="0" fontId="56" fillId="0" borderId="48" xfId="1614" applyFont="1" applyBorder="1" applyAlignment="1">
      <alignment horizontal="center" vertical="center"/>
    </xf>
    <xf numFmtId="0" fontId="54" fillId="0" borderId="47" xfId="1614" applyFont="1" applyBorder="1" applyAlignment="1">
      <alignment horizontal="center" vertical="center" wrapText="1"/>
    </xf>
    <xf numFmtId="0" fontId="54" fillId="0" borderId="21" xfId="1614" applyFont="1" applyBorder="1" applyAlignment="1">
      <alignment horizontal="center" vertical="center" wrapText="1"/>
    </xf>
    <xf numFmtId="0" fontId="54" fillId="0" borderId="33" xfId="1614" applyFont="1" applyBorder="1" applyAlignment="1">
      <alignment horizontal="center" vertical="center" wrapText="1"/>
    </xf>
    <xf numFmtId="0" fontId="56" fillId="0" borderId="49" xfId="1614" applyFont="1" applyBorder="1" applyAlignment="1">
      <alignment horizontal="center" vertical="center"/>
    </xf>
    <xf numFmtId="169" fontId="47" fillId="0" borderId="3" xfId="714" applyFont="1" applyFill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47" fillId="0" borderId="3" xfId="1448" applyFont="1" applyBorder="1" applyAlignment="1">
      <alignment horizontal="center" vertical="center" wrapText="1"/>
    </xf>
    <xf numFmtId="0" fontId="59" fillId="0" borderId="3" xfId="1448" applyFont="1" applyBorder="1" applyAlignment="1">
      <alignment horizontal="center" vertical="center" wrapText="1"/>
    </xf>
    <xf numFmtId="0" fontId="12" fillId="0" borderId="72" xfId="2673" applyBorder="1" applyAlignment="1">
      <alignment horizontal="center" vertical="center" wrapText="1"/>
    </xf>
    <xf numFmtId="0" fontId="12" fillId="0" borderId="6" xfId="2673" applyBorder="1" applyAlignment="1">
      <alignment horizontal="center" vertical="center" wrapText="1"/>
    </xf>
    <xf numFmtId="0" fontId="12" fillId="0" borderId="73" xfId="2673" applyBorder="1" applyAlignment="1">
      <alignment horizontal="center" vertical="center" wrapText="1"/>
    </xf>
    <xf numFmtId="9" fontId="155" fillId="0" borderId="0" xfId="2675" applyFont="1" applyFill="1" applyBorder="1" applyAlignment="1">
      <alignment horizontal="center" vertical="center" wrapText="1"/>
    </xf>
    <xf numFmtId="0" fontId="152" fillId="37" borderId="0" xfId="2673" applyFont="1" applyFill="1" applyAlignment="1">
      <alignment horizontal="left" vertical="center" wrapText="1"/>
    </xf>
    <xf numFmtId="43" fontId="133" fillId="35" borderId="7" xfId="2673" applyNumberFormat="1" applyFont="1" applyFill="1" applyBorder="1" applyAlignment="1">
      <alignment horizontal="center" vertical="center" wrapText="1"/>
    </xf>
    <xf numFmtId="0" fontId="133" fillId="35" borderId="50" xfId="2673" applyFont="1" applyFill="1" applyBorder="1" applyAlignment="1">
      <alignment horizontal="center" vertical="center" wrapText="1"/>
    </xf>
    <xf numFmtId="2" fontId="122" fillId="35" borderId="51" xfId="2673" applyNumberFormat="1" applyFont="1" applyFill="1" applyBorder="1" applyAlignment="1">
      <alignment horizontal="center" vertical="center" wrapText="1"/>
    </xf>
    <xf numFmtId="2" fontId="122" fillId="35" borderId="71" xfId="2673" applyNumberFormat="1" applyFont="1" applyFill="1" applyBorder="1" applyAlignment="1">
      <alignment horizontal="center" vertical="center" wrapText="1"/>
    </xf>
    <xf numFmtId="0" fontId="148" fillId="41" borderId="67" xfId="2673" applyFont="1" applyFill="1" applyBorder="1" applyAlignment="1">
      <alignment horizontal="center" vertical="center" wrapText="1"/>
    </xf>
    <xf numFmtId="0" fontId="148" fillId="41" borderId="68" xfId="2673" applyFont="1" applyFill="1" applyBorder="1" applyAlignment="1">
      <alignment horizontal="center" vertical="center" wrapText="1"/>
    </xf>
    <xf numFmtId="0" fontId="148" fillId="41" borderId="69" xfId="2673" applyFont="1" applyFill="1" applyBorder="1" applyAlignment="1">
      <alignment horizontal="center" vertical="center" wrapText="1"/>
    </xf>
    <xf numFmtId="0" fontId="122" fillId="35" borderId="7" xfId="2673" applyFont="1" applyFill="1" applyBorder="1" applyAlignment="1">
      <alignment horizontal="center" vertical="center" wrapText="1"/>
    </xf>
    <xf numFmtId="0" fontId="122" fillId="35" borderId="50" xfId="2673" applyFont="1" applyFill="1" applyBorder="1" applyAlignment="1">
      <alignment horizontal="center" vertical="center" wrapText="1"/>
    </xf>
    <xf numFmtId="1" fontId="133" fillId="35" borderId="7" xfId="2673" applyNumberFormat="1" applyFont="1" applyFill="1" applyBorder="1" applyAlignment="1">
      <alignment horizontal="center" vertical="center" wrapText="1"/>
    </xf>
    <xf numFmtId="1" fontId="133" fillId="35" borderId="50" xfId="2673" applyNumberFormat="1" applyFont="1" applyFill="1" applyBorder="1" applyAlignment="1">
      <alignment horizontal="center" vertical="center" wrapText="1"/>
    </xf>
    <xf numFmtId="43" fontId="133" fillId="44" borderId="75" xfId="2673" applyNumberFormat="1" applyFont="1" applyFill="1" applyBorder="1" applyAlignment="1">
      <alignment horizontal="center" vertical="center" wrapText="1"/>
    </xf>
    <xf numFmtId="43" fontId="133" fillId="44" borderId="69" xfId="2673" applyNumberFormat="1" applyFont="1" applyFill="1" applyBorder="1" applyAlignment="1">
      <alignment horizontal="center" vertical="center" wrapText="1"/>
    </xf>
    <xf numFmtId="9" fontId="122" fillId="0" borderId="52" xfId="2675" applyFont="1" applyFill="1" applyBorder="1" applyAlignment="1">
      <alignment horizontal="center" vertical="center" wrapText="1"/>
    </xf>
    <xf numFmtId="9" fontId="122" fillId="0" borderId="53" xfId="2675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22" fillId="0" borderId="3" xfId="2673" applyNumberFormat="1" applyFont="1" applyBorder="1" applyAlignment="1">
      <alignment horizontal="center" vertical="center" wrapText="1"/>
    </xf>
    <xf numFmtId="2" fontId="122" fillId="0" borderId="39" xfId="2673" applyNumberFormat="1" applyFont="1" applyBorder="1" applyAlignment="1">
      <alignment horizontal="center" vertical="center" wrapText="1"/>
    </xf>
    <xf numFmtId="9" fontId="122" fillId="35" borderId="52" xfId="2675" applyFont="1" applyFill="1" applyBorder="1" applyAlignment="1">
      <alignment horizontal="center" vertical="center" wrapText="1"/>
    </xf>
    <xf numFmtId="9" fontId="122" fillId="35" borderId="53" xfId="2675" applyFont="1" applyFill="1" applyBorder="1" applyAlignment="1">
      <alignment horizontal="center" vertical="center" wrapText="1"/>
    </xf>
    <xf numFmtId="2" fontId="122" fillId="35" borderId="3" xfId="2673" applyNumberFormat="1" applyFont="1" applyFill="1" applyBorder="1" applyAlignment="1">
      <alignment horizontal="center" vertical="center" wrapText="1"/>
    </xf>
    <xf numFmtId="2" fontId="122" fillId="35" borderId="39" xfId="2673" applyNumberFormat="1" applyFont="1" applyFill="1" applyBorder="1" applyAlignment="1">
      <alignment horizontal="center" vertical="center" wrapText="1"/>
    </xf>
    <xf numFmtId="0" fontId="151" fillId="44" borderId="3" xfId="2673" applyFont="1" applyFill="1" applyBorder="1" applyAlignment="1">
      <alignment horizontal="center" vertical="center" wrapText="1"/>
    </xf>
    <xf numFmtId="0" fontId="151" fillId="44" borderId="39" xfId="2673" applyFont="1" applyFill="1" applyBorder="1" applyAlignment="1">
      <alignment horizontal="center" vertical="center" wrapText="1"/>
    </xf>
    <xf numFmtId="1" fontId="122" fillId="0" borderId="3" xfId="2673" applyNumberFormat="1" applyFont="1" applyBorder="1" applyAlignment="1">
      <alignment horizontal="center" vertical="center" wrapText="1"/>
    </xf>
    <xf numFmtId="1" fontId="122" fillId="0" borderId="39" xfId="2673" applyNumberFormat="1" applyFont="1" applyBorder="1" applyAlignment="1">
      <alignment horizontal="center" vertical="center" wrapText="1"/>
    </xf>
    <xf numFmtId="2" fontId="122" fillId="45" borderId="3" xfId="2673" applyNumberFormat="1" applyFont="1" applyFill="1" applyBorder="1" applyAlignment="1">
      <alignment horizontal="center" vertical="center" wrapText="1"/>
    </xf>
    <xf numFmtId="2" fontId="122" fillId="45" borderId="39" xfId="2673" applyNumberFormat="1" applyFont="1" applyFill="1" applyBorder="1" applyAlignment="1">
      <alignment horizontal="center" vertical="center" wrapText="1"/>
    </xf>
    <xf numFmtId="0" fontId="148" fillId="42" borderId="67" xfId="2673" applyFont="1" applyFill="1" applyBorder="1" applyAlignment="1">
      <alignment horizontal="center" vertical="center" wrapText="1"/>
    </xf>
    <xf numFmtId="0" fontId="148" fillId="42" borderId="68" xfId="2673" applyFont="1" applyFill="1" applyBorder="1" applyAlignment="1">
      <alignment horizontal="center" vertical="center" wrapText="1"/>
    </xf>
    <xf numFmtId="0" fontId="148" fillId="42" borderId="69" xfId="2673" applyFont="1" applyFill="1" applyBorder="1" applyAlignment="1">
      <alignment horizontal="center" vertical="center" wrapText="1"/>
    </xf>
    <xf numFmtId="43" fontId="133" fillId="43" borderId="7" xfId="2673" applyNumberFormat="1" applyFont="1" applyFill="1" applyBorder="1" applyAlignment="1">
      <alignment horizontal="center" vertical="center" wrapText="1"/>
    </xf>
    <xf numFmtId="0" fontId="133" fillId="43" borderId="50" xfId="2673" applyFont="1" applyFill="1" applyBorder="1" applyAlignment="1">
      <alignment horizontal="center" vertical="center" wrapText="1"/>
    </xf>
    <xf numFmtId="1" fontId="122" fillId="43" borderId="7" xfId="2673" applyNumberFormat="1" applyFont="1" applyFill="1" applyBorder="1" applyAlignment="1">
      <alignment horizontal="center" vertical="center" wrapText="1"/>
    </xf>
    <xf numFmtId="1" fontId="122" fillId="43" borderId="50" xfId="2673" applyNumberFormat="1" applyFont="1" applyFill="1" applyBorder="1" applyAlignment="1">
      <alignment horizontal="center" vertical="center" wrapText="1"/>
    </xf>
    <xf numFmtId="0" fontId="122" fillId="43" borderId="7" xfId="2673" applyFont="1" applyFill="1" applyBorder="1" applyAlignment="1">
      <alignment horizontal="center" vertical="center" wrapText="1"/>
    </xf>
    <xf numFmtId="0" fontId="122" fillId="43" borderId="50" xfId="2673" applyFont="1" applyFill="1" applyBorder="1" applyAlignment="1">
      <alignment horizontal="center" vertical="center" wrapText="1"/>
    </xf>
    <xf numFmtId="2" fontId="122" fillId="43" borderId="51" xfId="2673" applyNumberFormat="1" applyFont="1" applyFill="1" applyBorder="1" applyAlignment="1">
      <alignment horizontal="center" vertical="center" wrapText="1"/>
    </xf>
    <xf numFmtId="2" fontId="122" fillId="43" borderId="71" xfId="2673" applyNumberFormat="1" applyFont="1" applyFill="1" applyBorder="1" applyAlignment="1">
      <alignment horizontal="center" vertical="center" wrapText="1"/>
    </xf>
    <xf numFmtId="0" fontId="13" fillId="34" borderId="56" xfId="2670" applyFill="1" applyBorder="1" applyAlignment="1">
      <alignment horizontal="center" vertical="center"/>
    </xf>
    <xf numFmtId="0" fontId="125" fillId="0" borderId="57" xfId="2670" applyFont="1" applyBorder="1" applyAlignment="1">
      <alignment horizontal="left" vertical="center"/>
    </xf>
    <xf numFmtId="0" fontId="56" fillId="0" borderId="42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3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39" fillId="30" borderId="3" xfId="1614" applyFont="1" applyFill="1" applyBorder="1" applyAlignment="1">
      <alignment horizontal="center" vertical="center"/>
    </xf>
    <xf numFmtId="0" fontId="140" fillId="0" borderId="0" xfId="1652" applyFont="1" applyAlignment="1">
      <alignment horizontal="center" vertical="center"/>
    </xf>
    <xf numFmtId="37" fontId="137" fillId="0" borderId="36" xfId="1614" applyNumberFormat="1" applyFont="1" applyBorder="1" applyAlignment="1">
      <alignment horizontal="center"/>
    </xf>
    <xf numFmtId="0" fontId="141" fillId="35" borderId="46" xfId="1614" applyFont="1" applyFill="1" applyBorder="1" applyAlignment="1">
      <alignment horizontal="center" vertical="center"/>
    </xf>
    <xf numFmtId="0" fontId="141" fillId="35" borderId="44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/>
    </xf>
    <xf numFmtId="0" fontId="141" fillId="35" borderId="21" xfId="1614" applyFont="1" applyFill="1" applyBorder="1" applyAlignment="1">
      <alignment horizontal="center" vertical="center"/>
    </xf>
    <xf numFmtId="0" fontId="141" fillId="35" borderId="33" xfId="1614" applyFont="1" applyFill="1" applyBorder="1" applyAlignment="1">
      <alignment horizontal="center" vertical="center"/>
    </xf>
    <xf numFmtId="0" fontId="141" fillId="35" borderId="48" xfId="1614" applyFont="1" applyFill="1" applyBorder="1" applyAlignment="1">
      <alignment horizontal="center" vertical="center"/>
    </xf>
    <xf numFmtId="0" fontId="141" fillId="35" borderId="3" xfId="1614" applyFont="1" applyFill="1" applyBorder="1" applyAlignment="1">
      <alignment horizontal="center" vertical="center"/>
    </xf>
    <xf numFmtId="0" fontId="141" fillId="35" borderId="47" xfId="1614" applyFont="1" applyFill="1" applyBorder="1" applyAlignment="1">
      <alignment horizontal="center" vertical="center" wrapText="1"/>
    </xf>
    <xf numFmtId="0" fontId="141" fillId="35" borderId="21" xfId="1614" applyFont="1" applyFill="1" applyBorder="1" applyAlignment="1">
      <alignment horizontal="center" vertical="center" wrapText="1"/>
    </xf>
    <xf numFmtId="0" fontId="141" fillId="35" borderId="33" xfId="1614" applyFont="1" applyFill="1" applyBorder="1" applyAlignment="1">
      <alignment horizontal="center" vertical="center" wrapText="1"/>
    </xf>
    <xf numFmtId="0" fontId="141" fillId="35" borderId="35" xfId="1652" applyFont="1" applyFill="1" applyBorder="1" applyAlignment="1">
      <alignment horizontal="center" vertical="center" wrapText="1"/>
    </xf>
    <xf numFmtId="0" fontId="141" fillId="35" borderId="33" xfId="1652" applyFont="1" applyFill="1" applyBorder="1" applyAlignment="1">
      <alignment horizontal="center" vertical="center" wrapText="1"/>
    </xf>
    <xf numFmtId="0" fontId="141" fillId="35" borderId="49" xfId="1614" applyFont="1" applyFill="1" applyBorder="1" applyAlignment="1">
      <alignment horizontal="center" vertical="center"/>
    </xf>
    <xf numFmtId="0" fontId="141" fillId="35" borderId="39" xfId="1614" applyFont="1" applyFill="1" applyBorder="1" applyAlignment="1">
      <alignment horizontal="center" vertical="center"/>
    </xf>
    <xf numFmtId="0" fontId="136" fillId="0" borderId="0" xfId="1644" applyFont="1" applyAlignment="1">
      <alignment horizontal="center" vertical="center"/>
    </xf>
    <xf numFmtId="37" fontId="143" fillId="0" borderId="1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0" fontId="157" fillId="0" borderId="26" xfId="1614" applyFont="1" applyBorder="1" applyAlignment="1">
      <alignment horizontal="left" vertical="center" wrapText="1"/>
    </xf>
    <xf numFmtId="0" fontId="157" fillId="0" borderId="36" xfId="1614" applyFont="1" applyBorder="1" applyAlignment="1">
      <alignment horizontal="left" vertical="center" wrapText="1"/>
    </xf>
    <xf numFmtId="0" fontId="157" fillId="0" borderId="43" xfId="1614" applyFont="1" applyBorder="1" applyAlignment="1">
      <alignment horizontal="left" vertical="center" wrapText="1"/>
    </xf>
    <xf numFmtId="0" fontId="157" fillId="0" borderId="28" xfId="1614" applyFont="1" applyBorder="1" applyAlignment="1">
      <alignment horizontal="left" vertical="center" wrapText="1"/>
    </xf>
    <xf numFmtId="0" fontId="157" fillId="0" borderId="0" xfId="1614" applyFont="1" applyAlignment="1">
      <alignment horizontal="left" vertical="center" wrapText="1"/>
    </xf>
    <xf numFmtId="0" fontId="157" fillId="0" borderId="37" xfId="1614" applyFont="1" applyBorder="1" applyAlignment="1">
      <alignment horizontal="left" vertical="center" wrapText="1"/>
    </xf>
    <xf numFmtId="0" fontId="142" fillId="0" borderId="0" xfId="1652" applyFont="1" applyAlignment="1">
      <alignment horizontal="center" vertical="center"/>
    </xf>
    <xf numFmtId="0" fontId="137" fillId="0" borderId="0" xfId="1652" applyFont="1" applyAlignment="1">
      <alignment horizontal="center" vertical="center"/>
    </xf>
    <xf numFmtId="0" fontId="159" fillId="33" borderId="51" xfId="0" applyFont="1" applyFill="1" applyBorder="1" applyAlignment="1">
      <alignment horizontal="center"/>
    </xf>
    <xf numFmtId="0" fontId="159" fillId="33" borderId="97" xfId="0" applyFont="1" applyFill="1" applyBorder="1" applyAlignment="1">
      <alignment horizontal="center"/>
    </xf>
    <xf numFmtId="0" fontId="159" fillId="33" borderId="52" xfId="0" applyFont="1" applyFill="1" applyBorder="1" applyAlignment="1">
      <alignment horizontal="center"/>
    </xf>
    <xf numFmtId="0" fontId="159" fillId="33" borderId="53" xfId="0" applyFont="1" applyFill="1" applyBorder="1" applyAlignment="1">
      <alignment horizontal="center"/>
    </xf>
    <xf numFmtId="0" fontId="159" fillId="33" borderId="102" xfId="0" applyFont="1" applyFill="1" applyBorder="1" applyAlignment="1">
      <alignment horizontal="center"/>
    </xf>
    <xf numFmtId="0" fontId="159" fillId="33" borderId="99" xfId="0" applyFont="1" applyFill="1" applyBorder="1" applyAlignment="1">
      <alignment horizontal="center"/>
    </xf>
    <xf numFmtId="0" fontId="159" fillId="33" borderId="100" xfId="0" applyFont="1" applyFill="1" applyBorder="1" applyAlignment="1">
      <alignment horizontal="center"/>
    </xf>
    <xf numFmtId="0" fontId="159" fillId="33" borderId="101" xfId="0" applyFont="1" applyFill="1" applyBorder="1" applyAlignment="1">
      <alignment horizontal="center"/>
    </xf>
    <xf numFmtId="15" fontId="159" fillId="33" borderId="100" xfId="0" applyNumberFormat="1" applyFont="1" applyFill="1" applyBorder="1" applyAlignment="1">
      <alignment horizontal="center"/>
    </xf>
    <xf numFmtId="0" fontId="159" fillId="33" borderId="78" xfId="0" applyFont="1" applyFill="1" applyBorder="1" applyAlignment="1">
      <alignment horizontal="center" vertical="center"/>
    </xf>
    <xf numFmtId="0" fontId="159" fillId="33" borderId="104" xfId="0" applyFont="1" applyFill="1" applyBorder="1" applyAlignment="1">
      <alignment horizontal="center" vertical="center"/>
    </xf>
    <xf numFmtId="0" fontId="163" fillId="33" borderId="78" xfId="0" applyFont="1" applyFill="1" applyBorder="1" applyAlignment="1">
      <alignment horizontal="center" vertical="top" wrapText="1"/>
    </xf>
    <xf numFmtId="0" fontId="163" fillId="33" borderId="104" xfId="0" applyFont="1" applyFill="1" applyBorder="1" applyAlignment="1">
      <alignment horizontal="center" vertical="top" wrapText="1"/>
    </xf>
    <xf numFmtId="0" fontId="163" fillId="33" borderId="42" xfId="0" applyFont="1" applyFill="1" applyBorder="1" applyAlignment="1">
      <alignment horizontal="center" vertical="top" wrapText="1"/>
    </xf>
    <xf numFmtId="0" fontId="163" fillId="33" borderId="77" xfId="0" applyFont="1" applyFill="1" applyBorder="1" applyAlignment="1">
      <alignment horizontal="center" vertical="top" wrapText="1"/>
    </xf>
    <xf numFmtId="0" fontId="168" fillId="33" borderId="89" xfId="0" applyFont="1" applyFill="1" applyBorder="1" applyAlignment="1">
      <alignment horizontal="left" vertical="center"/>
    </xf>
    <xf numFmtId="0" fontId="168" fillId="33" borderId="90" xfId="0" applyFont="1" applyFill="1" applyBorder="1" applyAlignment="1">
      <alignment horizontal="left" vertical="center"/>
    </xf>
    <xf numFmtId="0" fontId="159" fillId="33" borderId="102" xfId="0" applyFont="1" applyFill="1" applyBorder="1" applyAlignment="1">
      <alignment horizontal="center" vertical="top" wrapText="1"/>
    </xf>
    <xf numFmtId="0" fontId="159" fillId="33" borderId="99" xfId="0" applyFont="1" applyFill="1" applyBorder="1" applyAlignment="1">
      <alignment horizontal="center" vertical="top" wrapText="1"/>
    </xf>
    <xf numFmtId="0" fontId="166" fillId="33" borderId="83" xfId="0" applyFont="1" applyFill="1" applyBorder="1" applyAlignment="1">
      <alignment horizontal="left" vertical="center"/>
    </xf>
    <xf numFmtId="0" fontId="166" fillId="33" borderId="81" xfId="0" applyFont="1" applyFill="1" applyBorder="1" applyAlignment="1">
      <alignment horizontal="left" vertical="center"/>
    </xf>
    <xf numFmtId="0" fontId="170" fillId="33" borderId="92" xfId="0" applyFont="1" applyFill="1" applyBorder="1" applyAlignment="1">
      <alignment horizontal="left" vertical="center" wrapText="1"/>
    </xf>
    <xf numFmtId="0" fontId="170" fillId="33" borderId="93" xfId="0" applyFont="1" applyFill="1" applyBorder="1" applyAlignment="1">
      <alignment horizontal="left" vertical="center" wrapText="1"/>
    </xf>
    <xf numFmtId="0" fontId="166" fillId="33" borderId="79" xfId="0" applyFont="1" applyFill="1" applyBorder="1" applyAlignment="1">
      <alignment horizontal="left" vertical="center"/>
    </xf>
    <xf numFmtId="0" fontId="166" fillId="33" borderId="80" xfId="0" applyFont="1" applyFill="1" applyBorder="1" applyAlignment="1">
      <alignment horizontal="left" vertical="center"/>
    </xf>
    <xf numFmtId="49" fontId="159" fillId="33" borderId="98" xfId="0" applyNumberFormat="1" applyFont="1" applyFill="1" applyBorder="1" applyAlignment="1">
      <alignment horizontal="center" vertical="center"/>
    </xf>
    <xf numFmtId="49" fontId="159" fillId="33" borderId="99" xfId="0" applyNumberFormat="1" applyFont="1" applyFill="1" applyBorder="1" applyAlignment="1">
      <alignment horizontal="center" vertical="center"/>
    </xf>
    <xf numFmtId="0" fontId="166" fillId="33" borderId="87" xfId="0" applyFont="1" applyFill="1" applyBorder="1" applyAlignment="1">
      <alignment horizontal="left" vertical="center"/>
    </xf>
    <xf numFmtId="0" fontId="166" fillId="33" borderId="88" xfId="0" applyFont="1" applyFill="1" applyBorder="1" applyAlignment="1">
      <alignment horizontal="left" vertical="center"/>
    </xf>
    <xf numFmtId="49" fontId="159" fillId="33" borderId="102" xfId="0" applyNumberFormat="1" applyFont="1" applyFill="1" applyBorder="1" applyAlignment="1">
      <alignment horizontal="center" vertical="center"/>
    </xf>
    <xf numFmtId="49" fontId="159" fillId="33" borderId="102" xfId="0" applyNumberFormat="1" applyFont="1" applyFill="1" applyBorder="1" applyAlignment="1">
      <alignment horizontal="center" vertical="top" wrapText="1"/>
    </xf>
    <xf numFmtId="49" fontId="159" fillId="33" borderId="99" xfId="0" applyNumberFormat="1" applyFont="1" applyFill="1" applyBorder="1" applyAlignment="1">
      <alignment horizontal="center" vertical="top" wrapText="1"/>
    </xf>
    <xf numFmtId="0" fontId="166" fillId="33" borderId="84" xfId="0" applyFont="1" applyFill="1" applyBorder="1" applyAlignment="1">
      <alignment horizontal="left" vertical="center"/>
    </xf>
    <xf numFmtId="0" fontId="168" fillId="33" borderId="79" xfId="0" applyFont="1" applyFill="1" applyBorder="1" applyAlignment="1">
      <alignment horizontal="left" vertical="center"/>
    </xf>
    <xf numFmtId="0" fontId="168" fillId="33" borderId="80" xfId="0" applyFont="1" applyFill="1" applyBorder="1" applyAlignment="1">
      <alignment horizontal="left" vertical="center"/>
    </xf>
    <xf numFmtId="49" fontId="159" fillId="33" borderId="98" xfId="0" applyNumberFormat="1" applyFont="1" applyFill="1" applyBorder="1" applyAlignment="1">
      <alignment horizontal="left" vertical="center"/>
    </xf>
    <xf numFmtId="49" fontId="159" fillId="33" borderId="99" xfId="0" applyNumberFormat="1" applyFont="1" applyFill="1" applyBorder="1" applyAlignment="1">
      <alignment horizontal="left" vertical="center"/>
    </xf>
    <xf numFmtId="0" fontId="167" fillId="33" borderId="79" xfId="0" applyFont="1" applyFill="1" applyBorder="1" applyAlignment="1">
      <alignment horizontal="left" vertical="center"/>
    </xf>
    <xf numFmtId="0" fontId="167" fillId="33" borderId="84" xfId="0" applyFont="1" applyFill="1" applyBorder="1" applyAlignment="1">
      <alignment horizontal="left" vertical="center"/>
    </xf>
    <xf numFmtId="0" fontId="159" fillId="33" borderId="78" xfId="0" applyFont="1" applyFill="1" applyBorder="1" applyAlignment="1">
      <alignment horizontal="center"/>
    </xf>
    <xf numFmtId="0" fontId="159" fillId="33" borderId="104" xfId="0" applyFont="1" applyFill="1" applyBorder="1" applyAlignment="1">
      <alignment horizontal="center"/>
    </xf>
    <xf numFmtId="0" fontId="163" fillId="33" borderId="18" xfId="0" applyFont="1" applyFill="1" applyBorder="1" applyAlignment="1">
      <alignment horizontal="left"/>
    </xf>
    <xf numFmtId="0" fontId="163" fillId="33" borderId="0" xfId="0" applyFont="1" applyFill="1" applyAlignment="1">
      <alignment horizontal="left"/>
    </xf>
    <xf numFmtId="0" fontId="163" fillId="33" borderId="37" xfId="0" applyFont="1" applyFill="1" applyBorder="1" applyAlignment="1">
      <alignment horizontal="left"/>
    </xf>
    <xf numFmtId="0" fontId="165" fillId="33" borderId="98" xfId="0" applyFont="1" applyFill="1" applyBorder="1" applyAlignment="1">
      <alignment horizontal="center" vertical="center"/>
    </xf>
    <xf numFmtId="0" fontId="165" fillId="33" borderId="102" xfId="0" applyFont="1" applyFill="1" applyBorder="1" applyAlignment="1">
      <alignment horizontal="center" vertical="center"/>
    </xf>
    <xf numFmtId="0" fontId="165" fillId="33" borderId="99" xfId="0" applyFont="1" applyFill="1" applyBorder="1" applyAlignment="1">
      <alignment horizontal="center" vertical="center"/>
    </xf>
    <xf numFmtId="0" fontId="163" fillId="33" borderId="98" xfId="0" applyFont="1" applyFill="1" applyBorder="1" applyAlignment="1">
      <alignment horizontal="center" vertical="center"/>
    </xf>
    <xf numFmtId="0" fontId="163" fillId="33" borderId="102" xfId="0" applyFont="1" applyFill="1" applyBorder="1" applyAlignment="1">
      <alignment horizontal="center" vertical="center"/>
    </xf>
    <xf numFmtId="0" fontId="163" fillId="33" borderId="103" xfId="0" applyFont="1" applyFill="1" applyBorder="1" applyAlignment="1">
      <alignment horizontal="center" vertical="center"/>
    </xf>
    <xf numFmtId="0" fontId="161" fillId="0" borderId="100" xfId="2669" applyFont="1" applyBorder="1" applyAlignment="1">
      <alignment horizontal="center" vertical="center"/>
    </xf>
    <xf numFmtId="0" fontId="161" fillId="0" borderId="98" xfId="2669" applyFont="1" applyBorder="1" applyAlignment="1">
      <alignment horizontal="center" vertical="center"/>
    </xf>
    <xf numFmtId="0" fontId="161" fillId="0" borderId="99" xfId="2669" applyFont="1" applyBorder="1" applyAlignment="1">
      <alignment horizontal="center" vertical="center"/>
    </xf>
    <xf numFmtId="0" fontId="161" fillId="0" borderId="98" xfId="2669" applyFont="1" applyBorder="1" applyAlignment="1">
      <alignment horizontal="center" vertical="center" wrapText="1"/>
    </xf>
    <xf numFmtId="0" fontId="161" fillId="0" borderId="99" xfId="2669" applyFont="1" applyBorder="1" applyAlignment="1">
      <alignment horizontal="center" vertical="center" wrapText="1"/>
    </xf>
    <xf numFmtId="0" fontId="160" fillId="35" borderId="76" xfId="0" applyFont="1" applyFill="1" applyBorder="1" applyAlignment="1">
      <alignment horizontal="center" vertical="center"/>
    </xf>
    <xf numFmtId="0" fontId="160" fillId="35" borderId="36" xfId="0" applyFont="1" applyFill="1" applyBorder="1" applyAlignment="1">
      <alignment horizontal="center" vertical="center"/>
    </xf>
    <xf numFmtId="0" fontId="160" fillId="35" borderId="43" xfId="0" applyFont="1" applyFill="1" applyBorder="1" applyAlignment="1">
      <alignment horizontal="center" vertical="center"/>
    </xf>
    <xf numFmtId="0" fontId="160" fillId="35" borderId="41" xfId="0" applyFont="1" applyFill="1" applyBorder="1" applyAlignment="1">
      <alignment horizontal="center" vertical="center"/>
    </xf>
    <xf numFmtId="0" fontId="160" fillId="35" borderId="42" xfId="0" applyFont="1" applyFill="1" applyBorder="1" applyAlignment="1">
      <alignment horizontal="center" vertical="center"/>
    </xf>
    <xf numFmtId="0" fontId="160" fillId="35" borderId="77" xfId="0" applyFont="1" applyFill="1" applyBorder="1" applyAlignment="1">
      <alignment horizontal="center" vertical="center"/>
    </xf>
    <xf numFmtId="0" fontId="172" fillId="35" borderId="0" xfId="1451" applyFont="1" applyFill="1" applyAlignment="1">
      <alignment horizontal="center" vertical="center"/>
    </xf>
    <xf numFmtId="0" fontId="175" fillId="0" borderId="0" xfId="1451" applyFont="1" applyAlignment="1">
      <alignment horizontal="left"/>
    </xf>
    <xf numFmtId="0" fontId="172" fillId="35" borderId="26" xfId="1451" applyFont="1" applyFill="1" applyBorder="1" applyAlignment="1">
      <alignment horizontal="center" vertical="center"/>
    </xf>
    <xf numFmtId="0" fontId="172" fillId="35" borderId="36" xfId="1451" applyFont="1" applyFill="1" applyBorder="1" applyAlignment="1">
      <alignment horizontal="center" vertical="center"/>
    </xf>
    <xf numFmtId="0" fontId="172" fillId="35" borderId="43" xfId="1451" applyFont="1" applyFill="1" applyBorder="1" applyAlignment="1">
      <alignment horizontal="center" vertical="center"/>
    </xf>
    <xf numFmtId="0" fontId="172" fillId="35" borderId="28" xfId="1451" applyFont="1" applyFill="1" applyBorder="1" applyAlignment="1">
      <alignment horizontal="center" vertical="center"/>
    </xf>
    <xf numFmtId="0" fontId="172" fillId="35" borderId="37" xfId="1451" applyFont="1" applyFill="1" applyBorder="1" applyAlignment="1">
      <alignment horizontal="center" vertical="center"/>
    </xf>
    <xf numFmtId="0" fontId="172" fillId="35" borderId="34" xfId="1451" applyFont="1" applyFill="1" applyBorder="1" applyAlignment="1">
      <alignment horizontal="center" vertical="center"/>
    </xf>
    <xf numFmtId="0" fontId="172" fillId="35" borderId="19" xfId="1451" applyFont="1" applyFill="1" applyBorder="1" applyAlignment="1">
      <alignment horizontal="center" vertical="center"/>
    </xf>
    <xf numFmtId="0" fontId="172" fillId="35" borderId="31" xfId="1451" applyFont="1" applyFill="1" applyBorder="1" applyAlignment="1">
      <alignment horizontal="center" vertical="center"/>
    </xf>
    <xf numFmtId="0" fontId="182" fillId="0" borderId="106" xfId="0" applyNumberFormat="1" applyFont="1" applyFill="1" applyBorder="1" applyAlignment="1" applyProtection="1">
      <alignment horizontal="center" vertical="center"/>
    </xf>
    <xf numFmtId="0" fontId="14" fillId="0" borderId="106" xfId="0" applyFont="1" applyBorder="1" applyAlignment="1">
      <alignment horizontal="center" vertical="center"/>
    </xf>
    <xf numFmtId="0" fontId="14" fillId="0" borderId="106" xfId="0" applyNumberFormat="1" applyFont="1" applyFill="1" applyBorder="1" applyAlignment="1" applyProtection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3" xfId="578" xr:uid="{00000000-0005-0000-0000-000042030000}"/>
    <cellStyle name="Comma [0] 2 2 2 2 2 2 3 2" xfId="2937" xr:uid="{00000000-0005-0000-0000-000043030000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3" xfId="584" xr:uid="{00000000-0005-0000-0000-000050030000}"/>
    <cellStyle name="Comma [0] 2 2 2 2 3 2" xfId="2943" xr:uid="{00000000-0005-0000-0000-000051030000}"/>
    <cellStyle name="Comma [0] 2 2 2 2 4" xfId="585" xr:uid="{00000000-0005-0000-0000-000052030000}"/>
    <cellStyle name="Comma [0] 2 2 2 2 4 2" xfId="2944" xr:uid="{00000000-0005-0000-0000-000053030000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4" xfId="595" xr:uid="{00000000-0005-0000-0000-000068030000}"/>
    <cellStyle name="Comma [0] 2 2 4 2" xfId="2954" xr:uid="{00000000-0005-0000-0000-000069030000}"/>
    <cellStyle name="Comma [0] 2 2 5" xfId="596" xr:uid="{00000000-0005-0000-0000-00006A030000}"/>
    <cellStyle name="Comma [0] 2 2 5 2" xfId="2955" xr:uid="{00000000-0005-0000-0000-00006B030000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3" xfId="656" xr:uid="{00000000-0005-0000-0000-0000DD030000}"/>
    <cellStyle name="Comma [0] 23 2" xfId="3009" xr:uid="{00000000-0005-0000-0000-0000DE030000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3" xfId="806" xr:uid="{00000000-0005-0000-0000-0000FB040000}"/>
    <cellStyle name="Comma 2 2 2 2 2 2 3 2" xfId="3150" xr:uid="{00000000-0005-0000-0000-0000FC040000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3" xfId="812" xr:uid="{00000000-0005-0000-0000-000009050000}"/>
    <cellStyle name="Comma 2 2 2 2 3 2" xfId="3156" xr:uid="{00000000-0005-0000-0000-00000A050000}"/>
    <cellStyle name="Comma 2 2 2 2 4" xfId="813" xr:uid="{00000000-0005-0000-0000-00000B050000}"/>
    <cellStyle name="Comma 2 2 2 2 4 2" xfId="3157" xr:uid="{00000000-0005-0000-0000-00000C050000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5" xfId="824" xr:uid="{00000000-0005-0000-0000-000023050000}"/>
    <cellStyle name="Comma 2 2 5 2" xfId="3168" xr:uid="{00000000-0005-0000-0000-000024050000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ubt1" xfId="2589" xr:uid="{00000000-0005-0000-0000-0000430E0000}"/>
    <cellStyle name="subt1 2" xfId="2590" xr:uid="{00000000-0005-0000-0000-0000440E0000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1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33CCFF"/>
      <color rgb="FFCCCCFF"/>
      <color rgb="FFFF6699"/>
      <color rgb="FFCCFF66"/>
      <color rgb="FFFFFF99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1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36823" y="4541749"/>
          <a:ext cx="266700" cy="147363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 macro="" textlink="">
      <xdr:nvSpPr>
        <xdr:cNvPr id="124930" name="AutoShape 2">
          <a:extLst>
            <a:ext uri="{FF2B5EF4-FFF2-40B4-BE49-F238E27FC236}">
              <a16:creationId xmlns:a16="http://schemas.microsoft.com/office/drawing/2014/main" id="{FDCE3BF4-E4C8-44B5-B15F-B7D7A1CDEC9A}"/>
            </a:ext>
          </a:extLst>
        </xdr:cNvPr>
        <xdr:cNvSpPr>
          <a:spLocks noChangeAspect="1" noChangeArrowheads="1"/>
        </xdr:cNvSpPr>
      </xdr:nvSpPr>
      <xdr:spPr bwMode="auto"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343485</xdr:colOff>
      <xdr:row>21</xdr:row>
      <xdr:rowOff>110597</xdr:rowOff>
    </xdr:from>
    <xdr:to>
      <xdr:col>10</xdr:col>
      <xdr:colOff>333960</xdr:colOff>
      <xdr:row>23</xdr:row>
      <xdr:rowOff>41633</xdr:rowOff>
    </xdr:to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21752F48-4109-4007-B6CB-14FF0555D97C}"/>
            </a:ext>
          </a:extLst>
        </xdr:cNvPr>
        <xdr:cNvSpPr txBox="1"/>
      </xdr:nvSpPr>
      <xdr:spPr>
        <a:xfrm rot="20173373">
          <a:off x="3325224" y="3291119"/>
          <a:ext cx="371475" cy="2292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8</xdr:col>
      <xdr:colOff>112058</xdr:colOff>
      <xdr:row>15</xdr:row>
      <xdr:rowOff>145677</xdr:rowOff>
    </xdr:from>
    <xdr:to>
      <xdr:col>8</xdr:col>
      <xdr:colOff>264458</xdr:colOff>
      <xdr:row>16</xdr:row>
      <xdr:rowOff>136152</xdr:rowOff>
    </xdr:to>
    <xdr:grpSp>
      <xdr:nvGrpSpPr>
        <xdr:cNvPr id="279" name="Group 6">
          <a:extLst>
            <a:ext uri="{FF2B5EF4-FFF2-40B4-BE49-F238E27FC236}">
              <a16:creationId xmlns:a16="http://schemas.microsoft.com/office/drawing/2014/main" id="{C520776E-2A00-4DE4-BBE8-D65F5B49AE2F}"/>
            </a:ext>
          </a:extLst>
        </xdr:cNvPr>
        <xdr:cNvGrpSpPr>
          <a:grpSpLocks/>
        </xdr:cNvGrpSpPr>
      </xdr:nvGrpSpPr>
      <xdr:grpSpPr bwMode="auto">
        <a:xfrm>
          <a:off x="2702858" y="2460252"/>
          <a:ext cx="152400" cy="142875"/>
          <a:chOff x="3725636" y="1945820"/>
          <a:chExt cx="153760" cy="144237"/>
        </a:xfrm>
      </xdr:grpSpPr>
      <xdr:sp macro="" textlink="">
        <xdr:nvSpPr>
          <xdr:cNvPr id="280" name="Oval 279">
            <a:extLst>
              <a:ext uri="{FF2B5EF4-FFF2-40B4-BE49-F238E27FC236}">
                <a16:creationId xmlns:a16="http://schemas.microsoft.com/office/drawing/2014/main" id="{77533803-30AE-4B8B-9203-3212CFCE1E1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883ED9DA-9B05-4087-85A1-CE9AEF7F4521}"/>
              </a:ext>
            </a:extLst>
          </xdr:cNvPr>
          <xdr:cNvCxnSpPr>
            <a:stCxn id="280" idx="1"/>
            <a:endCxn id="2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D9DF7D8-29BB-4DA6-B208-1BCE22D20DA9}"/>
              </a:ext>
            </a:extLst>
          </xdr:cNvPr>
          <xdr:cNvCxnSpPr>
            <a:stCxn id="280" idx="3"/>
            <a:endCxn id="2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268940</xdr:colOff>
      <xdr:row>46</xdr:row>
      <xdr:rowOff>22411</xdr:rowOff>
    </xdr:from>
    <xdr:to>
      <xdr:col>12</xdr:col>
      <xdr:colOff>40340</xdr:colOff>
      <xdr:row>47</xdr:row>
      <xdr:rowOff>12887</xdr:rowOff>
    </xdr:to>
    <xdr:grpSp>
      <xdr:nvGrpSpPr>
        <xdr:cNvPr id="283" name="Group 6">
          <a:extLst>
            <a:ext uri="{FF2B5EF4-FFF2-40B4-BE49-F238E27FC236}">
              <a16:creationId xmlns:a16="http://schemas.microsoft.com/office/drawing/2014/main" id="{F0AE29F0-E9A3-41D0-A6CB-F4B1CE111077}"/>
            </a:ext>
          </a:extLst>
        </xdr:cNvPr>
        <xdr:cNvGrpSpPr>
          <a:grpSpLocks/>
        </xdr:cNvGrpSpPr>
      </xdr:nvGrpSpPr>
      <xdr:grpSpPr bwMode="auto">
        <a:xfrm>
          <a:off x="4002740" y="7128061"/>
          <a:ext cx="152400" cy="142876"/>
          <a:chOff x="3725636" y="1945820"/>
          <a:chExt cx="153760" cy="144237"/>
        </a:xfrm>
      </xdr:grpSpPr>
      <xdr:sp macro="" textlink="">
        <xdr:nvSpPr>
          <xdr:cNvPr id="284" name="Oval 283">
            <a:extLst>
              <a:ext uri="{FF2B5EF4-FFF2-40B4-BE49-F238E27FC236}">
                <a16:creationId xmlns:a16="http://schemas.microsoft.com/office/drawing/2014/main" id="{C8090CF0-E9C7-49FD-94B3-391C3F10519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D683EBF5-1348-4C18-934E-F1B3AD507C9E}"/>
              </a:ext>
            </a:extLst>
          </xdr:cNvPr>
          <xdr:cNvCxnSpPr>
            <a:stCxn id="284" idx="1"/>
            <a:endCxn id="28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CB1CDED9-5E00-4A80-8B2E-205C807835D3}"/>
              </a:ext>
            </a:extLst>
          </xdr:cNvPr>
          <xdr:cNvCxnSpPr>
            <a:stCxn id="284" idx="3"/>
            <a:endCxn id="28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280147</xdr:colOff>
      <xdr:row>8</xdr:row>
      <xdr:rowOff>22412</xdr:rowOff>
    </xdr:from>
    <xdr:to>
      <xdr:col>7</xdr:col>
      <xdr:colOff>134470</xdr:colOff>
      <xdr:row>21</xdr:row>
      <xdr:rowOff>112059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5C998903-A3B5-479D-A3C0-D9BE2B7A1C53}"/>
            </a:ext>
          </a:extLst>
        </xdr:cNvPr>
        <xdr:cNvCxnSpPr/>
      </xdr:nvCxnSpPr>
      <xdr:spPr>
        <a:xfrm>
          <a:off x="2117912" y="1277471"/>
          <a:ext cx="235323" cy="2129117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118783</xdr:colOff>
      <xdr:row>21</xdr:row>
      <xdr:rowOff>51547</xdr:rowOff>
    </xdr:from>
    <xdr:to>
      <xdr:col>9</xdr:col>
      <xdr:colOff>324970</xdr:colOff>
      <xdr:row>37</xdr:row>
      <xdr:rowOff>11206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D91549F-6DED-4ADA-B8DA-7D3B4965C136}"/>
            </a:ext>
          </a:extLst>
        </xdr:cNvPr>
        <xdr:cNvCxnSpPr/>
      </xdr:nvCxnSpPr>
      <xdr:spPr>
        <a:xfrm>
          <a:off x="2337548" y="3346076"/>
          <a:ext cx="968187" cy="2458571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212911</xdr:colOff>
      <xdr:row>37</xdr:row>
      <xdr:rowOff>0</xdr:rowOff>
    </xdr:from>
    <xdr:to>
      <xdr:col>9</xdr:col>
      <xdr:colOff>324970</xdr:colOff>
      <xdr:row>50</xdr:row>
      <xdr:rowOff>168088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E0E7B396-ED46-4443-9F75-06C713FF0D25}"/>
            </a:ext>
          </a:extLst>
        </xdr:cNvPr>
        <xdr:cNvCxnSpPr/>
      </xdr:nvCxnSpPr>
      <xdr:spPr>
        <a:xfrm flipH="1">
          <a:off x="3193676" y="5793441"/>
          <a:ext cx="112059" cy="2263588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29135</xdr:colOff>
      <xdr:row>26</xdr:row>
      <xdr:rowOff>44824</xdr:rowOff>
    </xdr:from>
    <xdr:to>
      <xdr:col>12</xdr:col>
      <xdr:colOff>358588</xdr:colOff>
      <xdr:row>31</xdr:row>
      <xdr:rowOff>51546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EB25E1DC-EAD1-4A70-BE39-5783D8D93F31}"/>
            </a:ext>
          </a:extLst>
        </xdr:cNvPr>
        <xdr:cNvCxnSpPr/>
      </xdr:nvCxnSpPr>
      <xdr:spPr>
        <a:xfrm flipH="1">
          <a:off x="3009900" y="4123765"/>
          <a:ext cx="1472453" cy="779928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248772</xdr:colOff>
      <xdr:row>19</xdr:row>
      <xdr:rowOff>123264</xdr:rowOff>
    </xdr:from>
    <xdr:to>
      <xdr:col>16</xdr:col>
      <xdr:colOff>112059</xdr:colOff>
      <xdr:row>26</xdr:row>
      <xdr:rowOff>114299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FF9C70C8-07EA-4D39-8B0B-B314E3EE7157}"/>
            </a:ext>
          </a:extLst>
        </xdr:cNvPr>
        <xdr:cNvCxnSpPr/>
      </xdr:nvCxnSpPr>
      <xdr:spPr>
        <a:xfrm flipH="1">
          <a:off x="4372537" y="3104029"/>
          <a:ext cx="1387287" cy="1089211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257736</xdr:colOff>
      <xdr:row>46</xdr:row>
      <xdr:rowOff>136711</xdr:rowOff>
    </xdr:from>
    <xdr:to>
      <xdr:col>15</xdr:col>
      <xdr:colOff>291353</xdr:colOff>
      <xdr:row>49</xdr:row>
      <xdr:rowOff>89647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35DA71AF-AABA-400D-B125-89D862ABFC3E}"/>
            </a:ext>
          </a:extLst>
        </xdr:cNvPr>
        <xdr:cNvCxnSpPr/>
      </xdr:nvCxnSpPr>
      <xdr:spPr>
        <a:xfrm flipH="1" flipV="1">
          <a:off x="3238501" y="7398123"/>
          <a:ext cx="2319617" cy="423583"/>
        </a:xfrm>
        <a:prstGeom prst="line">
          <a:avLst/>
        </a:prstGeom>
        <a:ln w="1143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201706</xdr:colOff>
      <xdr:row>16</xdr:row>
      <xdr:rowOff>134470</xdr:rowOff>
    </xdr:from>
    <xdr:to>
      <xdr:col>11</xdr:col>
      <xdr:colOff>291258</xdr:colOff>
      <xdr:row>46</xdr:row>
      <xdr:rowOff>43991</xdr:rowOff>
    </xdr:to>
    <xdr:cxnSp macro="">
      <xdr:nvCxnSpPr>
        <xdr:cNvPr id="292" name="Straight Connector 291">
          <a:extLst>
            <a:ext uri="{FF2B5EF4-FFF2-40B4-BE49-F238E27FC236}">
              <a16:creationId xmlns:a16="http://schemas.microsoft.com/office/drawing/2014/main" id="{9867ED21-6BD0-4FFF-8A0C-D8F6BFD56DB6}"/>
            </a:ext>
          </a:extLst>
        </xdr:cNvPr>
        <xdr:cNvCxnSpPr>
          <a:endCxn id="284" idx="1"/>
        </xdr:cNvCxnSpPr>
      </xdr:nvCxnSpPr>
      <xdr:spPr>
        <a:xfrm>
          <a:off x="2801471" y="2644588"/>
          <a:ext cx="1232552" cy="46608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242140</xdr:colOff>
      <xdr:row>16</xdr:row>
      <xdr:rowOff>115714</xdr:rowOff>
    </xdr:from>
    <xdr:to>
      <xdr:col>10</xdr:col>
      <xdr:colOff>102017</xdr:colOff>
      <xdr:row>21</xdr:row>
      <xdr:rowOff>120324</xdr:rowOff>
    </xdr:to>
    <xdr:cxnSp macro="">
      <xdr:nvCxnSpPr>
        <xdr:cNvPr id="293" name="Straight Connector 292">
          <a:extLst>
            <a:ext uri="{FF2B5EF4-FFF2-40B4-BE49-F238E27FC236}">
              <a16:creationId xmlns:a16="http://schemas.microsoft.com/office/drawing/2014/main" id="{A5B0876D-C55B-4B54-93E5-944C1A83B487}"/>
            </a:ext>
          </a:extLst>
        </xdr:cNvPr>
        <xdr:cNvCxnSpPr>
          <a:stCxn id="280" idx="5"/>
          <a:endCxn id="278" idx="0"/>
        </xdr:cNvCxnSpPr>
      </xdr:nvCxnSpPr>
      <xdr:spPr>
        <a:xfrm>
          <a:off x="2842879" y="2550801"/>
          <a:ext cx="621877" cy="7500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325525</xdr:colOff>
      <xdr:row>20</xdr:row>
      <xdr:rowOff>55473</xdr:rowOff>
    </xdr:from>
    <xdr:to>
      <xdr:col>10</xdr:col>
      <xdr:colOff>44258</xdr:colOff>
      <xdr:row>21</xdr:row>
      <xdr:rowOff>89091</xdr:rowOff>
    </xdr:to>
    <xdr:grpSp>
      <xdr:nvGrpSpPr>
        <xdr:cNvPr id="294" name="Group 28">
          <a:extLst>
            <a:ext uri="{FF2B5EF4-FFF2-40B4-BE49-F238E27FC236}">
              <a16:creationId xmlns:a16="http://schemas.microsoft.com/office/drawing/2014/main" id="{03AAC912-5000-4E91-891F-7205C7E38EA5}"/>
            </a:ext>
          </a:extLst>
        </xdr:cNvPr>
        <xdr:cNvGrpSpPr>
          <a:grpSpLocks/>
        </xdr:cNvGrpSpPr>
      </xdr:nvGrpSpPr>
      <xdr:grpSpPr bwMode="auto">
        <a:xfrm rot="3536640">
          <a:off x="3254183" y="3175190"/>
          <a:ext cx="186018" cy="99733"/>
          <a:chOff x="12267508" y="2212225"/>
          <a:chExt cx="192931" cy="101137"/>
        </a:xfrm>
      </xdr:grpSpPr>
      <xdr:cxnSp macro="">
        <xdr:nvCxnSpPr>
          <xdr:cNvPr id="295" name="Straight Connector 294">
            <a:extLst>
              <a:ext uri="{FF2B5EF4-FFF2-40B4-BE49-F238E27FC236}">
                <a16:creationId xmlns:a16="http://schemas.microsoft.com/office/drawing/2014/main" id="{A666910D-EEC0-4969-A5B3-3F7A73E4608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F50B406A-2068-4E78-8CD8-F890CFEA852C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1428372D-E331-4467-B229-250ECE51A142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Connector 297">
            <a:extLst>
              <a:ext uri="{FF2B5EF4-FFF2-40B4-BE49-F238E27FC236}">
                <a16:creationId xmlns:a16="http://schemas.microsoft.com/office/drawing/2014/main" id="{6C0D2E2B-A2B4-4B41-8CB7-148561C99CD8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235323</xdr:colOff>
      <xdr:row>14</xdr:row>
      <xdr:rowOff>89647</xdr:rowOff>
    </xdr:from>
    <xdr:to>
      <xdr:col>9</xdr:col>
      <xdr:colOff>121023</xdr:colOff>
      <xdr:row>15</xdr:row>
      <xdr:rowOff>82930</xdr:rowOff>
    </xdr:to>
    <xdr:grpSp>
      <xdr:nvGrpSpPr>
        <xdr:cNvPr id="299" name="Group 114">
          <a:extLst>
            <a:ext uri="{FF2B5EF4-FFF2-40B4-BE49-F238E27FC236}">
              <a16:creationId xmlns:a16="http://schemas.microsoft.com/office/drawing/2014/main" id="{1534DA10-4EF8-4560-A658-D8987B0B6AA9}"/>
            </a:ext>
          </a:extLst>
        </xdr:cNvPr>
        <xdr:cNvGrpSpPr>
          <a:grpSpLocks/>
        </xdr:cNvGrpSpPr>
      </xdr:nvGrpSpPr>
      <xdr:grpSpPr bwMode="auto">
        <a:xfrm>
          <a:off x="2826123" y="2251822"/>
          <a:ext cx="266700" cy="145683"/>
          <a:chOff x="12001500" y="4327373"/>
          <a:chExt cx="262305" cy="151948"/>
        </a:xfrm>
      </xdr:grpSpPr>
      <xdr:sp macro="" textlink="">
        <xdr:nvSpPr>
          <xdr:cNvPr id="300" name="Isosceles Triangle 299">
            <a:extLst>
              <a:ext uri="{FF2B5EF4-FFF2-40B4-BE49-F238E27FC236}">
                <a16:creationId xmlns:a16="http://schemas.microsoft.com/office/drawing/2014/main" id="{217831E7-D6CE-4233-AA3A-58F7D76EF52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301" name="Isosceles Triangle 300">
            <a:extLst>
              <a:ext uri="{FF2B5EF4-FFF2-40B4-BE49-F238E27FC236}">
                <a16:creationId xmlns:a16="http://schemas.microsoft.com/office/drawing/2014/main" id="{EE974747-3BCF-426B-8653-9F48E2F5C224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302" name="Isosceles Triangle 301">
            <a:extLst>
              <a:ext uri="{FF2B5EF4-FFF2-40B4-BE49-F238E27FC236}">
                <a16:creationId xmlns:a16="http://schemas.microsoft.com/office/drawing/2014/main" id="{EE578F7B-05DC-409D-B5B3-59235461F4A5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0</xdr:colOff>
      <xdr:row>22</xdr:row>
      <xdr:rowOff>103909</xdr:rowOff>
    </xdr:from>
    <xdr:to>
      <xdr:col>12</xdr:col>
      <xdr:colOff>155864</xdr:colOff>
      <xdr:row>26</xdr:row>
      <xdr:rowOff>121227</xdr:rowOff>
    </xdr:to>
    <xdr:sp macro="" textlink="">
      <xdr:nvSpPr>
        <xdr:cNvPr id="146" name="Rectangle 145">
          <a:extLst>
            <a:ext uri="{FF2B5EF4-FFF2-40B4-BE49-F238E27FC236}">
              <a16:creationId xmlns:a16="http://schemas.microsoft.com/office/drawing/2014/main" id="{58BD6637-D578-4FF1-95B5-4C6C37F1A41B}"/>
            </a:ext>
          </a:extLst>
        </xdr:cNvPr>
        <xdr:cNvSpPr/>
      </xdr:nvSpPr>
      <xdr:spPr>
        <a:xfrm rot="20196888">
          <a:off x="3377045" y="3532909"/>
          <a:ext cx="917864" cy="6407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11</xdr:col>
      <xdr:colOff>108857</xdr:colOff>
      <xdr:row>7</xdr:row>
      <xdr:rowOff>27216</xdr:rowOff>
    </xdr:from>
    <xdr:to>
      <xdr:col>21</xdr:col>
      <xdr:colOff>222908</xdr:colOff>
      <xdr:row>19</xdr:row>
      <xdr:rowOff>40822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6341F6B5-89D6-4563-99E4-60B4D47C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6598" y="1111095"/>
          <a:ext cx="3924051" cy="1839779"/>
        </a:xfrm>
        <a:prstGeom prst="rect">
          <a:avLst/>
        </a:prstGeom>
      </xdr:spPr>
    </xdr:pic>
    <xdr:clientData/>
  </xdr:twoCellAnchor>
  <xdr:twoCellAnchor editAs="oneCell">
    <xdr:from>
      <xdr:col>14</xdr:col>
      <xdr:colOff>272143</xdr:colOff>
      <xdr:row>29</xdr:row>
      <xdr:rowOff>90225</xdr:rowOff>
    </xdr:from>
    <xdr:to>
      <xdr:col>21</xdr:col>
      <xdr:colOff>249917</xdr:colOff>
      <xdr:row>47</xdr:row>
      <xdr:rowOff>90689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C22EC22-5980-4168-9B23-4233D092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0" y="4471725"/>
          <a:ext cx="2644774" cy="2776321"/>
        </a:xfrm>
        <a:prstGeom prst="rect">
          <a:avLst/>
        </a:prstGeom>
      </xdr:spPr>
    </xdr:pic>
    <xdr:clientData/>
  </xdr:twoCellAnchor>
  <xdr:twoCellAnchor>
    <xdr:from>
      <xdr:col>2</xdr:col>
      <xdr:colOff>367393</xdr:colOff>
      <xdr:row>15</xdr:row>
      <xdr:rowOff>68037</xdr:rowOff>
    </xdr:from>
    <xdr:to>
      <xdr:col>6</xdr:col>
      <xdr:colOff>224077</xdr:colOff>
      <xdr:row>31</xdr:row>
      <xdr:rowOff>0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6BD26F36-191C-4AFD-9245-FCF04B111563}"/>
            </a:ext>
          </a:extLst>
        </xdr:cNvPr>
        <xdr:cNvSpPr txBox="1"/>
      </xdr:nvSpPr>
      <xdr:spPr>
        <a:xfrm>
          <a:off x="557893" y="2382612"/>
          <a:ext cx="1494984" cy="23608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MGN01-93/19/21</a:t>
          </a:r>
        </a:p>
        <a:p>
          <a:pPr algn="ctr"/>
          <a:r>
            <a:rPr 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CC11 200</a:t>
          </a:r>
        </a:p>
        <a:p>
          <a:pPr algn="ctr"/>
          <a:r>
            <a:rPr 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P12</a:t>
          </a:r>
        </a:p>
        <a:p>
          <a:pPr algn="ctr"/>
          <a:r>
            <a:rPr lang="en-ID" strike="sngStrike">
              <a:effectLst/>
            </a:rPr>
            <a:t>1 CC1-A</a:t>
          </a:r>
        </a:p>
        <a:p>
          <a:pPr algn="ctr"/>
          <a:r>
            <a:rPr lang="en-ID" strike="sngStrike">
              <a:effectLst/>
            </a:rPr>
            <a:t>3 SJ6</a:t>
          </a:r>
        </a:p>
        <a:p>
          <a:pPr algn="ctr"/>
          <a:r>
            <a:rPr lang="en-ID" strike="sngStrike">
              <a:effectLst/>
            </a:rPr>
            <a:t>1 SJ5</a:t>
          </a:r>
        </a:p>
        <a:p>
          <a:pPr algn="ctr"/>
          <a:r>
            <a:rPr lang="en-ID">
              <a:solidFill>
                <a:srgbClr val="FF0000"/>
              </a:solidFill>
              <a:effectLst/>
            </a:rPr>
            <a:t>1 C12-350E</a:t>
          </a:r>
        </a:p>
        <a:p>
          <a:pPr algn="ctr"/>
          <a:r>
            <a:rPr lang="en-ID">
              <a:solidFill>
                <a:srgbClr val="FF0000"/>
              </a:solidFill>
              <a:effectLst/>
            </a:rPr>
            <a:t>1 CC1-A</a:t>
          </a:r>
        </a:p>
        <a:p>
          <a:pPr algn="ctr"/>
          <a:r>
            <a:rPr lang="en-ID">
              <a:solidFill>
                <a:srgbClr val="FF0000"/>
              </a:solidFill>
              <a:effectLst/>
            </a:rPr>
            <a:t>1 CG312-A 50 KVA</a:t>
          </a:r>
        </a:p>
        <a:p>
          <a:pPr algn="ctr"/>
          <a:r>
            <a:rPr lang="en-ID">
              <a:solidFill>
                <a:srgbClr val="FF0000"/>
              </a:solidFill>
              <a:effectLst/>
            </a:rPr>
            <a:t>1 CM2-12</a:t>
          </a:r>
        </a:p>
        <a:p>
          <a:pPr algn="ctr"/>
          <a:r>
            <a:rPr lang="en-ID">
              <a:solidFill>
                <a:srgbClr val="FF0000"/>
              </a:solidFill>
              <a:effectLst/>
            </a:rPr>
            <a:t>3</a:t>
          </a:r>
          <a:r>
            <a:rPr lang="en-ID" baseline="0">
              <a:solidFill>
                <a:srgbClr val="FF0000"/>
              </a:solidFill>
              <a:effectLst/>
            </a:rPr>
            <a:t> CM2-11M</a:t>
          </a:r>
        </a:p>
        <a:p>
          <a:pPr algn="ctr"/>
          <a:r>
            <a:rPr lang="en-ID" baseline="0">
              <a:solidFill>
                <a:srgbClr val="FF0000"/>
              </a:solidFill>
              <a:effectLst/>
            </a:rPr>
            <a:t>2 SJ6</a:t>
          </a:r>
        </a:p>
        <a:p>
          <a:pPr algn="ctr"/>
          <a:r>
            <a:rPr lang="en-ID" baseline="0">
              <a:solidFill>
                <a:srgbClr val="FF0000"/>
              </a:solidFill>
              <a:effectLst/>
            </a:rPr>
            <a:t>LVTC 3X70+NX50 mm2</a:t>
          </a:r>
        </a:p>
        <a:p>
          <a:pPr algn="ctr"/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4" name="AutoShape 2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2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5" name="AutoShape 3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3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71437</xdr:colOff>
      <xdr:row>9</xdr:row>
      <xdr:rowOff>95250</xdr:rowOff>
    </xdr:from>
    <xdr:to>
      <xdr:col>13</xdr:col>
      <xdr:colOff>333374</xdr:colOff>
      <xdr:row>51</xdr:row>
      <xdr:rowOff>58560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52029A-AA15-4E1A-9CF9-0951FA20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" y="1738313"/>
          <a:ext cx="6453187" cy="69641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Normal="100" zoomScaleSheetLayoutView="100" workbookViewId="0">
      <selection activeCell="Q15" sqref="Q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1104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32</v>
      </c>
      <c r="E7" s="531" t="s">
        <v>33</v>
      </c>
      <c r="F7" s="531" t="s">
        <v>1105</v>
      </c>
      <c r="G7" s="532" t="s">
        <v>31</v>
      </c>
      <c r="H7" s="528" t="s">
        <v>1012</v>
      </c>
      <c r="I7" s="528" t="s">
        <v>1107</v>
      </c>
      <c r="J7" s="528" t="s">
        <v>996</v>
      </c>
      <c r="K7" s="522" t="s">
        <v>994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53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SUMIFS(RAB!$F$14:$F$113,RAB!$C$14:$C$113,C714)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SUMIFS(RAB!$F$14:$F$113,RAB!$C$14:$C$113,C715)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SUMIFS(RAB!$F$14:$F$113,RAB!$C$14:$C$113,C716)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SUMIFS(RAB!$F$14:$F$113,RAB!$C$14:$C$113,C717)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SUMIFS(RAB!$F$14:$F$113,RAB!$C$14:$C$113,C718)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SUMIFS(RAB!$F$14:$F$113,RAB!$C$14:$C$113,C719)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SUMIFS(RAB!$F$14:$F$113,RAB!$C$14:$C$113,C720)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SUMIFS(RAB!$F$14:$F$113,RAB!$C$14:$C$113,C721)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SUMIFS(RAB!$F$14:$F$113,RAB!$C$14:$C$113,C722)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SUMIFS(RAB!$F$14:$F$113,RAB!$C$14:$C$113,C723)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SUMIFS(RAB!$F$14:$F$113,RAB!$C$14:$C$113,C724)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SUMIFS(RAB!$F$14:$F$113,RAB!$C$14:$C$113,C725)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SUMIFS(RAB!$F$14:$F$113,RAB!$C$14:$C$113,C726)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SUMIFS(RAB!$F$14:$F$113,RAB!$C$14:$C$113,C727)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SUMIFS(RAB!$F$14:$F$113,RAB!$C$14:$C$113,C728)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SUMIFS(RAB!$F$14:$F$113,RAB!$C$14:$C$113,C729)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SUMIFS(RAB!$F$14:$F$113,RAB!$C$14:$C$113,C730)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SUMIFS(RAB!$F$14:$F$113,RAB!$C$14:$C$113,C731)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SUMIFS(RAB!$F$14:$F$113,RAB!$C$14:$C$113,C732)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SUMIFS(RAB!$F$14:$F$113,RAB!$C$14:$C$113,C733)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SUMIFS(RAB!$F$14:$F$113,RAB!$C$14:$C$113,C734)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SUMIFS(RAB!$F$14:$F$113,RAB!$C$14:$C$113,C735)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SUMIFS(RAB!$F$14:$F$113,RAB!$C$14:$C$113,C736)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SUMIFS(RAB!$F$14:$F$113,RAB!$C$14:$C$113,C737)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SUMIFS(RAB!$F$14:$F$113,RAB!$C$14:$C$113,C738)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SUMIFS(RAB!$F$14:$F$113,RAB!$C$14:$C$113,C739)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SUMIFS(RAB!$F$14:$F$113,RAB!$C$14:$C$113,C740)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SUMIFS(RAB!$F$14:$F$113,RAB!$C$14:$C$113,C741)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SUMIFS(RAB!$F$14:$F$113,RAB!$C$14:$C$113,C742)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SUMIFS(RAB!$F$14:$F$113,RAB!$C$14:$C$113,C743)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SUMIFS(RAB!$F$14:$F$113,RAB!$C$14:$C$113,C744)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SUMIFS(RAB!$F$14:$F$113,RAB!$C$14:$C$113,C745)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SUMIFS(RAB!$F$14:$F$113,RAB!$C$14:$C$113,C746)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SUMIFS(RAB!$F$14:$F$113,RAB!$C$14:$C$113,C747)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SUMIFS(RAB!$F$14:$F$113,RAB!$C$14:$C$113,C748)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SUMIFS(RAB!$F$14:$F$113,RAB!$C$14:$C$113,C749)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SUMIFS(RAB!$F$14:$F$113,RAB!$C$14:$C$113,C750)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SUMIFS(RAB!$F$14:$F$113,RAB!$C$14:$C$113,C751)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SUMIFS(RAB!$F$14:$F$113,RAB!$C$14:$C$113,C752)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SUMIFS(RAB!$F$14:$F$113,RAB!$C$14:$C$113,C753)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SUMIFS(RAB!$F$14:$F$113,RAB!$C$14:$C$113,C754)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SUMIFS(RAB!$F$14:$F$113,RAB!$C$14:$C$113,C755)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SUMIFS(RAB!$F$14:$F$113,RAB!$C$14:$C$113,C756)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SUMIFS(RAB!$F$14:$F$113,RAB!$C$14:$C$113,C757)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SUMIFS(RAB!$F$14:$F$113,RAB!$C$14:$C$113,C758)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SUMIFS(RAB!$F$14:$F$113,RAB!$C$14:$C$113,C759)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SUMIFS(RAB!$F$14:$F$113,RAB!$C$14:$C$113,C760)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SUMIFS(RAB!$F$14:$F$113,RAB!$C$14:$C$113,C761)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SUMIFS(RAB!$F$14:$F$113,RAB!$C$14:$C$113,C762)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SUMIFS(RAB!$F$14:$F$113,RAB!$C$14:$C$113,C763)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SUMIFS(RAB!$F$14:$F$113,RAB!$C$14:$C$113,C764)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SUMIFS(RAB!$F$14:$F$113,RAB!$C$14:$C$113,C765)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SUMIFS(RAB!$F$14:$F$113,RAB!$C$14:$C$113,C766)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SUMIFS(RAB!$F$14:$F$113,RAB!$C$14:$C$113,C767)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SUMIFS(RAB!$F$14:$F$113,RAB!$C$14:$C$113,C768)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SUMIFS(RAB!$F$14:$F$113,RAB!$C$14:$C$113,C769)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SUMIFS(RAB!$F$14:$F$113,RAB!$C$14:$C$113,C770)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SUMIFS(RAB!$F$14:$F$113,RAB!$C$14:$C$113,C771)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SUMIFS(RAB!$F$14:$F$113,RAB!$C$14:$C$113,C772)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SUMIFS(RAB!$F$14:$F$113,RAB!$C$14:$C$113,C773)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SUMIFS(RAB!$F$14:$F$113,RAB!$C$14:$C$113,C774)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SUMIFS(RAB!$F$14:$F$113,RAB!$C$14:$C$113,C775)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SUMIFS(RAB!$F$14:$F$113,RAB!$C$14:$C$113,C776)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SUMIFS(RAB!$F$14:$F$113,RAB!$C$14:$C$113,C777)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SUMIFS(RAB!$F$14:$F$113,RAB!$C$14:$C$113,C778)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SUMIFS(RAB!$F$14:$F$113,RAB!$C$14:$C$113,C779)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SUMIFS(RAB!$F$14:$F$113,RAB!$C$14:$C$113,C780)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SUMIFS(RAB!$F$14:$F$113,RAB!$C$14:$C$113,C781)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SUMIFS(RAB!$F$14:$F$113,RAB!$C$14:$C$113,C782)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SUMIFS(RAB!$F$14:$F$113,RAB!$C$14:$C$113,C783)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SUMIFS(RAB!$F$14:$F$113,RAB!$C$14:$C$113,C784)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SUMIFS(RAB!$F$14:$F$113,RAB!$C$14:$C$113,C785)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SUMIFS(RAB!$F$14:$F$113,RAB!$C$14:$C$113,C786)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SUMIFS(RAB!$F$14:$F$113,RAB!$C$14:$C$113,C787)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SUMIFS(RAB!$F$14:$F$113,RAB!$C$14:$C$113,C788)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SUMIFS(RAB!$F$14:$F$113,RAB!$C$14:$C$113,C789)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SUMIFS(RAB!$F$14:$F$113,RAB!$C$14:$C$113,C790)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SUMIFS(RAB!$F$14:$F$113,RAB!$C$14:$C$113,C791)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SUMIFS(RAB!$F$14:$F$113,RAB!$C$14:$C$113,C792)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SUMIFS(RAB!$F$14:$F$113,RAB!$C$14:$C$113,C793)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SUMIFS(RAB!$F$14:$F$113,RAB!$C$14:$C$113,C794)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SUMIFS(RAB!$F$14:$F$113,RAB!$C$14:$C$113,C795)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SUMIFS(RAB!$F$14:$F$113,RAB!$C$14:$C$113,C796)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SUMIFS(RAB!$F$14:$F$113,RAB!$C$14:$C$113,C797)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SUMIFS(RAB!$F$14:$F$113,RAB!$C$14:$C$113,C798)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SUMIFS(RAB!$F$14:$F$113,RAB!$C$14:$C$113,C799)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SUMIFS(RAB!$F$14:$F$113,RAB!$C$14:$C$113,C800)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SUMIFS(RAB!$F$14:$F$113,RAB!$C$14:$C$113,C801)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SUMIFS(RAB!$F$14:$F$113,RAB!$C$14:$C$113,C802)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SUMIFS(RAB!$F$14:$F$113,RAB!$C$14:$C$113,C803)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SUMIFS(RAB!$F$14:$F$113,RAB!$C$14:$C$113,C804)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SUMIFS(RAB!$F$14:$F$113,RAB!$C$14:$C$113,C805)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SUMIFS(RAB!$F$14:$F$113,RAB!$C$14:$C$113,C806)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SUMIFS(RAB!$F$14:$F$113,RAB!$C$14:$C$113,C807)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SUMIFS(RAB!$F$14:$F$113,RAB!$C$14:$C$113,C808)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SUMIFS(RAB!$F$14:$F$113,RAB!$C$14:$C$113,C809)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SUMIFS(RAB!$F$14:$F$113,RAB!$C$14:$C$113,C810)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SUMIFS(RAB!$F$14:$F$113,RAB!$C$14:$C$113,C811)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SUMIFS(RAB!$F$14:$F$113,RAB!$C$14:$C$113,C812)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SUMIFS(RAB!$F$14:$F$113,RAB!$C$14:$C$113,C813)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SUMIFS(RAB!$F$14:$F$113,RAB!$C$14:$C$113,C814)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SUMIFS(RAB!$F$14:$F$113,RAB!$C$14:$C$113,C815)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SUMIFS(RAB!$F$14:$F$113,RAB!$C$14:$C$113,C816)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SUMIFS(RAB!$F$14:$F$113,RAB!$C$14:$C$113,C817)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SUMIFS(RAB!$F$14:$F$113,RAB!$C$14:$C$113,C818)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SUMIFS(RAB!$F$14:$F$113,RAB!$C$14:$C$113,C819)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SUMIFS(RAB!$F$14:$F$113,RAB!$C$14:$C$113,C820)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SUMIFS(RAB!$F$14:$F$113,RAB!$C$14:$C$113,C821)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SUMIFS(RAB!$F$14:$F$113,RAB!$C$14:$C$113,C822)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SUMIFS(RAB!$F$14:$F$113,RAB!$C$14:$C$113,C823)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SUMIFS(RAB!$F$14:$F$113,RAB!$C$14:$C$113,C824)</f>
        <v>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SUMIFS(RAB!$F$14:$F$113,RAB!$C$14:$C$113,C825)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SUMIFS(RAB!$F$14:$F$113,RAB!$C$14:$C$113,C826)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SUMIFS(RAB!$F$14:$F$113,RAB!$C$14:$C$113,C827)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SUMIFS(RAB!$F$14:$F$113,RAB!$C$14:$C$113,C828)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SUMIFS(RAB!$F$14:$F$113,RAB!$C$14:$C$113,C829)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SUMIFS(RAB!$F$14:$F$113,RAB!$C$14:$C$113,C830)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SUMIFS(RAB!$F$14:$F$113,RAB!$C$14:$C$113,C831)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SUMIFS(RAB!$F$14:$F$113,RAB!$C$14:$C$113,C832)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SUMIFS(RAB!$F$14:$F$113,RAB!$C$14:$C$113,C833)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SUMIFS(RAB!$F$14:$F$113,RAB!$C$14:$C$113,C834)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SUMIFS(RAB!$F$14:$F$113,RAB!$C$14:$C$113,C835)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SUMIFS(RAB!$F$14:$F$113,RAB!$C$14:$C$113,C836)</f>
        <v>53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SUMIFS(RAB!$F$14:$F$113,RAB!$C$14:$C$113,C837)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SUMIFS(RAB!$F$14:$F$113,RAB!$C$14:$C$113,C838)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SUMIFS(RAB!$F$14:$F$113,RAB!$C$14:$C$113,C839)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SUMIFS(RAB!$F$14:$F$113,RAB!$C$14:$C$113,C840)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SUMIFS(RAB!$F$14:$F$113,RAB!$C$14:$C$113,C841)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SUMIFS(RAB!$F$14:$F$113,RAB!$C$14:$C$113,C842)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SUMIFS(RAB!$F$14:$F$113,RAB!$C$14:$C$113,C843)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SUMIFS(RAB!$F$14:$F$113,RAB!$C$14:$C$113,C844)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SUMIFS(RAB!$F$14:$F$113,RAB!$C$14:$C$113,C845)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SUMIFS(RAB!$F$14:$F$113,RAB!$C$14:$C$113,C846)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SUMIFS(RAB!$F$14:$F$113,RAB!$C$14:$C$113,C847)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SUMIFS(RAB!$F$14:$F$113,RAB!$C$14:$C$113,C848)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SUMIFS(RAB!$F$14:$F$113,RAB!$C$14:$C$113,C849)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SUMIFS(RAB!$F$14:$F$113,RAB!$C$14:$C$113,C850)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SUMIFS(RAB!$F$14:$F$113,RAB!$C$14:$C$113,C851)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SUMIFS(RAB!$F$14:$F$113,RAB!$C$14:$C$113,C852)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SUMIFS(RAB!$F$14:$F$113,RAB!$C$14:$C$113,C853)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SUMIFS(RAB!$F$14:$F$113,RAB!$C$14:$C$113,C854)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SUMIFS(RAB!$F$14:$F$113,RAB!$C$14:$C$113,C855)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SUMIFS(RAB!$F$14:$F$113,RAB!$C$14:$C$113,C856)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SUMIFS(RAB!$F$14:$F$113,RAB!$C$14:$C$113,C857)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SUMIFS(RAB!$F$14:$F$113,RAB!$C$14:$C$113,C858)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SUMIFS(RAB!$F$14:$F$113,RAB!$C$14:$C$113,C859)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SUMIFS(RAB!$F$14:$F$113,RAB!$C$14:$C$113,C860)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SUMIFS(RAB!$F$14:$F$113,RAB!$C$14:$C$113,C861)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SUMIFS(RAB!$F$14:$F$113,RAB!$C$14:$C$113,C862)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SUMIFS(RAB!$F$14:$F$113,RAB!$C$14:$C$113,C863)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SUMIFS(RAB!$F$14:$F$113,RAB!$C$14:$C$113,C864)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SUMIFS(RAB!$F$14:$F$113,RAB!$C$14:$C$113,C865)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SUMIFS(RAB!$F$14:$F$113,RAB!$C$14:$C$113,C866)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SUMIFS(RAB!$F$14:$F$113,RAB!$C$14:$C$113,C867)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SUMIFS(RAB!$F$14:$F$113,RAB!$C$14:$C$113,C868)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SUMIFS(RAB!$F$14:$F$113,RAB!$C$14:$C$113,C869)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SUMIFS(RAB!$F$14:$F$113,RAB!$C$14:$C$113,C870)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SUMIFS(RAB!$F$14:$F$113,RAB!$C$14:$C$113,C871)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SUMIFS(RAB!$F$14:$F$113,RAB!$C$14:$C$113,C872)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SUMIFS(RAB!$F$14:$F$113,RAB!$C$14:$C$113,C873)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SUMIFS(RAB!$F$14:$F$113,RAB!$C$14:$C$113,C874)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SUMIFS(RAB!$F$14:$F$113,RAB!$C$14:$C$113,C875)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SUMIFS(RAB!$F$14:$F$113,RAB!$C$14:$C$113,C876)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SUMIFS(RAB!$F$14:$F$113,RAB!$C$14:$C$113,C877)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SUMIFS(RAB!$F$14:$F$113,RAB!$C$14:$C$113,C878)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SUMIFS(RAB!$F$14:$F$113,RAB!$C$14:$C$113,C879)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SUMIFS(RAB!$F$14:$F$113,RAB!$C$14:$C$113,C880)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SUMIFS(RAB!$F$14:$F$113,RAB!$C$14:$C$113,C881)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SUMIFS(RAB!$F$14:$F$113,RAB!$C$14:$C$113,C882)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SUMIFS(RAB!$F$14:$F$113,RAB!$C$14:$C$113,C883)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SUMIFS(RAB!$F$14:$F$113,RAB!$C$14:$C$113,C884)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SUMIFS(RAB!$F$14:$F$113,RAB!$C$14:$C$113,C885)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SUMIFS(RAB!$F$14:$F$113,RAB!$C$14:$C$113,C886)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SUMIFS(RAB!$F$14:$F$113,RAB!$C$14:$C$113,C887)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SUMIFS(RAB!$F$14:$F$113,RAB!$C$14:$C$113,C888)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SUMIFS(RAB!$F$14:$F$113,RAB!$C$14:$C$113,C889)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SUMIFS(RAB!$F$14:$F$113,RAB!$C$14:$C$113,C890)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SUMIFS(RAB!$F$14:$F$113,RAB!$C$14:$C$113,C891)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SUMIFS(RAB!$F$14:$F$113,RAB!$C$14:$C$113,C892)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SUMIFS(RAB!$F$14:$F$113,RAB!$C$14:$C$113,C893)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SUMIFS(RAB!$F$14:$F$113,RAB!$C$14:$C$113,C894)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SUMIFS(RAB!$F$14:$F$113,RAB!$C$14:$C$113,C895)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SUMIFS(RAB!$F$14:$F$113,RAB!$C$14:$C$113,C896)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SUMIFS(RAB!$F$14:$F$113,RAB!$C$14:$C$113,C897)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SUMIFS(RAB!$F$14:$F$113,RAB!$C$14:$C$113,C898)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SUMIFS(RAB!$F$14:$F$113,RAB!$C$14:$C$113,C899)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SUMIFS(RAB!$F$14:$F$113,RAB!$C$14:$C$113,C900)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SUMIFS(RAB!$F$14:$F$113,RAB!$C$14:$C$113,C901)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SUMIFS(RAB!$F$14:$F$113,RAB!$C$14:$C$113,C902)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SUMIFS(RAB!$F$14:$F$113,RAB!$C$14:$C$113,C903)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SUMIFS(RAB!$F$14:$F$113,RAB!$C$14:$C$113,C904)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SUMIFS(RAB!$F$14:$F$113,RAB!$C$14:$C$113,C905)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SUMIFS(RAB!$F$14:$F$113,RAB!$C$14:$C$113,C906)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SUMIFS(RAB!$F$14:$F$113,RAB!$C$14:$C$113,C907)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SUMIFS(RAB!$F$14:$F$113,RAB!$C$14:$C$113,C908)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SUMIFS(RAB!$F$14:$F$113,RAB!$C$14:$C$113,C909)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SUMIFS(RAB!$F$14:$F$113,RAB!$C$14:$C$113,C910)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SUMIFS(RAB!$F$14:$F$113,RAB!$C$14:$C$113,C911)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SUMIFS(RAB!$F$14:$F$113,RAB!$C$14:$C$113,C912)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SUMIFS(RAB!$F$14:$F$113,RAB!$C$14:$C$113,C913)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SUMIFS(RAB!$F$14:$F$113,RAB!$C$14:$C$113,C914)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SUMIFS(RAB!$F$14:$F$113,RAB!$C$14:$C$113,C915)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SUMIFS(RAB!$F$14:$F$113,RAB!$C$14:$C$113,C916)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SUMIFS(RAB!$F$14:$F$113,RAB!$C$14:$C$113,C917)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SUMIFS(RAB!$F$14:$F$113,RAB!$C$14:$C$113,C918)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SUMIFS(RAB!$F$14:$F$113,RAB!$C$14:$C$113,C919)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SUMIFS(RAB!$F$14:$F$113,RAB!$C$14:$C$113,C920)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SUMIFS(RAB!$F$14:$F$113,RAB!$C$14:$C$113,C921)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SUMIFS(RAB!$F$14:$F$113,RAB!$C$14:$C$113,C922)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SUMIFS(RAB!$F$14:$F$113,RAB!$C$14:$C$113,C923)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SUMIFS(RAB!$F$14:$F$113,RAB!$C$14:$C$113,C924)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SUMIFS(RAB!$F$14:$F$113,RAB!$C$14:$C$113,C925)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SUMIFS(RAB!$F$14:$F$113,RAB!$C$14:$C$113,C926)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SUMIFS(RAB!$F$14:$F$113,RAB!$C$14:$C$113,C927)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SUMIFS(RAB!$F$14:$F$113,RAB!$C$14:$C$113,C928)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SUMIFS(RAB!$F$14:$F$113,RAB!$C$14:$C$113,C929)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SUMIFS(RAB!$F$14:$F$113,RAB!$C$14:$C$113,C930)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SUMIFS(RAB!$F$14:$F$113,RAB!$C$14:$C$113,C931)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SUMIFS(RAB!$F$14:$F$113,RAB!$C$14:$C$113,C932)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SUMIFS(RAB!$F$14:$F$113,RAB!$C$14:$C$113,C933)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SUMIFS(RAB!$F$14:$F$113,RAB!$C$14:$C$113,C934)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SUMIFS(RAB!$F$14:$F$113,RAB!$C$14:$C$113,C935)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SUMIFS(RAB!$F$14:$F$113,RAB!$C$14:$C$113,C936)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SUMIFS(RAB!$F$14:$F$113,RAB!$C$14:$C$113,C937)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SUMIFS(RAB!$F$14:$F$113,RAB!$C$14:$C$113,C938)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SUMIFS(RAB!$F$14:$F$113,RAB!$C$14:$C$113,C939)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SUMIFS(RAB!$F$14:$F$113,RAB!$C$14:$C$113,C940)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SUMIFS(RAB!$F$14:$F$113,RAB!$C$14:$C$113,C941)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SUMIFS(RAB!$F$14:$F$113,RAB!$C$14:$C$113,C942)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SUMIFS(RAB!$F$14:$F$113,RAB!$C$14:$C$113,C943)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SUMIFS(RAB!$F$14:$F$113,RAB!$C$14:$C$113,C944)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SUMIFS(RAB!$F$14:$F$113,RAB!$C$14:$C$113,C945)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SUMIFS(RAB!$F$14:$F$113,RAB!$C$14:$C$113,C946)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SUMIFS(RAB!$F$14:$F$113,RAB!$C$14:$C$113,C947)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SUMIFS(RAB!$F$14:$F$113,RAB!$C$14:$C$113,C948)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SUMIFS(RAB!$F$14:$F$113,RAB!$C$14:$C$113,C949)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SUMIFS(RAB!$F$14:$F$113,RAB!$C$14:$C$113,C950)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SUMIFS(RAB!$F$14:$F$113,RAB!$C$14:$C$113,C951)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SUMIFS(RAB!$F$14:$F$113,RAB!$C$14:$C$113,C952)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SUMIFS(RAB!$F$14:$F$113,RAB!$C$14:$C$113,C953)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SUMIFS(RAB!$F$14:$F$113,RAB!$C$14:$C$113,C954)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SUMIFS(RAB!$F$14:$F$113,RAB!$C$14:$C$113,C955)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SUMIFS(RAB!$F$14:$F$113,RAB!$C$14:$C$113,C956)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SUMIFS(RAB!$F$14:$F$113,RAB!$C$14:$C$113,C957)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SUMIFS(RAB!$F$14:$F$113,RAB!$C$14:$C$113,C958)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SUMIFS(RAB!$F$14:$F$113,RAB!$C$14:$C$113,C959)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SUMIFS(RAB!$F$14:$F$113,RAB!$C$14:$C$113,C960)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SUMIFS(RAB!$F$14:$F$113,RAB!$C$14:$C$113,C961)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SUMIFS(RAB!$F$14:$F$113,RAB!$C$14:$C$113,C962)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SUMIFS(RAB!$F$14:$F$113,RAB!$C$14:$C$113,C963)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SUMIFS(RAB!$F$14:$F$113,RAB!$C$14:$C$113,C964)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SUMIFS(RAB!$F$14:$F$113,RAB!$C$14:$C$113,C965)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SUMIFS(RAB!$F$14:$F$113,RAB!$C$14:$C$113,C966)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SUMIFS(RAB!$F$14:$F$113,RAB!$C$14:$C$113,C967)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SUMIFS(RAB!$F$14:$F$113,RAB!$C$14:$C$113,C968)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SUMIFS(RAB!$F$14:$F$113,RAB!$C$14:$C$113,C969)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SUMIFS(RAB!$F$14:$F$113,RAB!$C$14:$C$113,C970)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SUMIFS(RAB!$F$14:$F$113,RAB!$C$14:$C$113,C971)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SUMIFS(RAB!$F$14:$F$113,RAB!$C$14:$C$113,C972)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SUMIFS(RAB!$F$14:$F$113,RAB!$C$14:$C$113,C973)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SUMIFS(RAB!$F$14:$F$113,RAB!$C$14:$C$113,C974)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SUMIFS(RAB!$F$14:$F$113,RAB!$C$14:$C$113,C975)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SUMIFS(RAB!$F$14:$F$113,RAB!$C$14:$C$113,C976)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SUMIFS(RAB!$F$14:$F$113,RAB!$C$14:$C$113,C977)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SUMIFS(RAB!$F$14:$F$113,RAB!$C$14:$C$113,C978)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SUMIFS(RAB!$F$14:$F$113,RAB!$C$14:$C$113,C979)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SUMIFS(RAB!$F$14:$F$113,RAB!$C$14:$C$113,C980)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SUMIFS(RAB!$F$14:$F$113,RAB!$C$14:$C$113,C981)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SUMIFS(RAB!$F$14:$F$113,RAB!$C$14:$C$113,C982)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SUMIFS(RAB!$F$14:$F$113,RAB!$C$14:$C$113,C983)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SUMIFS(RAB!$F$14:$F$113,RAB!$C$14:$C$113,C984)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SUMIFS(RAB!$F$14:$F$113,RAB!$C$14:$C$113,C985)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SUMIFS(RAB!$F$14:$F$113,RAB!$C$14:$C$113,C986)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SUMIFS(RAB!$F$14:$F$113,RAB!$C$14:$C$113,C987)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SUMIFS(RAB!$F$14:$F$113,RAB!$C$14:$C$113,C988)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SUMIFS(RAB!$F$14:$F$113,RAB!$C$14:$C$113,C989)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SUMIFS(RAB!$F$14:$F$113,RAB!$C$14:$C$113,C990)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SUMIFS(RAB!$F$14:$F$113,RAB!$C$14:$C$113,C991)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SUMIFS(RAB!$F$14:$F$113,RAB!$C$14:$C$113,C992)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SUMIFS(RAB!$F$14:$F$113,RAB!$C$14:$C$113,C993)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SUMIFS(RAB!$F$14:$F$113,RAB!$C$14:$C$113,C994)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SUMIFS(RAB!$F$14:$F$113,RAB!$C$14:$C$113,C995)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SUMIFS(RAB!$F$14:$F$113,RAB!$C$14:$C$113,C996)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SUMIFS(RAB!$F$14:$F$113,RAB!$C$14:$C$113,C997)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SUMIFS(RAB!$F$14:$F$113,RAB!$C$14:$C$113,C998)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SUMIFS(RAB!$F$14:$F$113,RAB!$C$14:$C$113,C999)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SUMIFS(RAB!$F$14:$F$113,RAB!$C$14:$C$113,C1000)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SUMIFS(RAB!$F$14:$F$113,RAB!$C$14:$C$113,C1001)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SUMIFS(RAB!$F$14:$F$113,RAB!$C$14:$C$113,C1002)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SUMIFS(RAB!$F$14:$F$113,RAB!$C$14:$C$113,C1003)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SUMIFS(RAB!$F$14:$F$113,RAB!$C$14:$C$113,C1004)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SUMIFS(RAB!$F$14:$F$113,RAB!$C$14:$C$113,C1005)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SUMIFS(RAB!$F$14:$F$113,RAB!$C$14:$C$113,C1006)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SUMIFS(RAB!$F$14:$F$113,RAB!$C$14:$C$113,C1007)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SUMIFS(RAB!$F$14:$F$113,RAB!$C$14:$C$113,C1008)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SUMIFS(RAB!$F$14:$F$113,RAB!$C$14:$C$113,C1009)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SUMIFS(RAB!$F$14:$F$113,RAB!$C$14:$C$113,C1010)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SUMIFS(RAB!$F$14:$F$113,RAB!$C$14:$C$113,C1011)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SUMIFS(RAB!$F$14:$F$113,RAB!$C$14:$C$113,C1012)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SUMIFS(RAB!$F$14:$F$113,RAB!$C$14:$C$113,C1013)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SUMIFS(RAB!$F$14:$F$113,RAB!$C$14:$C$113,C1014)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SUMIFS(RAB!$F$14:$F$113,RAB!$C$14:$C$113,C1015)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SUMIFS(RAB!$F$14:$F$113,RAB!$C$14:$C$113,C1016)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SUMIFS(RAB!$F$14:$F$113,RAB!$C$14:$C$113,C1017)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SUMIFS(RAB!$F$14:$F$113,RAB!$C$14:$C$113,C1018)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SUMIFS(RAB!$F$14:$F$113,RAB!$C$14:$C$113,C1019)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SUMIFS(RAB!$F$14:$F$113,RAB!$C$14:$C$113,C1020)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SUMIFS(RAB!$F$14:$F$113,RAB!$C$14:$C$113,C1021)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SUMIFS(RAB!$F$14:$F$113,RAB!$C$14:$C$113,C1022)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SUMIFS(RAB!$F$14:$F$113,RAB!$C$14:$C$113,C1023)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SUMIFS(RAB!$F$14:$F$113,RAB!$C$14:$C$113,C1024)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SUMIFS(RAB!$F$14:$F$113,RAB!$C$14:$C$113,C1025)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SUMIFS(RAB!$F$14:$F$113,RAB!$C$14:$C$113,C1026)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SUMIFS(RAB!$F$14:$F$113,RAB!$C$14:$C$113,C1027)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SUMIFS(RAB!$F$14:$F$113,RAB!$C$14:$C$113,C1028)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SUMIFS(RAB!$F$14:$F$113,RAB!$C$14:$C$113,C1029)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SUMIFS(RAB!$F$14:$F$113,RAB!$C$14:$C$113,C1030)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SUMIFS(RAB!$F$14:$F$113,RAB!$C$14:$C$113,C1031)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SUMIFS(RAB!$F$14:$F$113,RAB!$C$14:$C$113,C1032)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SUMIFS(RAB!$F$14:$F$113,RAB!$C$14:$C$113,C1033)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SUMIFS(RAB!$F$14:$F$113,RAB!$C$14:$C$113,C1034)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SUMIFS(RAB!$F$14:$F$113,RAB!$C$14:$C$113,C1035)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SUMIFS(RAB!$F$14:$F$113,RAB!$C$14:$C$113,C1036)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SUMIFS(RAB!$F$14:$F$113,RAB!$C$14:$C$113,C1037)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SUMIFS(RAB!$F$14:$F$113,RAB!$C$14:$C$113,C1038)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SUMIFS(RAB!$F$14:$F$113,RAB!$C$14:$C$113,C1039)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SUMIFS(RAB!$F$14:$F$113,RAB!$C$14:$C$113,C1040)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SUMIFS(RAB!$F$14:$F$113,RAB!$C$14:$C$113,C1041)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SUMIFS(RAB!$F$14:$F$113,RAB!$C$14:$C$113,C1042)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SUMIFS(RAB!$F$14:$F$113,RAB!$C$14:$C$113,C1043)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SUMIFS(RAB!$F$14:$F$113,RAB!$C$14:$C$113,C1044)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SUMIFS(RAB!$F$14:$F$113,RAB!$C$14:$C$113,C1045)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SUMIFS(RAB!$F$14:$F$113,RAB!$C$14:$C$113,C1046)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SUMIFS(RAB!$F$14:$F$113,RAB!$C$14:$C$113,C1047)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SUMIFS(RAB!$F$14:$F$113,RAB!$C$14:$C$113,C1048)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SUMIFS(RAB!$F$14:$F$113,RAB!$C$14:$C$113,C1049)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SUMIFS(RAB!$F$14:$F$113,RAB!$C$14:$C$113,C1050)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SUMIFS(RAB!$F$14:$F$113,RAB!$C$14:$C$113,C1051)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SUMIFS(RAB!$F$14:$F$113,RAB!$C$14:$C$113,C1052)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SUMIFS(RAB!$F$14:$F$113,RAB!$C$14:$C$113,C1053)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SUMIFS(RAB!$F$14:$F$113,RAB!$C$14:$C$113,C1054)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SUMIFS(RAB!$F$14:$F$113,RAB!$C$14:$C$113,C1055)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SUMIFS(RAB!$F$14:$F$113,RAB!$C$14:$C$113,C1056)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SUMIFS(RAB!$F$14:$F$113,RAB!$C$14:$C$113,C1057)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SUMIFS(RAB!$F$14:$F$113,RAB!$C$14:$C$113,C1058)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SUMIFS(RAB!$F$14:$F$113,RAB!$C$14:$C$113,C1059)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SUMIFS(RAB!$F$14:$F$113,RAB!$C$14:$C$113,C1060)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SUMIFS(RAB!$F$14:$F$113,RAB!$C$14:$C$113,C1061)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SUMIFS(RAB!$F$14:$F$113,RAB!$C$14:$C$113,C1062)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SUMIFS(RAB!$F$14:$F$113,RAB!$C$14:$C$113,C1063)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SUMIFS(RAB!$F$14:$F$113,RAB!$C$14:$C$113,C1064)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SUMIFS(RAB!$F$14:$F$113,RAB!$C$14:$C$113,C1065)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SUMIFS(RAB!$F$14:$F$113,RAB!$C$14:$C$113,C1066)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SUMIFS(RAB!$F$14:$F$113,RAB!$C$14:$C$113,C1067)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SUMIFS(RAB!$F$14:$F$113,RAB!$C$14:$C$113,C1068)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SUMIFS(RAB!$F$14:$F$113,RAB!$C$14:$C$113,C1069)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SUMIFS(RAB!$F$14:$F$113,RAB!$C$14:$C$113,C1070)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SUMIFS(RAB!$F$14:$F$113,RAB!$C$14:$C$113,C1071)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SUMIFS(RAB!$F$14:$F$113,RAB!$C$14:$C$113,C1072)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SUMIFS(RAB!$F$14:$F$113,RAB!$C$14:$C$113,C1073)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SUMIFS(RAB!$F$14:$F$113,RAB!$C$14:$C$113,C1074)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SUMIFS(RAB!$F$14:$F$113,RAB!$C$14:$C$113,C1075)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SUMIFS(RAB!$F$14:$F$113,RAB!$C$14:$C$113,C1076)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SUMIFS(RAB!$F$14:$F$113,RAB!$C$14:$C$113,C1077)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SUMIFS(RAB!$F$14:$F$113,RAB!$C$14:$C$113,C1078)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SUMIFS(RAB!$F$14:$F$113,RAB!$C$14:$C$113,C1079)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SUMIFS(RAB!$F$14:$F$113,RAB!$C$14:$C$113,C1080)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SUMIFS(RAB!$F$14:$F$113,RAB!$C$14:$C$113,C1081)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SUMIFS(RAB!$F$14:$F$113,RAB!$C$14:$C$113,C1082)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SUMIFS(RAB!$F$14:$F$113,RAB!$C$14:$C$113,C1083)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SUMIFS(RAB!$F$14:$F$113,RAB!$C$14:$C$113,C1084)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SUMIFS(RAB!$F$14:$F$113,RAB!$C$14:$C$113,C1085)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SUMIFS(RAB!$F$14:$F$113,RAB!$C$14:$C$113,C1086)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SUMIFS(RAB!$F$14:$F$113,RAB!$C$14:$C$113,C1087)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SUMIFS(RAB!$F$14:$F$113,RAB!$C$14:$C$113,C1088)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SUMIFS(RAB!$F$14:$F$113,RAB!$C$14:$C$113,C1089)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SUMIFS(RAB!$F$14:$F$113,RAB!$C$14:$C$113,C1090)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SUMIFS(RAB!$F$14:$F$113,RAB!$C$14:$C$113,C1091)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SUMIFS(RAB!$F$14:$F$113,RAB!$C$14:$C$113,C1092)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SUMIFS(RAB!$F$14:$F$113,RAB!$C$14:$C$113,C1093)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SUMIFS(RAB!$F$14:$F$113,RAB!$C$14:$C$113,C1094)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SUMIFS(RAB!$F$14:$F$113,RAB!$C$14:$C$113,C1095)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SUMIFS(RAB!$F$14:$F$113,RAB!$C$14:$C$113,C1096)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SUMIFS(RAB!$F$14:$F$113,RAB!$C$14:$C$113,C1097)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SUMIFS(RAB!$F$14:$F$113,RAB!$C$14:$C$113,C1098)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SUMIFS(RAB!$F$14:$F$113,RAB!$C$14:$C$113,C1099)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SUMIFS(RAB!$F$14:$F$113,RAB!$C$14:$C$113,C1100)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SUMIFS(RAB!$F$14:$F$113,RAB!$C$14:$C$113,C1101)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SUMIFS(RAB!$F$14:$F$113,RAB!$C$14:$C$113,C1102)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SUMIFS(RAB!$F$14:$F$113,RAB!$C$14:$C$113,C1103)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SUMIFS(RAB!$F$14:$F$113,RAB!$C$14:$C$113,C1104)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SUMIFS(RAB!$F$14:$F$113,RAB!$C$14:$C$113,C1105)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SUMIFS(RAB!$F$14:$F$113,RAB!$C$14:$C$113,C1106)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SUMIFS(RAB!$F$14:$F$113,RAB!$C$14:$C$113,C1107)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SUMIFS(RAB!$F$14:$F$113,RAB!$C$14:$C$113,C1108)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SUMIFS(RAB!$F$14:$F$113,RAB!$C$14:$C$113,C1109)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SUMIFS(RAB!$F$14:$F$113,RAB!$C$14:$C$113,C1110)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SUMIFS(RAB!$F$14:$F$113,RAB!$C$14:$C$113,C1111)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SUMIFS(RAB!$F$14:$F$113,RAB!$C$14:$C$113,C1112)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SUMIFS(RAB!$F$14:$F$113,RAB!$C$14:$C$113,C1113)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SUMIFS(RAB!$F$14:$F$113,RAB!$C$14:$C$113,C1114)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SUMIFS(RAB!$F$14:$F$113,RAB!$C$14:$C$113,C1115)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SUMIFS(RAB!$F$14:$F$113,RAB!$C$14:$C$113,C1116)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SUMIFS(RAB!$F$14:$F$113,RAB!$C$14:$C$113,C1117)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SUMIFS(RAB!$F$14:$F$113,RAB!$C$14:$C$113,C1118)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SUMIFS(RAB!$F$14:$F$113,RAB!$C$14:$C$113,C1119)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SUMIFS(RAB!$F$14:$F$113,RAB!$C$14:$C$113,C1120)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SUMIFS(RAB!$F$14:$F$113,RAB!$C$14:$C$113,C1121)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SUMIFS(RAB!$F$14:$F$113,RAB!$C$14:$C$113,C1122)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SUMIFS(RAB!$F$14:$F$113,RAB!$C$14:$C$113,C1123)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SUMIFS(RAB!$F$14:$F$113,RAB!$C$14:$C$113,C1124)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SUMIFS(RAB!$F$14:$F$113,RAB!$C$14:$C$113,C1125)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SUMIFS(RAB!$F$14:$F$113,RAB!$C$14:$C$113,C1126)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SUMIFS(RAB!$F$14:$F$113,RAB!$C$14:$C$113,C1127)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SUMIFS(RAB!$F$14:$F$113,RAB!$C$14:$C$113,C1128)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SUMIFS(RAB!$F$14:$F$113,RAB!$C$14:$C$113,C1129)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SUMIFS(RAB!$F$14:$F$113,RAB!$C$14:$C$113,C1130)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SUMIFS(RAB!$F$14:$F$113,RAB!$C$14:$C$113,C1131)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SUMIFS(RAB!$F$14:$F$113,RAB!$C$14:$C$113,C1132)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SUMIFS(RAB!$F$14:$F$113,RAB!$C$14:$C$113,C1133)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SUMIFS(RAB!$F$14:$F$113,RAB!$C$14:$C$113,C1134)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SUMIFS(RAB!$F$14:$F$113,RAB!$C$14:$C$113,C1135)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SUMIFS(RAB!$F$14:$F$113,RAB!$C$14:$C$113,C1136)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SUMIFS(RAB!$F$14:$F$113,RAB!$C$14:$C$113,C1137)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SUMIFS(RAB!$F$14:$F$113,RAB!$C$14:$C$113,C1138)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SUMIFS(RAB!$F$14:$F$113,RAB!$C$14:$C$113,C1139)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SUMIFS(RAB!$F$14:$F$113,RAB!$C$14:$C$113,C1140)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SUMIFS(RAB!$F$14:$F$113,RAB!$C$14:$C$113,C1141)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SUMIFS(RAB!$F$14:$F$113,RAB!$C$14:$C$113,C1142)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SUMIFS(RAB!$F$14:$F$113,RAB!$C$14:$C$113,C1143)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SUMIFS(RAB!$F$14:$F$113,RAB!$C$14:$C$113,C1144)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SUMIFS(RAB!$F$14:$F$113,RAB!$C$14:$C$113,C1145)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SUMIFS(RAB!$F$14:$F$113,RAB!$C$14:$C$113,C1146)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SUMIFS(RAB!$F$14:$F$113,RAB!$C$14:$C$113,C1147)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SUMIFS(RAB!$F$14:$F$113,RAB!$C$14:$C$113,C1148)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SUMIFS(RAB!$F$14:$F$113,RAB!$C$14:$C$113,C1149)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SUMIFS(RAB!$F$14:$F$113,RAB!$C$14:$C$113,C1150)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SUMIFS(RAB!$F$14:$F$113,RAB!$C$14:$C$113,C1151)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SUMIFS(RAB!$F$14:$F$113,RAB!$C$14:$C$113,C1152)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SUMIFS(RAB!$F$14:$F$113,RAB!$C$14:$C$113,C1153)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SUMIFS(RAB!$F$14:$F$113,RAB!$C$14:$C$113,C1154)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SUMIFS(RAB!$F$14:$F$113,RAB!$C$14:$C$113,C1155)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SUMIFS(RAB!$F$14:$F$113,RAB!$C$14:$C$113,C1156)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SUMIFS(RAB!$F$14:$F$113,RAB!$C$14:$C$113,C1157)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SUMIFS(RAB!$F$14:$F$113,RAB!$C$14:$C$113,C1158)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SUMIFS(RAB!$F$14:$F$113,RAB!$C$14:$C$113,C1159)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SUMIFS(RAB!$F$14:$F$113,RAB!$C$14:$C$113,C1160)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SUMIFS(RAB!$F$14:$F$113,RAB!$C$14:$C$113,C1161)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SUMIFS(RAB!$F$14:$F$113,RAB!$C$14:$C$113,C1162)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SUMIFS(RAB!$F$14:$F$113,RAB!$C$14:$C$113,C1163)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SUMIFS(RAB!$F$14:$F$113,RAB!$C$14:$C$113,C1164)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SUMIFS(RAB!$F$14:$F$113,RAB!$C$14:$C$113,C1165)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SUMIFS(RAB!$F$14:$F$113,RAB!$C$14:$C$113,C1166)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SUMIFS(RAB!$F$14:$F$113,RAB!$C$14:$C$113,C1167)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SUMIFS(RAB!$F$14:$F$113,RAB!$C$14:$C$113,C1168)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SUMIFS(RAB!$F$14:$F$113,RAB!$C$14:$C$113,C1169)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SUMIFS(RAB!$F$14:$F$113,RAB!$C$14:$C$113,C1170)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SUMIFS(RAB!$F$14:$F$113,RAB!$C$14:$C$113,C1171)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SUMIFS(RAB!$F$14:$F$113,RAB!$C$14:$C$113,C1172)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SUMIFS(RAB!$F$14:$F$113,RAB!$C$14:$C$113,C1173)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SUMIFS(RAB!$F$14:$F$113,RAB!$C$14:$C$113,C1174)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SUMIFS(RAB!$F$14:$F$113,RAB!$C$14:$C$113,C1175)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SUMIFS(RAB!$F$14:$F$113,RAB!$C$14:$C$113,C1176)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SUMIFS(RAB!$F$14:$F$113,RAB!$C$14:$C$113,C1177)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SUMIFS(RAB!$F$14:$F$113,RAB!$C$14:$C$113,C1178)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SUMIFS(RAB!$F$14:$F$113,RAB!$C$14:$C$113,C1179)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SUMIFS(RAB!$F$14:$F$113,RAB!$C$14:$C$113,C1180)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SUMIFS(RAB!$F$14:$F$113,RAB!$C$14:$C$113,C1181)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SUMIFS(RAB!$F$14:$F$113,RAB!$C$14:$C$113,C1182)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SUMIFS(RAB!$F$14:$F$113,RAB!$C$14:$C$113,C1183)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SUMIFS(RAB!$F$14:$F$113,RAB!$C$14:$C$113,C1184)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SUMIFS(RAB!$F$14:$F$113,RAB!$C$14:$C$113,C1185)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SUMIFS(RAB!$F$14:$F$113,RAB!$C$14:$C$113,C1186)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SUMIFS(RAB!$F$14:$F$113,RAB!$C$14:$C$113,C1187)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SUMIFS(RAB!$F$14:$F$113,RAB!$C$14:$C$113,C1188)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SUMIFS(RAB!$F$14:$F$113,RAB!$C$14:$C$113,C1189)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SUMIFS(RAB!$F$14:$F$113,RAB!$C$14:$C$113,C1190)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SUMIFS(RAB!$F$14:$F$113,RAB!$C$14:$C$113,C1191)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SUMIFS(RAB!$F$14:$F$113,RAB!$C$14:$C$113,C1192)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SUMIFS(RAB!$F$14:$F$113,RAB!$C$14:$C$113,C1193)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SUMIFS(RAB!$F$14:$F$113,RAB!$C$14:$C$113,C1194)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SUMIFS(RAB!$F$14:$F$113,RAB!$C$14:$C$113,C1195)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SUMIFS(RAB!$F$14:$F$113,RAB!$C$14:$C$113,C1196)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SUMIFS(RAB!$F$14:$F$113,RAB!$C$14:$C$113,C1197)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SUMIFS(RAB!$F$14:$F$113,RAB!$C$14:$C$113,C1198)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SUMIFS(RAB!$F$14:$F$113,RAB!$C$14:$C$113,C1199)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SUMIFS(RAB!$F$14:$F$113,RAB!$C$14:$C$113,C1200)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SUMIFS(RAB!$F$14:$F$113,RAB!$C$14:$C$113,C1201)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SUMIFS(RAB!$F$14:$F$113,RAB!$C$14:$C$113,C1202)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SUMIFS(RAB!$F$14:$F$113,RAB!$C$14:$C$113,C1203)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SUMIFS(RAB!$F$14:$F$113,RAB!$C$14:$C$113,C1204)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SUMIFS(RAB!$F$14:$F$113,RAB!$C$14:$C$113,C1205)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SUMIFS(RAB!$F$14:$F$113,RAB!$C$14:$C$113,C1206)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SUMIFS(RAB!$F$14:$F$113,RAB!$C$14:$C$113,C1207)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SUMIFS(RAB!$F$14:$F$113,RAB!$C$14:$C$113,C1208)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SUMIFS(RAB!$F$14:$F$113,RAB!$C$14:$C$113,C1209)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SUMIFS(RAB!$F$14:$F$113,RAB!$C$14:$C$113,C1210)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SUMIFS(RAB!$F$14:$F$113,RAB!$C$14:$C$113,C1211)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SUMIFS(RAB!$F$14:$F$113,RAB!$C$14:$C$113,C1212)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SUMIFS(RAB!$F$14:$F$113,RAB!$C$14:$C$113,C1213)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SUMIFS(RAB!$F$14:$F$113,RAB!$C$14:$C$113,C1214)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SUMIFS(RAB!$F$14:$F$113,RAB!$C$14:$C$113,C1215)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SUMIFS(RAB!$F$14:$F$113,RAB!$C$14:$C$113,C1216)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SUMIFS(RAB!$F$14:$F$113,RAB!$C$14:$C$113,C1217)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SUMIFS(RAB!$F$14:$F$113,RAB!$C$14:$C$113,C1218)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SUMIFS(RAB!$F$14:$F$113,RAB!$C$14:$C$113,C1219)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SUMIFS(RAB!$F$14:$F$113,RAB!$C$14:$C$113,C1220)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SUMIFS(RAB!$F$14:$F$113,RAB!$C$14:$C$113,C1221)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SUMIFS(RAB!$F$14:$F$113,RAB!$C$14:$C$113,C1222)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SUMIFS(RAB!$F$14:$F$113,RAB!$C$14:$C$113,C1223)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SUMIFS(RAB!$F$14:$F$113,RAB!$C$14:$C$113,C1224)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SUMIFS(RAB!$F$14:$F$113,RAB!$C$14:$C$113,C1225)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SUMIFS(RAB!$F$14:$F$113,RAB!$C$14:$C$113,C1226)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SUMIFS(RAB!$F$14:$F$113,RAB!$C$14:$C$113,C1227)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SUMIFS(RAB!$F$14:$F$113,RAB!$C$14:$C$113,C1228)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SUMIFS(RAB!$F$14:$F$113,RAB!$C$14:$C$113,C1229)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SUMIFS(RAB!$F$14:$F$113,RAB!$C$14:$C$113,C1230)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SUMIFS(RAB!$F$14:$F$113,RAB!$C$14:$C$113,C1231)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SUMIFS(RAB!$F$14:$F$113,RAB!$C$14:$C$113,C1232)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SUMIFS(RAB!$F$14:$F$113,RAB!$C$14:$C$113,C1233)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SUMIFS(RAB!$F$14:$F$113,RAB!$C$14:$C$113,C1234)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SUMIFS(RAB!$F$14:$F$113,RAB!$C$14:$C$113,C1235)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SUMIFS(RAB!$F$14:$F$113,RAB!$C$14:$C$113,C1236)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SUMIFS(RAB!$F$14:$F$113,RAB!$C$14:$C$113,C1237)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SUMIFS(RAB!$F$14:$F$113,RAB!$C$14:$C$113,C1238)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SUMIFS(RAB!$F$14:$F$113,RAB!$C$14:$C$113,C1239)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SUMIFS(RAB!$F$14:$F$113,RAB!$C$14:$C$113,C1240)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SUMIFS(RAB!$F$14:$F$113,RAB!$C$14:$C$113,C1241)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SUMIFS(RAB!$F$14:$F$113,RAB!$C$14:$C$113,C1242)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SUMIFS(RAB!$F$14:$F$113,RAB!$C$14:$C$113,C1243)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SUMIFS(RAB!$F$14:$F$113,RAB!$C$14:$C$113,C1244)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SUMIFS(RAB!$F$14:$F$113,RAB!$C$14:$C$113,C1245)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SUMIFS(RAB!$F$14:$F$113,RAB!$C$14:$C$113,C1246)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SUMIFS(RAB!$F$14:$F$113,RAB!$C$14:$C$113,C1247)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SUMIFS(RAB!$F$14:$F$113,RAB!$C$14:$C$113,C1248)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SUMIFS(RAB!$F$14:$F$113,RAB!$C$14:$C$113,C1249)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SUMIFS(RAB!$F$14:$F$113,RAB!$C$14:$C$113,C1250)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SUMIFS(RAB!$F$14:$F$113,RAB!$C$14:$C$113,C1251)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SUMIFS(RAB!$F$14:$F$113,RAB!$C$14:$C$113,C1252)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SUMIFS(RAB!$F$14:$F$113,RAB!$C$14:$C$113,C1253)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SUMIFS(RAB!$F$14:$F$113,RAB!$C$14:$C$113,C1254)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SUMIFS(RAB!$F$14:$F$113,RAB!$C$14:$C$113,C1255)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SUMIFS(RAB!$F$14:$F$113,RAB!$C$14:$C$113,C1256)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SUMIFS(RAB!$F$14:$F$113,RAB!$C$14:$C$113,C1257)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SUMIFS(RAB!$F$14:$F$113,RAB!$C$14:$C$113,C1258)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SUMIFS(RAB!$F$14:$F$113,RAB!$C$14:$C$113,C1259)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SUMIFS(RAB!$F$14:$F$113,RAB!$C$14:$C$113,C1260)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SUMIFS(RAB!$F$14:$F$113,RAB!$C$14:$C$113,C1261)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SUMIFS(RAB!$F$14:$F$113,RAB!$C$14:$C$113,C1262)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SUMIFS(RAB!$F$14:$F$113,RAB!$C$14:$C$113,C1263)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SUMIFS(RAB!$F$14:$F$113,RAB!$C$14:$C$113,C1264)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SUMIFS(RAB!$F$14:$F$113,RAB!$C$14:$C$113,C1265)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SUMIFS(RAB!$F$14:$F$113,RAB!$C$14:$C$113,C1266)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SUMIFS(RAB!$F$14:$F$113,RAB!$C$14:$C$113,C1267)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SUMIFS(RAB!$F$14:$F$113,RAB!$C$14:$C$113,C1268)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SUMIFS(RAB!$F$14:$F$113,RAB!$C$14:$C$113,C1269)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SUMIFS(RAB!$F$14:$F$113,RAB!$C$14:$C$113,C1270)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SUMIFS(RAB!$F$14:$F$113,RAB!$C$14:$C$113,C1271)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SUMIFS(RAB!$F$14:$F$113,RAB!$C$14:$C$113,C1272)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SUMIFS(RAB!$F$14:$F$113,RAB!$C$14:$C$113,C1273)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SUMIFS(RAB!$F$14:$F$113,RAB!$C$14:$C$113,C1274)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SUMIFS(RAB!$F$14:$F$113,RAB!$C$14:$C$113,C1275)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SUMIFS(RAB!$F$14:$F$113,RAB!$C$14:$C$113,C1276)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SUMIFS(RAB!$F$14:$F$113,RAB!$C$14:$C$113,C1277)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SUMIFS(RAB!$F$14:$F$113,RAB!$C$14:$C$113,C1278)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SUMIFS(RAB!$F$14:$F$113,RAB!$C$14:$C$113,C1279)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SUMIFS(RAB!$F$14:$F$113,RAB!$C$14:$C$113,C1280)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SUMIFS(RAB!$F$14:$F$113,RAB!$C$14:$C$113,C1281)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SUMIFS(RAB!$F$14:$F$113,RAB!$C$14:$C$113,C1282)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SUMIFS(RAB!$F$14:$F$113,RAB!$C$14:$C$113,C1283)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SUMIFS(RAB!$F$14:$F$113,RAB!$C$14:$C$113,C1284)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SUMIFS(RAB!$F$14:$F$113,RAB!$C$14:$C$113,C1285)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SUMIFS(RAB!$F$14:$F$113,RAB!$C$14:$C$113,C1286)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SUMIFS(RAB!$F$14:$F$113,RAB!$C$14:$C$113,C1287)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SUMIFS(RAB!$F$14:$F$113,RAB!$C$14:$C$113,C1288)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SUMIFS(RAB!$F$14:$F$113,RAB!$C$14:$C$113,C1289)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SUMIFS(RAB!$F$14:$F$113,RAB!$C$14:$C$113,C1290)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SUMIFS(RAB!$F$14:$F$113,RAB!$C$14:$C$113,C1291)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SUMIFS(RAB!$F$14:$F$113,RAB!$C$14:$C$113,C1292)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SUMIFS(RAB!$F$14:$F$113,RAB!$C$14:$C$113,C1293)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SUMIFS(RAB!$F$14:$F$113,RAB!$C$14:$C$113,C1294)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SUMIFS(RAB!$F$14:$F$113,RAB!$C$14:$C$113,C1295)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SUMIFS(RAB!$F$14:$F$113,RAB!$C$14:$C$113,C1296)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SUMIFS(RAB!$F$14:$F$113,RAB!$C$14:$C$113,C1297)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SUMIFS(RAB!$F$14:$F$113,RAB!$C$14:$C$113,C1298)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SUMIFS(RAB!$F$14:$F$113,RAB!$C$14:$C$113,C1299)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SUMIFS(RAB!$F$14:$F$113,RAB!$C$14:$C$113,C1300)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SUMIFS(RAB!$F$14:$F$113,RAB!$C$14:$C$113,C1301)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SUMIFS(RAB!$F$14:$F$113,RAB!$C$14:$C$113,C1302)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SUMIFS(RAB!$F$14:$F$113,RAB!$C$14:$C$113,C1303)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SUMIFS(RAB!$F$14:$F$113,RAB!$C$14:$C$113,C1304)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SUMIFS(RAB!$F$14:$F$113,RAB!$C$14:$C$113,C1305)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SUMIFS(RAB!$F$14:$F$113,RAB!$C$14:$C$113,C1306)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SUMIFS(RAB!$F$14:$F$113,RAB!$C$14:$C$113,C1307)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SUMIFS(RAB!$F$14:$F$113,RAB!$C$14:$C$113,C1308)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SUMIFS(RAB!$F$14:$F$113,RAB!$C$14:$C$113,C1309)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SUMIFS(RAB!$F$14:$F$113,RAB!$C$14:$C$113,C1310)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SUMIFS(RAB!$F$14:$F$113,RAB!$C$14:$C$113,C1311)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SUMIFS(RAB!$F$14:$F$113,RAB!$C$14:$C$113,C1312)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SUMIFS(RAB!$F$14:$F$113,RAB!$C$14:$C$113,C1313)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SUMIFS(RAB!$F$14:$F$113,RAB!$C$14:$C$113,C1314)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SUMIFS(RAB!$F$14:$F$113,RAB!$C$14:$C$113,C1315)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SUMIFS(RAB!$F$14:$F$113,RAB!$C$14:$C$113,C1316)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SUMIFS(RAB!$F$14:$F$113,RAB!$C$14:$C$113,C1317)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SUMIFS(RAB!$F$14:$F$113,RAB!$C$14:$C$113,C1318)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SUMIFS(RAB!$F$14:$F$113,RAB!$C$14:$C$113,C1319)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SUMIFS(RAB!$F$14:$F$113,RAB!$C$14:$C$113,C1320)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150" priority="5" operator="equal">
      <formula>0</formula>
    </cfRule>
  </conditionalFormatting>
  <conditionalFormatting sqref="A10:L65536">
    <cfRule type="cellIs" dxfId="149" priority="1" operator="equal">
      <formula>0</formula>
    </cfRule>
  </conditionalFormatting>
  <conditionalFormatting sqref="C12:C711">
    <cfRule type="cellIs" dxfId="148" priority="66" stopIfTrue="1" operator="equal">
      <formula>0</formula>
    </cfRule>
  </conditionalFormatting>
  <conditionalFormatting sqref="E712:E65536">
    <cfRule type="cellIs" dxfId="147" priority="16" stopIfTrue="1" operator="equal">
      <formula>0</formula>
    </cfRule>
  </conditionalFormatting>
  <conditionalFormatting sqref="G1:G11 E6:E11 E1:E3 H7 H10:H11 F10:F711 G712:G65536">
    <cfRule type="cellIs" dxfId="146" priority="69" stopIfTrue="1" operator="equal">
      <formula>0</formula>
    </cfRule>
  </conditionalFormatting>
  <conditionalFormatting sqref="G12:H711">
    <cfRule type="cellIs" dxfId="145" priority="12" stopIfTrue="1" operator="equal">
      <formula>0</formula>
    </cfRule>
  </conditionalFormatting>
  <conditionalFormatting sqref="I7:K7">
    <cfRule type="cellIs" dxfId="144" priority="4" stopIfTrue="1" operator="equal">
      <formula>0</formula>
    </cfRule>
  </conditionalFormatting>
  <conditionalFormatting sqref="I10:L711">
    <cfRule type="cellIs" dxfId="143" priority="2" stopIfTrue="1" operator="equal">
      <formula>0</formula>
    </cfRule>
  </conditionalFormatting>
  <conditionalFormatting sqref="L1:L6">
    <cfRule type="cellIs" dxfId="142" priority="10" operator="equal">
      <formula>0</formula>
    </cfRule>
  </conditionalFormatting>
  <conditionalFormatting sqref="M1:IV1048576 A8:G9">
    <cfRule type="cellIs" dxfId="1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1097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42" t="str">
        <f>RAB!G6</f>
        <v>ZAENAL ARIFIN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DS.CANDISARI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32</v>
      </c>
      <c r="E11" s="555" t="s">
        <v>33</v>
      </c>
      <c r="F11" s="555" t="s">
        <v>2</v>
      </c>
      <c r="G11" s="556" t="s">
        <v>31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36</v>
      </c>
      <c r="I12" s="547" t="s">
        <v>5</v>
      </c>
      <c r="J12" s="545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3" t="s">
        <v>980</v>
      </c>
      <c r="D38" s="543"/>
      <c r="E38" s="543"/>
      <c r="F38" s="543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44" t="s">
        <v>452</v>
      </c>
      <c r="D39" s="544"/>
      <c r="E39" s="544"/>
      <c r="F39" s="544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3" t="s">
        <v>453</v>
      </c>
      <c r="D40" s="533"/>
      <c r="E40" s="533"/>
      <c r="F40" s="533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6" t="e">
        <f ca="1">"Terbilang : ( "&amp;L42&amp;" Rupiah )"</f>
        <v>#NAME?</v>
      </c>
      <c r="C41" s="537"/>
      <c r="D41" s="537"/>
      <c r="E41" s="537"/>
      <c r="F41" s="537"/>
      <c r="G41" s="537"/>
      <c r="H41" s="537"/>
      <c r="I41" s="537"/>
      <c r="J41" s="537"/>
      <c r="K41" s="538"/>
      <c r="L41" s="44"/>
      <c r="R41" s="58"/>
      <c r="S41" s="58"/>
      <c r="T41" s="58"/>
    </row>
    <row r="42" spans="1:20" s="36" customFormat="1">
      <c r="A42" s="30"/>
      <c r="B42" s="539"/>
      <c r="C42" s="540"/>
      <c r="D42" s="540"/>
      <c r="E42" s="540"/>
      <c r="F42" s="540"/>
      <c r="G42" s="540"/>
      <c r="H42" s="540"/>
      <c r="I42" s="540"/>
      <c r="J42" s="540"/>
      <c r="K42" s="541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SUMIFS(RAB!$F$14:$F$113,RAB!$C$14:$C$113,'REKAP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SUMIFS(RAB!$F$14:$F$113,RAB!$C$14:$C$113,'REKAP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SUMIFS(RAB!$F$14:$F$113,RAB!$C$14:$C$113,'REKAP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SUMIFS(RAB!$F$14:$F$113,RAB!$C$14:$C$113,'REKAP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SUMIFS(RAB!$F$14:$F$113,RAB!$C$14:$C$113,'REKAP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SUMIFS(RAB!$F$14:$F$113,RAB!$C$14:$C$113,'REKAP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SUMIFS(RAB!$F$14:$F$113,RAB!$C$14:$C$113,'REKAP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SUMIFS(RAB!$F$14:$F$113,RAB!$C$14:$C$113,'REKAP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SUMIFS(RAB!$F$14:$F$113,RAB!$C$14:$C$113,'REKAP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SUMIFS(RAB!$F$14:$F$113,RAB!$C$14:$C$113,'REKAP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SUMIFS(RAB!$F$14:$F$113,RAB!$C$14:$C$113,'REKAP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SUMIFS(RAB!$F$14:$F$113,RAB!$C$14:$C$113,'REKAP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SUMIFS(RAB!$F$14:$F$113,RAB!$C$14:$C$113,'REKAP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SUMIFS(RAB!$F$14:$F$113,RAB!$C$14:$C$113,'REKAP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SUMIFS(RAB!$F$14:$F$113,RAB!$C$14:$C$113,'REKAP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SUMIFS(RAB!$F$14:$F$113,RAB!$C$14:$C$113,'REKAP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SUMIFS(RAB!$F$14:$F$113,RAB!$C$14:$C$113,'REKAP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SUMIFS(RAB!$F$14:$F$113,RAB!$C$14:$C$113,'REKAP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SUMIFS(RAB!$F$14:$F$113,RAB!$C$14:$C$113,'REKAP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SUMIFS(RAB!$F$14:$F$113,RAB!$C$14:$C$113,'REKAP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1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1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56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9" t="s">
        <v>1004</v>
      </c>
      <c r="C4" s="549"/>
      <c r="D4" s="549"/>
      <c r="E4" s="549"/>
      <c r="F4" s="549"/>
      <c r="G4" s="549"/>
      <c r="H4" s="549"/>
      <c r="I4" s="549"/>
      <c r="J4" s="549"/>
      <c r="K4" s="54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42" t="str">
        <f>RAB!G6</f>
        <v>ZAENAL ARIFIN</v>
      </c>
      <c r="H6" s="542"/>
      <c r="I6" s="542"/>
      <c r="J6" s="542"/>
      <c r="K6" s="54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DS.CANDISARI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0" t="s">
        <v>0</v>
      </c>
      <c r="C11" s="552" t="s">
        <v>1</v>
      </c>
      <c r="D11" s="555" t="s">
        <v>32</v>
      </c>
      <c r="E11" s="555" t="s">
        <v>33</v>
      </c>
      <c r="F11" s="555" t="s">
        <v>2</v>
      </c>
      <c r="G11" s="556" t="s">
        <v>31</v>
      </c>
      <c r="H11" s="555" t="s">
        <v>3</v>
      </c>
      <c r="I11" s="555"/>
      <c r="J11" s="555"/>
      <c r="K11" s="559"/>
      <c r="M11" s="33"/>
      <c r="N11" s="33"/>
      <c r="O11" s="33"/>
      <c r="P11" s="33"/>
      <c r="R11" s="34"/>
      <c r="S11" s="74"/>
      <c r="T11" s="74"/>
    </row>
    <row r="12" spans="1:21" ht="15" customHeight="1">
      <c r="B12" s="551"/>
      <c r="C12" s="553"/>
      <c r="D12" s="545"/>
      <c r="E12" s="545"/>
      <c r="F12" s="545"/>
      <c r="G12" s="557"/>
      <c r="H12" s="547" t="s">
        <v>36</v>
      </c>
      <c r="I12" s="547" t="s">
        <v>5</v>
      </c>
      <c r="J12" s="545" t="s">
        <v>37</v>
      </c>
      <c r="K12" s="54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1"/>
      <c r="C13" s="554"/>
      <c r="D13" s="545"/>
      <c r="E13" s="545"/>
      <c r="F13" s="545"/>
      <c r="G13" s="558"/>
      <c r="H13" s="548"/>
      <c r="I13" s="548"/>
      <c r="J13" s="545"/>
      <c r="K13" s="54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707700</v>
      </c>
      <c r="I21" s="42">
        <f t="shared" ca="1" si="2"/>
        <v>0</v>
      </c>
      <c r="J21" s="42">
        <f t="shared" ca="1" si="3"/>
        <v>0</v>
      </c>
      <c r="K21" s="43">
        <f t="shared" ca="1" si="0"/>
        <v>707700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53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2888500</v>
      </c>
      <c r="I23" s="42">
        <f t="shared" ca="1" si="2"/>
        <v>0</v>
      </c>
      <c r="J23" s="42">
        <f t="shared" ca="1" si="3"/>
        <v>0</v>
      </c>
      <c r="K23" s="43">
        <f t="shared" ca="1" si="0"/>
        <v>2888500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3" t="s">
        <v>980</v>
      </c>
      <c r="D168" s="543"/>
      <c r="E168" s="543"/>
      <c r="F168" s="543"/>
      <c r="G168" s="77" t="s">
        <v>9</v>
      </c>
      <c r="H168" s="55">
        <f ca="1">SUM(H14:H167)</f>
        <v>66352150</v>
      </c>
      <c r="I168" s="55">
        <f ca="1">SUM(I14:I167)</f>
        <v>0</v>
      </c>
      <c r="J168" s="55">
        <f ca="1">SUM(J14:J167)</f>
        <v>0</v>
      </c>
      <c r="K168" s="55">
        <f ca="1">SUM(K14:K167)</f>
        <v>66352150</v>
      </c>
      <c r="L168" s="44"/>
      <c r="R168" s="99"/>
      <c r="S168" s="99"/>
      <c r="T168" s="99"/>
    </row>
    <row r="169" spans="1:20" s="36" customFormat="1">
      <c r="A169" s="30"/>
      <c r="B169" s="56"/>
      <c r="C169" s="544" t="s">
        <v>452</v>
      </c>
      <c r="D169" s="544"/>
      <c r="E169" s="544"/>
      <c r="F169" s="544"/>
      <c r="G169" s="59" t="s">
        <v>9</v>
      </c>
      <c r="H169" s="60">
        <f ca="1">H168*0.1</f>
        <v>6635215</v>
      </c>
      <c r="I169" s="60">
        <f ca="1">I168*0.1</f>
        <v>0</v>
      </c>
      <c r="J169" s="60">
        <f ca="1">J168*0.1</f>
        <v>0</v>
      </c>
      <c r="K169" s="60">
        <f ca="1">K168*0.1</f>
        <v>6635215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3" t="s">
        <v>453</v>
      </c>
      <c r="D170" s="533"/>
      <c r="E170" s="533"/>
      <c r="F170" s="533"/>
      <c r="G170" s="61" t="s">
        <v>9</v>
      </c>
      <c r="H170" s="78">
        <f ca="1">SUM(H168:H169)</f>
        <v>72987365</v>
      </c>
      <c r="I170" s="78">
        <f ca="1">SUM(I168:I169)</f>
        <v>0</v>
      </c>
      <c r="J170" s="61">
        <f ca="1">SUM(J168:J169)</f>
        <v>0</v>
      </c>
      <c r="K170" s="61">
        <f ca="1">SUM(K168:K169)</f>
        <v>72987365</v>
      </c>
      <c r="L170" s="44"/>
      <c r="R170" s="99"/>
      <c r="S170" s="99"/>
      <c r="T170" s="99"/>
    </row>
    <row r="171" spans="1:20" s="36" customFormat="1">
      <c r="A171" s="30"/>
      <c r="B171" s="536" t="e">
        <f ca="1">"Terbilang : ( "&amp;L172&amp;" Rupiah )"</f>
        <v>#NAME?</v>
      </c>
      <c r="C171" s="537"/>
      <c r="D171" s="537"/>
      <c r="E171" s="537"/>
      <c r="F171" s="537"/>
      <c r="G171" s="537"/>
      <c r="H171" s="537"/>
      <c r="I171" s="537"/>
      <c r="J171" s="537"/>
      <c r="K171" s="538"/>
      <c r="L171" s="44"/>
      <c r="R171" s="58"/>
      <c r="S171" s="58"/>
      <c r="T171" s="58"/>
    </row>
    <row r="172" spans="1:20" s="36" customFormat="1">
      <c r="A172" s="30"/>
      <c r="B172" s="539"/>
      <c r="C172" s="540"/>
      <c r="D172" s="540"/>
      <c r="E172" s="540"/>
      <c r="F172" s="540"/>
      <c r="G172" s="540"/>
      <c r="H172" s="540"/>
      <c r="I172" s="540"/>
      <c r="J172" s="540"/>
      <c r="K172" s="541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SUMIFS(RAB!$F$14:$F$113,RAB!$C$14:$C$113,C224)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SUMIFS(RAB!$F$14:$F$113,RAB!$C$14:$C$113,C225)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SUMIFS(RAB!$F$14:$F$113,RAB!$C$14:$C$113,C226)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SUMIFS(RAB!$F$14:$F$113,RAB!$C$14:$C$113,C227)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SUMIFS(RAB!$F$14:$F$113,RAB!$C$14:$C$113,C228)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SUMIFS(RAB!$F$14:$F$113,RAB!$C$14:$C$113,C229)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SUMIFS(RAB!$F$14:$F$113,RAB!$C$14:$C$113,C230)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SUMIFS(RAB!$F$14:$F$113,RAB!$C$14:$C$113,C231)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SUMIFS(RAB!$F$14:$F$113,RAB!$C$14:$C$113,C232)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SUMIFS(RAB!$F$14:$F$113,RAB!$C$14:$C$113,C233)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SUMIFS(RAB!$F$14:$F$113,RAB!$C$14:$C$113,C234)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SUMIFS(RAB!$F$14:$F$113,RAB!$C$14:$C$113,C235)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SUMIFS(RAB!$F$14:$F$113,RAB!$C$14:$C$113,C236)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SUMIFS(RAB!$F$14:$F$113,RAB!$C$14:$C$113,C237)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SUMIFS(RAB!$F$14:$F$113,RAB!$C$14:$C$113,C238)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SUMIFS(RAB!$F$14:$F$113,RAB!$C$14:$C$113,C239)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SUMIFS(RAB!$F$14:$F$113,RAB!$C$14:$C$113,C240)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SUMIFS(RAB!$F$14:$F$113,RAB!$C$14:$C$113,C241)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SUMIFS(RAB!$F$14:$F$113,RAB!$C$14:$C$113,C242)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SUMIFS(RAB!$F$14:$F$113,RAB!$C$14:$C$113,C243)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SUMIFS(RAB!$F$14:$F$113,RAB!$C$14:$C$113,C244)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SUMIFS(RAB!$F$14:$F$113,RAB!$C$14:$C$113,C245)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SUMIFS(RAB!$F$14:$F$113,RAB!$C$14:$C$113,C246)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SUMIFS(RAB!$F$14:$F$113,RAB!$C$14:$C$113,C247)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SUMIFS(RAB!$F$14:$F$113,RAB!$C$14:$C$113,C248)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SUMIFS(RAB!$F$14:$F$113,RAB!$C$14:$C$113,C249)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SUMIFS(RAB!$F$14:$F$113,RAB!$C$14:$C$113,C250)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SUMIFS(RAB!$F$14:$F$113,RAB!$C$14:$C$113,C251)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SUMIFS(RAB!$F$14:$F$113,RAB!$C$14:$C$113,C252)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SUMIFS(RAB!$F$14:$F$113,RAB!$C$14:$C$113,C253)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SUMIFS(RAB!$F$14:$F$113,RAB!$C$14:$C$113,C254)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SUMIFS(RAB!$F$14:$F$113,RAB!$C$14:$C$113,C255)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SUMIFS(RAB!$F$14:$F$113,RAB!$C$14:$C$113,C256)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SUMIFS(RAB!$F$14:$F$113,RAB!$C$14:$C$113,C257)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SUMIFS(RAB!$F$14:$F$113,RAB!$C$14:$C$113,C258)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SUMIFS(RAB!$F$14:$F$113,RAB!$C$14:$C$113,C259)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SUMIFS(RAB!$F$14:$F$113,RAB!$C$14:$C$113,C260)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SUMIFS(RAB!$F$14:$F$113,RAB!$C$14:$C$113,C261)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SUMIFS(RAB!$F$14:$F$113,RAB!$C$14:$C$113,C262)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SUMIFS(RAB!$F$14:$F$113,RAB!$C$14:$C$113,C263)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SUMIFS(RAB!$F$14:$F$113,RAB!$C$14:$C$113,C264)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SUMIFS(RAB!$F$14:$F$113,RAB!$C$14:$C$113,C265)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SUMIFS(RAB!$F$14:$F$113,RAB!$C$14:$C$113,C266)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SUMIFS(RAB!$F$14:$F$113,RAB!$C$14:$C$113,C267)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SUMIFS(RAB!$F$14:$F$113,RAB!$C$14:$C$113,C268)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SUMIFS(RAB!$F$14:$F$113,RAB!$C$14:$C$113,C269)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SUMIFS(RAB!$F$14:$F$113,RAB!$C$14:$C$113,C270)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SUMIFS(RAB!$F$14:$F$113,RAB!$C$14:$C$113,C271)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SUMIFS(RAB!$F$14:$F$113,RAB!$C$14:$C$113,C272)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SUMIFS(RAB!$F$14:$F$113,RAB!$C$14:$C$113,C273)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SUMIFS(RAB!$F$14:$F$113,RAB!$C$14:$C$113,C274)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SUMIFS(RAB!$F$14:$F$113,RAB!$C$14:$C$113,C275)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SUMIFS(RAB!$F$14:$F$113,RAB!$C$14:$C$113,C276)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SUMIFS(RAB!$F$14:$F$113,RAB!$C$14:$C$113,C277)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SUMIFS(RAB!$F$14:$F$113,RAB!$C$14:$C$113,C278)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SUMIFS(RAB!$F$14:$F$113,RAB!$C$14:$C$113,C279)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SUMIFS(RAB!$F$14:$F$113,RAB!$C$14:$C$113,C280)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SUMIFS(RAB!$F$14:$F$113,RAB!$C$14:$C$113,C281)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SUMIFS(RAB!$F$14:$F$113,RAB!$C$14:$C$113,C282)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SUMIFS(RAB!$F$14:$F$113,RAB!$C$14:$C$113,C283)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SUMIFS(RAB!$F$14:$F$113,RAB!$C$14:$C$113,C284)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SUMIFS(RAB!$F$14:$F$113,RAB!$C$14:$C$113,C285)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SUMIFS(RAB!$F$14:$F$113,RAB!$C$14:$C$113,C286)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SUMIFS(RAB!$F$14:$F$113,RAB!$C$14:$C$113,C287)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SUMIFS(RAB!$F$14:$F$113,RAB!$C$14:$C$113,C288)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SUMIFS(RAB!$F$14:$F$113,RAB!$C$14:$C$113,C289)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SUMIFS(RAB!$F$14:$F$113,RAB!$C$14:$C$113,C290)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SUMIFS(RAB!$F$14:$F$113,RAB!$C$14:$C$113,C291)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SUMIFS(RAB!$F$14:$F$113,RAB!$C$14:$C$113,C292)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SUMIFS(RAB!$F$14:$F$113,RAB!$C$14:$C$113,C293)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SUMIFS(RAB!$F$14:$F$113,RAB!$C$14:$C$113,C294)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SUMIFS(RAB!$F$14:$F$113,RAB!$C$14:$C$113,C295)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SUMIFS(RAB!$F$14:$F$113,RAB!$C$14:$C$113,C296)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SUMIFS(RAB!$F$14:$F$113,RAB!$C$14:$C$113,C297)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SUMIFS(RAB!$F$14:$F$113,RAB!$C$14:$C$113,C298)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SUMIFS(RAB!$F$14:$F$113,RAB!$C$14:$C$113,C299)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SUMIFS(RAB!$F$14:$F$113,RAB!$C$14:$C$113,C300)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SUMIFS(RAB!$F$14:$F$113,RAB!$C$14:$C$113,C301)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SUMIFS(RAB!$F$14:$F$113,RAB!$C$14:$C$113,C302)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SUMIFS(RAB!$F$14:$F$113,RAB!$C$14:$C$113,C303)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SUMIFS(RAB!$F$14:$F$113,RAB!$C$14:$C$113,C304)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SUMIFS(RAB!$F$14:$F$113,RAB!$C$14:$C$113,C305)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SUMIFS(RAB!$F$14:$F$113,RAB!$C$14:$C$113,C306)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SUMIFS(RAB!$F$14:$F$113,RAB!$C$14:$C$113,C307)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SUMIFS(RAB!$F$14:$F$113,RAB!$C$14:$C$113,C308)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SUMIFS(RAB!$F$14:$F$113,RAB!$C$14:$C$113,C309)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SUMIFS(RAB!$F$14:$F$113,RAB!$C$14:$C$113,C310)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SUMIFS(RAB!$F$14:$F$113,RAB!$C$14:$C$113,C311)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SUMIFS(RAB!$F$14:$F$113,RAB!$C$14:$C$113,C312)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SUMIFS(RAB!$F$14:$F$113,RAB!$C$14:$C$113,C313)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SUMIFS(RAB!$F$14:$F$113,RAB!$C$14:$C$113,C314)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SUMIFS(RAB!$F$14:$F$113,RAB!$C$14:$C$113,C315)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SUMIFS(RAB!$F$14:$F$113,RAB!$C$14:$C$113,C316)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SUMIFS(RAB!$F$14:$F$113,RAB!$C$14:$C$113,C317)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SUMIFS(RAB!$F$14:$F$113,RAB!$C$14:$C$113,C318)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SUMIFS(RAB!$F$14:$F$113,RAB!$C$14:$C$113,C319)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SUMIFS(RAB!$F$14:$F$113,RAB!$C$14:$C$113,C320)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SUMIFS(RAB!$F$14:$F$113,RAB!$C$14:$C$113,C321)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SUMIFS(RAB!$F$14:$F$113,RAB!$C$14:$C$113,C322)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SUMIFS(RAB!$F$14:$F$113,RAB!$C$14:$C$113,C323)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SUMIFS(RAB!$F$14:$F$113,RAB!$C$14:$C$113,C324)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SUMIFS(RAB!$F$14:$F$113,RAB!$C$14:$C$113,C325)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SUMIFS(RAB!$F$14:$F$113,RAB!$C$14:$C$113,C326)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SUMIFS(RAB!$F$14:$F$113,RAB!$C$14:$C$113,C327)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SUMIFS(RAB!$F$14:$F$113,RAB!$C$14:$C$113,C328)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SUMIFS(RAB!$F$14:$F$113,RAB!$C$14:$C$113,C329)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SUMIFS(RAB!$F$14:$F$113,RAB!$C$14:$C$113,C330)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SUMIFS(RAB!$F$14:$F$113,RAB!$C$14:$C$113,C331)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SUMIFS(RAB!$F$14:$F$113,RAB!$C$14:$C$113,C332)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SUMIFS(RAB!$F$14:$F$113,RAB!$C$14:$C$113,C333)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SUMIFS(RAB!$F$14:$F$113,RAB!$C$14:$C$113,C334)</f>
        <v>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SUMIFS(RAB!$F$14:$F$113,RAB!$C$14:$C$113,C335)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SUMIFS(RAB!$F$14:$F$113,RAB!$C$14:$C$113,C336)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SUMIFS(RAB!$F$14:$F$113,RAB!$C$14:$C$113,C337)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SUMIFS(RAB!$F$14:$F$113,RAB!$C$14:$C$113,C338)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SUMIFS(RAB!$F$14:$F$113,RAB!$C$14:$C$113,C339)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SUMIFS(RAB!$F$14:$F$113,RAB!$C$14:$C$113,C340)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SUMIFS(RAB!$F$14:$F$113,RAB!$C$14:$C$113,C341)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SUMIFS(RAB!$F$14:$F$113,RAB!$C$14:$C$113,C342)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SUMIFS(RAB!$F$14:$F$113,RAB!$C$14:$C$113,C343)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SUMIFS(RAB!$F$14:$F$113,RAB!$C$14:$C$113,C344)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SUMIFS(RAB!$F$14:$F$113,RAB!$C$14:$C$113,C345)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SUMIFS(RAB!$F$14:$F$113,RAB!$C$14:$C$113,C346)</f>
        <v>53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SUMIFS(RAB!$F$14:$F$113,RAB!$C$14:$C$113,C347)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SUMIFS(RAB!$F$14:$F$113,RAB!$C$14:$C$113,C348)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SUMIFS(RAB!$F$14:$F$113,RAB!$C$14:$C$113,C349)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SUMIFS(RAB!$F$14:$F$113,RAB!$C$14:$C$113,C350)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SUMIFS(RAB!$F$14:$F$113,RAB!$C$14:$C$113,C351)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SUMIFS(RAB!$F$14:$F$113,RAB!$C$14:$C$113,C352)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SUMIFS(RAB!$F$14:$F$113,RAB!$C$14:$C$113,C353)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SUMIFS(RAB!$F$14:$F$113,RAB!$C$14:$C$113,C354)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SUMIFS(RAB!$F$14:$F$113,RAB!$C$14:$C$113,C355)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SUMIFS(RAB!$F$14:$F$113,RAB!$C$14:$C$113,C356)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SUMIFS(RAB!$F$14:$F$113,RAB!$C$14:$C$113,C357)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SUMIFS(RAB!$F$14:$F$113,RAB!$C$14:$C$113,C358)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SUMIFS(RAB!$F$14:$F$113,RAB!$C$14:$C$113,C359)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SUMIFS(RAB!$F$14:$F$113,RAB!$C$14:$C$113,C360)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SUMIFS(RAB!$F$14:$F$113,RAB!$C$14:$C$113,C361)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SUMIFS(RAB!$F$14:$F$113,RAB!$C$14:$C$113,C362)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SUMIFS(RAB!$F$14:$F$113,RAB!$C$14:$C$113,C363)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SUMIFS(RAB!$F$14:$F$113,RAB!$C$14:$C$113,C364)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SUMIFS(RAB!$F$14:$F$113,RAB!$C$14:$C$113,C365)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SUMIFS(RAB!$F$14:$F$113,RAB!$C$14:$C$113,C366)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SUMIFS(RAB!$F$14:$F$113,RAB!$C$14:$C$113,C367)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SUMIFS(RAB!$F$14:$F$113,RAB!$C$14:$C$113,C368)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SUMIFS(RAB!$F$14:$F$113,RAB!$C$14:$C$113,C369)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SUMIFS(RAB!$F$14:$F$113,RAB!$C$14:$C$113,C370)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SUMIFS(RAB!$F$14:$F$113,RAB!$C$14:$C$113,C371)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SUMIFS(RAB!$F$14:$F$113,RAB!$C$14:$C$113,C372)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SUMIFS(RAB!$F$14:$F$113,RAB!$C$14:$C$113,C373)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138" priority="5" operator="equal">
      <formula>0</formula>
    </cfRule>
  </conditionalFormatting>
  <conditionalFormatting sqref="C16:C165">
    <cfRule type="cellIs" dxfId="137" priority="4" stopIfTrue="1" operator="equal">
      <formula>0</formula>
    </cfRule>
  </conditionalFormatting>
  <conditionalFormatting sqref="C16:E165">
    <cfRule type="cellIs" dxfId="136" priority="1" operator="equal">
      <formula>0</formula>
    </cfRule>
  </conditionalFormatting>
  <conditionalFormatting sqref="D224:F373">
    <cfRule type="cellIs" dxfId="135" priority="8" operator="equal">
      <formula>0</formula>
    </cfRule>
  </conditionalFormatting>
  <conditionalFormatting sqref="E1:E3 G1:G115 E6:E15 H12:I12 N13 F14:F15 H14:K115 E166:K166 G166:G223 E167:F167 H167:K167">
    <cfRule type="cellIs" dxfId="134" priority="43" stopIfTrue="1" operator="equal">
      <formula>0</formula>
    </cfRule>
  </conditionalFormatting>
  <conditionalFormatting sqref="E171:E65536">
    <cfRule type="cellIs" dxfId="133" priority="9" stopIfTrue="1" operator="equal">
      <formula>0</formula>
    </cfRule>
  </conditionalFormatting>
  <conditionalFormatting sqref="G224">
    <cfRule type="cellIs" dxfId="132" priority="10" operator="equal">
      <formula>0</formula>
    </cfRule>
  </conditionalFormatting>
  <conditionalFormatting sqref="G225:G65536">
    <cfRule type="cellIs" dxfId="131" priority="14" stopIfTrue="1" operator="equal">
      <formula>0</formula>
    </cfRule>
  </conditionalFormatting>
  <conditionalFormatting sqref="R14:T166 G116:K165">
    <cfRule type="cellIs" dxfId="1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5"/>
    </row>
    <row r="4" spans="4:4" ht="57" customHeight="1">
      <c r="D4" s="365">
        <v>3</v>
      </c>
    </row>
    <row r="5" spans="4:4" ht="57" customHeight="1">
      <c r="D5" s="36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57" activePane="bottomRight" state="frozen"/>
      <selection activeCell="D209" sqref="D209"/>
      <selection pane="topRight" activeCell="D209" sqref="D209"/>
      <selection pane="bottomLeft" activeCell="D209" sqref="D209"/>
      <selection pane="bottomRight" activeCell="L1073" sqref="L107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31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13</v>
      </c>
      <c r="C4" s="563" t="s">
        <v>982</v>
      </c>
      <c r="D4" s="563" t="s">
        <v>32</v>
      </c>
      <c r="E4" s="562" t="s">
        <v>33</v>
      </c>
      <c r="F4" s="108" t="s">
        <v>1570</v>
      </c>
      <c r="G4" s="108" t="s">
        <v>1569</v>
      </c>
      <c r="H4" s="560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1569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1513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1514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1515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1516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1517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1518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1519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1520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1426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1521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1522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1523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1524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1525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1526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1527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1427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1428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1528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1529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1530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1531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1532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1533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1534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1535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1536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1537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1538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1539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1540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1541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1542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1543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1544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1545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1546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1547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1548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1549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1550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1551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1552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1553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1554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1555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1556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1557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1558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1559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1560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1561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1562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1563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1564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1429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1430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1431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1432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1433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1434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1435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8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8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1436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1437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1438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1439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1440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1441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1442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1443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1444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1445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1446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1447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1448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1449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1450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1451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1452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1453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1454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1455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1456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1457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1458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1459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1460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1461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1462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1463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1464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1465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1466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1467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1468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1469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1470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1471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1472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1473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1474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1475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1476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1477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1478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1479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1480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1481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1482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1483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1484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1486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1485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1565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1566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1567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1487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1488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1489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1490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1491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1492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1493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1494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1568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9">
        <v>2740</v>
      </c>
      <c r="G1433" s="38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0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0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0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0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0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129" priority="138" operator="equal">
      <formula>0</formula>
    </cfRule>
  </conditionalFormatting>
  <conditionalFormatting sqref="B8:C135">
    <cfRule type="cellIs" dxfId="128" priority="51" operator="equal">
      <formula>0</formula>
    </cfRule>
  </conditionalFormatting>
  <conditionalFormatting sqref="B150:G1493">
    <cfRule type="cellIs" dxfId="127" priority="1" operator="equal">
      <formula>0</formula>
    </cfRule>
  </conditionalFormatting>
  <conditionalFormatting sqref="C143:G149">
    <cfRule type="cellIs" dxfId="126" priority="5" operator="equal">
      <formula>0</formula>
    </cfRule>
  </conditionalFormatting>
  <conditionalFormatting sqref="D9:G142">
    <cfRule type="cellIs" dxfId="125" priority="11" operator="equal">
      <formula>0</formula>
    </cfRule>
  </conditionalFormatting>
  <conditionalFormatting sqref="D1:IV5 A1:C7 D6:K6 H1455:IV1457 H1458:XFD1485 H1486:H1493 I1486:XFD1494 A1494:H1494 A1495:XFD65536">
    <cfRule type="cellIs" dxfId="124" priority="163" operator="equal">
      <formula>0</formula>
    </cfRule>
  </conditionalFormatting>
  <conditionalFormatting sqref="D7:IV8 C136:C142 B136:B149">
    <cfRule type="cellIs" dxfId="123" priority="62" operator="equal">
      <formula>0</formula>
    </cfRule>
  </conditionalFormatting>
  <conditionalFormatting sqref="H9:H1418">
    <cfRule type="cellIs" dxfId="122" priority="129" operator="equal">
      <formula>0</formula>
    </cfRule>
  </conditionalFormatting>
  <conditionalFormatting sqref="H1419:I1454">
    <cfRule type="cellIs" dxfId="121" priority="128" operator="equal">
      <formula>0</formula>
    </cfRule>
  </conditionalFormatting>
  <conditionalFormatting sqref="I108:I1418">
    <cfRule type="cellIs" dxfId="120" priority="125" operator="equal">
      <formula>0</formula>
    </cfRule>
  </conditionalFormatting>
  <conditionalFormatting sqref="J108:IV1454">
    <cfRule type="cellIs" dxfId="119" priority="139" operator="equal">
      <formula>0</formula>
    </cfRule>
  </conditionalFormatting>
  <conditionalFormatting sqref="M6:IV6">
    <cfRule type="cellIs" dxfId="1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zoomScale="55" zoomScaleNormal="55" zoomScaleSheetLayoutView="85" workbookViewId="0">
      <selection activeCell="O14" sqref="O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68" t="s">
        <v>1424</v>
      </c>
      <c r="C2" s="568"/>
      <c r="D2" s="568"/>
      <c r="E2" s="568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73" t="s">
        <v>1498</v>
      </c>
      <c r="C4" s="574"/>
      <c r="D4" s="574"/>
      <c r="E4" s="575"/>
      <c r="F4" s="347"/>
      <c r="G4" s="347"/>
      <c r="H4" s="348"/>
      <c r="I4" s="598" t="s">
        <v>1499</v>
      </c>
      <c r="J4" s="599"/>
      <c r="K4" s="599"/>
      <c r="L4" s="600"/>
    </row>
    <row r="5" spans="1:16" ht="34.5" customHeight="1">
      <c r="A5" s="193"/>
      <c r="B5" s="350" t="s">
        <v>1349</v>
      </c>
      <c r="C5" s="200" t="s">
        <v>9</v>
      </c>
      <c r="D5" s="569" t="str">
        <f>DATA!D14</f>
        <v>ZAENAL ARIFIN</v>
      </c>
      <c r="E5" s="570"/>
      <c r="F5" s="197"/>
      <c r="G5" s="197"/>
      <c r="I5" s="351" t="s">
        <v>1349</v>
      </c>
      <c r="J5" s="200" t="s">
        <v>9</v>
      </c>
      <c r="K5" s="601" t="str">
        <f>D5</f>
        <v>ZAENAL ARIFIN</v>
      </c>
      <c r="L5" s="602"/>
    </row>
    <row r="6" spans="1:16" ht="31.5" customHeight="1">
      <c r="A6" s="193"/>
      <c r="B6" s="350" t="s">
        <v>1495</v>
      </c>
      <c r="C6" s="200" t="s">
        <v>9</v>
      </c>
      <c r="D6" s="578">
        <f>DATA!D17*1000</f>
        <v>0</v>
      </c>
      <c r="E6" s="579"/>
      <c r="F6" s="197"/>
      <c r="G6" s="197"/>
      <c r="I6" s="351" t="s">
        <v>1496</v>
      </c>
      <c r="J6" s="200" t="s">
        <v>9</v>
      </c>
      <c r="K6" s="603">
        <f>DATA!D20*1000</f>
        <v>53000</v>
      </c>
      <c r="L6" s="604"/>
    </row>
    <row r="7" spans="1:16" ht="30.75" customHeight="1">
      <c r="A7" s="193"/>
      <c r="B7" s="350" t="s">
        <v>1411</v>
      </c>
      <c r="C7" s="200" t="s">
        <v>9</v>
      </c>
      <c r="D7" s="576">
        <f>DATA!D18</f>
        <v>1</v>
      </c>
      <c r="E7" s="577"/>
      <c r="F7" s="349" t="s">
        <v>1423</v>
      </c>
      <c r="I7" s="351" t="s">
        <v>1411</v>
      </c>
      <c r="J7" s="200" t="s">
        <v>9</v>
      </c>
      <c r="K7" s="605">
        <f>DATA!D21</f>
        <v>3</v>
      </c>
      <c r="L7" s="606"/>
    </row>
    <row r="8" spans="1:16" ht="51" customHeight="1">
      <c r="A8" s="193"/>
      <c r="B8" s="350" t="s">
        <v>1412</v>
      </c>
      <c r="C8" s="200" t="s">
        <v>9</v>
      </c>
      <c r="D8" s="576">
        <f>DATA!D19</f>
        <v>220</v>
      </c>
      <c r="E8" s="577"/>
      <c r="F8" s="349" t="s">
        <v>1423</v>
      </c>
      <c r="G8" s="344">
        <v>220</v>
      </c>
      <c r="I8" s="351" t="s">
        <v>1412</v>
      </c>
      <c r="J8" s="200" t="s">
        <v>9</v>
      </c>
      <c r="K8" s="605">
        <f>DATA!D22</f>
        <v>380</v>
      </c>
      <c r="L8" s="606"/>
      <c r="P8" s="494"/>
    </row>
    <row r="9" spans="1:16" ht="30" customHeight="1" thickBot="1">
      <c r="A9" s="193"/>
      <c r="B9" s="356" t="s">
        <v>1507</v>
      </c>
      <c r="C9" s="346" t="s">
        <v>9</v>
      </c>
      <c r="D9" s="571">
        <f>IF(D7=1,D6/(380/3^0.5),(D6/(380*3^0.5)))</f>
        <v>0</v>
      </c>
      <c r="E9" s="572"/>
      <c r="F9" s="196"/>
      <c r="G9" s="345">
        <v>380</v>
      </c>
      <c r="I9" s="357" t="s">
        <v>1507</v>
      </c>
      <c r="J9" s="346" t="s">
        <v>9</v>
      </c>
      <c r="K9" s="607">
        <f>IF(K7=1,K6/(380/3^0.5),(K6/(380*3^0.5)))</f>
        <v>80.525169123816227</v>
      </c>
      <c r="L9" s="608"/>
    </row>
    <row r="10" spans="1:16" ht="24.75" customHeight="1">
      <c r="B10" s="358"/>
      <c r="C10" s="355"/>
      <c r="D10" s="359"/>
      <c r="E10" s="359"/>
      <c r="F10" s="196"/>
      <c r="G10" s="345"/>
      <c r="I10" s="358"/>
      <c r="J10" s="355"/>
      <c r="K10" s="359"/>
      <c r="L10" s="359"/>
    </row>
    <row r="11" spans="1:16" ht="16.5" thickBot="1">
      <c r="B11" s="352" t="s">
        <v>1508</v>
      </c>
      <c r="I11" s="352" t="s">
        <v>1502</v>
      </c>
    </row>
    <row r="12" spans="1:16" ht="34.5" customHeight="1">
      <c r="A12" s="193"/>
      <c r="B12" s="380" t="s">
        <v>1500</v>
      </c>
      <c r="C12" s="374" t="s">
        <v>9</v>
      </c>
      <c r="D12" s="580"/>
      <c r="E12" s="581"/>
      <c r="F12" s="197"/>
      <c r="G12" s="197"/>
      <c r="I12" s="373" t="s">
        <v>1500</v>
      </c>
      <c r="J12" s="374" t="s">
        <v>9</v>
      </c>
      <c r="K12" s="580" t="s">
        <v>1627</v>
      </c>
      <c r="L12" s="581"/>
    </row>
    <row r="13" spans="1:16" ht="31.5" customHeight="1">
      <c r="A13" s="193"/>
      <c r="B13" s="381" t="s">
        <v>1350</v>
      </c>
      <c r="C13" s="361" t="s">
        <v>9</v>
      </c>
      <c r="D13" s="584"/>
      <c r="E13" s="585"/>
      <c r="F13" s="197"/>
      <c r="G13" s="197"/>
      <c r="I13" s="375" t="s">
        <v>1350</v>
      </c>
      <c r="J13" s="361" t="s">
        <v>9</v>
      </c>
      <c r="K13" s="584" t="s">
        <v>1625</v>
      </c>
      <c r="L13" s="585"/>
    </row>
    <row r="14" spans="1:16" ht="30.75" customHeight="1">
      <c r="A14" s="193"/>
      <c r="B14" s="381" t="s">
        <v>1501</v>
      </c>
      <c r="C14" s="361" t="s">
        <v>9</v>
      </c>
      <c r="D14" s="592"/>
      <c r="E14" s="593"/>
      <c r="F14" s="349" t="s">
        <v>1423</v>
      </c>
      <c r="G14" s="353">
        <v>50</v>
      </c>
      <c r="I14" s="375" t="s">
        <v>1501</v>
      </c>
      <c r="J14" s="361" t="s">
        <v>9</v>
      </c>
      <c r="K14" s="592">
        <v>50</v>
      </c>
      <c r="L14" s="593"/>
    </row>
    <row r="15" spans="1:16" ht="57" customHeight="1">
      <c r="A15" s="193"/>
      <c r="B15" s="381" t="s">
        <v>1411</v>
      </c>
      <c r="C15" s="361" t="s">
        <v>9</v>
      </c>
      <c r="D15" s="367"/>
      <c r="E15" s="376"/>
      <c r="F15" s="349" t="s">
        <v>1423</v>
      </c>
      <c r="G15" s="353">
        <v>100</v>
      </c>
      <c r="I15" s="375" t="s">
        <v>1411</v>
      </c>
      <c r="J15" s="361" t="s">
        <v>9</v>
      </c>
      <c r="K15" s="367">
        <v>3</v>
      </c>
      <c r="L15" s="376"/>
    </row>
    <row r="16" spans="1:16" ht="44.25" customHeight="1">
      <c r="A16" s="193"/>
      <c r="B16" s="381" t="s">
        <v>1511</v>
      </c>
      <c r="C16" s="361"/>
      <c r="D16" s="594">
        <v>269</v>
      </c>
      <c r="E16" s="595"/>
      <c r="F16" s="349"/>
      <c r="G16" s="353">
        <v>160</v>
      </c>
      <c r="I16" s="375" t="s">
        <v>1503</v>
      </c>
      <c r="J16" s="361" t="s">
        <v>9</v>
      </c>
      <c r="K16" s="596">
        <v>50</v>
      </c>
      <c r="L16" s="597"/>
    </row>
    <row r="17" spans="1:12" ht="34.5" customHeight="1">
      <c r="A17" s="193"/>
      <c r="B17" s="381" t="s">
        <v>1504</v>
      </c>
      <c r="C17" s="361" t="s">
        <v>9</v>
      </c>
      <c r="D17" s="586">
        <f>IF(D15=1,D14/(20/3^0.5),(D14/(20*3^0.5)))</f>
        <v>0</v>
      </c>
      <c r="E17" s="587"/>
      <c r="F17" s="349" t="s">
        <v>1423</v>
      </c>
      <c r="G17" s="354">
        <v>200</v>
      </c>
      <c r="I17" s="375" t="s">
        <v>1504</v>
      </c>
      <c r="J17" s="361" t="s">
        <v>9</v>
      </c>
      <c r="K17" s="590">
        <f>IF(K15=1,K14/(20/3^0.5),(K14/(20*3^0.5)))</f>
        <v>1.4433756729740645</v>
      </c>
      <c r="L17" s="591"/>
    </row>
    <row r="18" spans="1:12" ht="34.5" customHeight="1">
      <c r="A18" s="193"/>
      <c r="B18" s="381" t="s">
        <v>1505</v>
      </c>
      <c r="C18" s="361" t="s">
        <v>9</v>
      </c>
      <c r="D18" s="586">
        <f>IF(D15=1,D14/(380/3^0.5),(D14/(380*3^0.5)))*1000</f>
        <v>0</v>
      </c>
      <c r="E18" s="587"/>
      <c r="F18" s="349" t="s">
        <v>1423</v>
      </c>
      <c r="G18" s="354">
        <v>250</v>
      </c>
      <c r="I18" s="375" t="s">
        <v>1505</v>
      </c>
      <c r="J18" s="361" t="s">
        <v>9</v>
      </c>
      <c r="K18" s="590">
        <f>IF(K15=1,K14/(380/3^0.5),(K14/(380*3^0.5)))*1000</f>
        <v>75.96714068284551</v>
      </c>
      <c r="L18" s="591"/>
    </row>
    <row r="19" spans="1:12" ht="30" customHeight="1">
      <c r="A19" s="193"/>
      <c r="B19" s="382" t="s">
        <v>1497</v>
      </c>
      <c r="C19" s="360" t="s">
        <v>9</v>
      </c>
      <c r="D19" s="586">
        <f>IF(D15=1,D13/(380/3^0.5),(D13/(380*3^0.5)))</f>
        <v>0</v>
      </c>
      <c r="E19" s="587"/>
      <c r="F19" s="196"/>
      <c r="G19" s="345"/>
      <c r="I19" s="377" t="s">
        <v>1497</v>
      </c>
      <c r="J19" s="360" t="s">
        <v>9</v>
      </c>
      <c r="K19" s="590" t="e">
        <f>IF(K15=1,K13/(380/3^0.5),(K13/(380*3^0.5)))</f>
        <v>#VALUE!</v>
      </c>
      <c r="L19" s="591"/>
    </row>
    <row r="20" spans="1:12" ht="30" customHeight="1" thickBot="1">
      <c r="A20" s="193"/>
      <c r="B20" s="383" t="s">
        <v>1506</v>
      </c>
      <c r="C20" s="379" t="s">
        <v>9</v>
      </c>
      <c r="D20" s="582" t="e">
        <f>D16/D18</f>
        <v>#DIV/0!</v>
      </c>
      <c r="E20" s="583"/>
      <c r="F20" s="196"/>
      <c r="G20" s="345"/>
      <c r="I20" s="378" t="s">
        <v>1497</v>
      </c>
      <c r="J20" s="379" t="s">
        <v>9</v>
      </c>
      <c r="K20" s="588">
        <f>K16/K18</f>
        <v>0.65817930687617321</v>
      </c>
      <c r="L20" s="589"/>
    </row>
    <row r="21" spans="1:12" ht="9.75" customHeight="1">
      <c r="A21" s="193"/>
      <c r="B21" s="368" t="s">
        <v>1506</v>
      </c>
      <c r="C21" s="369" t="s">
        <v>9</v>
      </c>
      <c r="D21" s="567">
        <v>1</v>
      </c>
      <c r="E21" s="567"/>
      <c r="F21" s="370"/>
      <c r="G21" s="371"/>
      <c r="H21" s="372"/>
      <c r="I21" s="368" t="s">
        <v>1497</v>
      </c>
      <c r="J21" s="369" t="s">
        <v>9</v>
      </c>
      <c r="K21" s="567">
        <v>1</v>
      </c>
      <c r="L21" s="567"/>
    </row>
    <row r="22" spans="1:12" ht="6.75" customHeight="1">
      <c r="B22" s="358"/>
      <c r="C22" s="355"/>
      <c r="D22" s="366"/>
      <c r="E22" s="366"/>
      <c r="F22" s="196"/>
      <c r="G22" s="345"/>
      <c r="J22" s="355"/>
      <c r="K22" s="366"/>
      <c r="L22" s="366"/>
    </row>
    <row r="23" spans="1:12" ht="15.75" thickBot="1"/>
    <row r="24" spans="1:12" ht="200.25" customHeight="1" thickBot="1">
      <c r="B24" s="564"/>
      <c r="C24" s="565"/>
      <c r="D24" s="565"/>
      <c r="E24" s="566"/>
      <c r="I24" s="564"/>
      <c r="J24" s="565"/>
      <c r="K24" s="565"/>
      <c r="L24" s="566"/>
    </row>
    <row r="26" spans="1:12">
      <c r="D26" s="363"/>
    </row>
    <row r="27" spans="1:12">
      <c r="D27" s="36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17" priority="5" stopIfTrue="1" operator="greaterThan">
      <formula>0.89</formula>
    </cfRule>
    <cfRule type="cellIs" dxfId="116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13" zoomScaleNormal="100" workbookViewId="0">
      <selection activeCell="D17" sqref="D17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09"/>
      <c r="C1" s="609"/>
      <c r="D1" s="609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1">
        <v>1084.1250458865841</v>
      </c>
      <c r="F5" s="387" t="s">
        <v>1571</v>
      </c>
      <c r="K5" s="386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7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53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49661000</v>
      </c>
    </row>
    <row r="10" spans="2:11" ht="20.100000000000001" customHeight="1">
      <c r="B10" s="214" t="s">
        <v>1417</v>
      </c>
      <c r="C10" s="215" t="s">
        <v>9</v>
      </c>
      <c r="D10" s="221">
        <f ca="1">RAB!K119</f>
        <v>99237794.477650002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1984755.889553</v>
      </c>
    </row>
    <row r="12" spans="2:11" ht="9" customHeight="1">
      <c r="B12" s="610"/>
      <c r="C12" s="610"/>
      <c r="D12" s="610"/>
    </row>
    <row r="13" spans="2:11" ht="15.75" customHeight="1">
      <c r="B13" s="222"/>
      <c r="C13" s="222"/>
      <c r="D13" s="222"/>
    </row>
    <row r="14" spans="2:11" ht="33.75" customHeight="1">
      <c r="B14" s="334" t="s">
        <v>1349</v>
      </c>
      <c r="C14" s="335" t="s">
        <v>9</v>
      </c>
      <c r="D14" s="340" t="s">
        <v>1623</v>
      </c>
      <c r="E14" s="223" t="s">
        <v>1423</v>
      </c>
    </row>
    <row r="15" spans="2:11" ht="20.100000000000001" customHeight="1">
      <c r="B15" s="336" t="s">
        <v>1418</v>
      </c>
      <c r="C15" s="337" t="s">
        <v>9</v>
      </c>
      <c r="D15" s="341"/>
      <c r="E15" s="223" t="s">
        <v>1423</v>
      </c>
    </row>
    <row r="16" spans="2:11" ht="20.100000000000001" customHeight="1">
      <c r="B16" s="336" t="s">
        <v>1419</v>
      </c>
      <c r="C16" s="337" t="s">
        <v>9</v>
      </c>
      <c r="D16" s="341"/>
      <c r="E16" s="223" t="s">
        <v>1423</v>
      </c>
    </row>
    <row r="17" spans="2:5" ht="20.100000000000001" customHeight="1">
      <c r="B17" s="336" t="s">
        <v>1420</v>
      </c>
      <c r="C17" s="337" t="s">
        <v>9</v>
      </c>
      <c r="D17" s="342"/>
      <c r="E17" s="223" t="s">
        <v>1423</v>
      </c>
    </row>
    <row r="18" spans="2:5" ht="20.100000000000001" hidden="1" customHeight="1">
      <c r="B18" s="336" t="s">
        <v>1509</v>
      </c>
      <c r="C18" s="337"/>
      <c r="D18" s="342">
        <f>IF((D17&lt;=11),1,3)</f>
        <v>1</v>
      </c>
      <c r="E18" s="223"/>
    </row>
    <row r="19" spans="2:5" ht="20.100000000000001" hidden="1" customHeight="1">
      <c r="B19" s="336" t="s">
        <v>1510</v>
      </c>
      <c r="C19" s="337"/>
      <c r="D19" s="342">
        <f>IF((D17&lt;=11),220,380)</f>
        <v>220</v>
      </c>
      <c r="E19" s="223"/>
    </row>
    <row r="20" spans="2:5" ht="20.100000000000001" customHeight="1">
      <c r="B20" s="336" t="s">
        <v>1421</v>
      </c>
      <c r="C20" s="337" t="s">
        <v>9</v>
      </c>
      <c r="D20" s="342">
        <v>53</v>
      </c>
      <c r="E20" s="223" t="s">
        <v>1423</v>
      </c>
    </row>
    <row r="21" spans="2:5" ht="20.100000000000001" hidden="1" customHeight="1">
      <c r="B21" s="336" t="s">
        <v>1509</v>
      </c>
      <c r="C21" s="337"/>
      <c r="D21" s="342">
        <f>IF((D20&lt;=11),1,3)</f>
        <v>3</v>
      </c>
      <c r="E21" s="223"/>
    </row>
    <row r="22" spans="2:5" ht="20.100000000000001" hidden="1" customHeight="1">
      <c r="B22" s="336" t="s">
        <v>1510</v>
      </c>
      <c r="C22" s="337"/>
      <c r="D22" s="342">
        <f>IF((D20&lt;=11),220,380)</f>
        <v>380</v>
      </c>
      <c r="E22" s="223"/>
    </row>
    <row r="23" spans="2:5" ht="20.100000000000001" customHeight="1">
      <c r="B23" s="336" t="s">
        <v>1323</v>
      </c>
      <c r="C23" s="337" t="s">
        <v>9</v>
      </c>
      <c r="D23" s="341">
        <v>1444.7</v>
      </c>
      <c r="E23" s="223" t="s">
        <v>1423</v>
      </c>
    </row>
    <row r="24" spans="2:5" ht="20.100000000000001" customHeight="1">
      <c r="B24" s="336" t="s">
        <v>1324</v>
      </c>
      <c r="C24" s="337" t="s">
        <v>9</v>
      </c>
      <c r="D24" s="341">
        <v>1444.7</v>
      </c>
      <c r="E24" s="223" t="s">
        <v>1423</v>
      </c>
    </row>
    <row r="25" spans="2:5" ht="20.100000000000001" customHeight="1">
      <c r="B25" s="336" t="s">
        <v>1422</v>
      </c>
      <c r="C25" s="337" t="s">
        <v>9</v>
      </c>
      <c r="D25" s="342">
        <v>937</v>
      </c>
      <c r="E25" s="223" t="s">
        <v>1423</v>
      </c>
    </row>
    <row r="26" spans="2:5" ht="20.100000000000001" customHeight="1">
      <c r="B26" s="338" t="s">
        <v>1325</v>
      </c>
      <c r="C26" s="339" t="s">
        <v>9</v>
      </c>
      <c r="D26" s="343">
        <v>40</v>
      </c>
      <c r="E26" s="223" t="s">
        <v>1423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G1" zoomScale="85" zoomScaleNormal="85" workbookViewId="0">
      <pane ySplit="6" topLeftCell="A19" activePane="bottomLeft" state="frozen"/>
      <selection activeCell="H1093" sqref="H1093"/>
      <selection pane="bottomLeft" activeCell="U30" sqref="U30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11" t="s">
        <v>1327</v>
      </c>
      <c r="C3" s="611"/>
      <c r="D3" s="611"/>
      <c r="E3" s="611"/>
      <c r="F3" s="228" t="str">
        <f>DATA!D14</f>
        <v>ZAENAL ARIFIN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2" t="s">
        <v>1319</v>
      </c>
      <c r="C5" s="612" t="s">
        <v>1328</v>
      </c>
      <c r="D5" s="613" t="s">
        <v>1329</v>
      </c>
      <c r="E5" s="613" t="s">
        <v>1330</v>
      </c>
      <c r="F5" s="612" t="s">
        <v>1331</v>
      </c>
      <c r="G5" s="612"/>
      <c r="H5" s="612"/>
      <c r="I5" s="612"/>
      <c r="J5" s="612"/>
      <c r="K5" s="612" t="s">
        <v>1332</v>
      </c>
      <c r="L5" s="612"/>
      <c r="M5" s="230"/>
      <c r="N5" s="616" t="s">
        <v>1333</v>
      </c>
      <c r="O5" s="613" t="s">
        <v>1334</v>
      </c>
      <c r="P5" s="613" t="s">
        <v>1335</v>
      </c>
      <c r="Q5" s="613" t="s">
        <v>1336</v>
      </c>
      <c r="R5" s="231"/>
      <c r="S5" s="232"/>
      <c r="T5" s="614" t="s">
        <v>1337</v>
      </c>
      <c r="U5" s="233"/>
    </row>
    <row r="6" spans="1:21" ht="20.100000000000001" customHeight="1">
      <c r="B6" s="612"/>
      <c r="C6" s="612"/>
      <c r="D6" s="612"/>
      <c r="E6" s="612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7"/>
      <c r="O6" s="612"/>
      <c r="P6" s="612"/>
      <c r="Q6" s="612"/>
      <c r="R6" s="231"/>
      <c r="S6" s="232"/>
      <c r="T6" s="612"/>
      <c r="U6" s="235"/>
    </row>
    <row r="7" spans="1:21" ht="20.100000000000001" customHeight="1">
      <c r="A7" s="236">
        <v>0</v>
      </c>
      <c r="B7" s="237">
        <v>2023</v>
      </c>
      <c r="C7" s="384">
        <f>DATA!D8*DATA!D26*8</f>
        <v>16960</v>
      </c>
      <c r="D7" s="239">
        <f>C7*4/24</f>
        <v>2826.6666666666665</v>
      </c>
      <c r="E7" s="239">
        <f>C7-D7</f>
        <v>14133.333333333334</v>
      </c>
      <c r="F7" s="240">
        <f ca="1">DATA!D10/1000000</f>
        <v>99.237794477649999</v>
      </c>
      <c r="G7" s="241">
        <f ca="1">DATA!$D$11/1000000</f>
        <v>1.984755889553</v>
      </c>
      <c r="H7" s="241">
        <f>C7*DATA!$D$5/1000000</f>
        <v>18.386760778236468</v>
      </c>
      <c r="I7" s="241">
        <f>(C7*DATA!$D$5*DATA!$D$7)/1000000</f>
        <v>0.41370211751032049</v>
      </c>
      <c r="J7" s="239">
        <f ca="1">SUM(F7:I7)</f>
        <v>120.02301326294979</v>
      </c>
      <c r="K7" s="242">
        <f>DATA!D9/1000000</f>
        <v>49.661000000000001</v>
      </c>
      <c r="L7" s="239">
        <f>((D7*DATA!$D$23)/1000000)+((E7*DATA!$D$24)/1000000)</f>
        <v>24.502112000000004</v>
      </c>
      <c r="M7" s="239">
        <f>K7+L7</f>
        <v>74.163112000000012</v>
      </c>
      <c r="N7" s="239">
        <f ca="1">M7-J7</f>
        <v>-45.859901262949776</v>
      </c>
      <c r="O7" s="237">
        <v>1</v>
      </c>
      <c r="P7" s="239">
        <f ca="1">O7*N7</f>
        <v>-45.859901262949776</v>
      </c>
      <c r="Q7" s="239">
        <f ca="1">P7</f>
        <v>-45.859901262949776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25440</v>
      </c>
      <c r="D8" s="239">
        <f>C8*4/24</f>
        <v>4240</v>
      </c>
      <c r="E8" s="239">
        <f t="shared" ref="E8:E32" si="0">C8-D8</f>
        <v>21200</v>
      </c>
      <c r="F8" s="237"/>
      <c r="G8" s="241">
        <f ca="1">DATA!$D$11/1000000</f>
        <v>1.984755889553</v>
      </c>
      <c r="H8" s="241">
        <f>C8*DATA!$D$5/1000000</f>
        <v>27.5801411673547</v>
      </c>
      <c r="I8" s="241">
        <f>(C8*DATA!$D$5*DATA!$D$7)/1000000</f>
        <v>0.62055317626548068</v>
      </c>
      <c r="J8" s="239">
        <f t="shared" ref="J8:J32" ca="1" si="1">SUM(F8:I8)</f>
        <v>30.185450233173182</v>
      </c>
      <c r="K8" s="244"/>
      <c r="L8" s="239">
        <f>((D8*DATA!$D$23)/1000000)+((E8*DATA!$D$24)/1000000)</f>
        <v>36.753168000000002</v>
      </c>
      <c r="M8" s="239">
        <f t="shared" ref="M8:M32" si="2">K8+L8</f>
        <v>36.753168000000002</v>
      </c>
      <c r="N8" s="239">
        <f ca="1">M8-J8</f>
        <v>6.5677177668268207</v>
      </c>
      <c r="O8" s="238">
        <f>1/(1+'[91]Asumsi I'!$C$3)^(KKF!A8)</f>
        <v>0.89285714285714279</v>
      </c>
      <c r="P8" s="239">
        <f ca="1">O8*N8</f>
        <v>5.8640337203810899</v>
      </c>
      <c r="Q8" s="239">
        <f ca="1">Q7+P8</f>
        <v>-39.995867542568689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25440</v>
      </c>
      <c r="D9" s="239">
        <f t="shared" ref="D9:D32" si="5">C9*4/24</f>
        <v>4240</v>
      </c>
      <c r="E9" s="239">
        <f t="shared" si="0"/>
        <v>21200</v>
      </c>
      <c r="F9" s="237"/>
      <c r="G9" s="241">
        <f ca="1">DATA!$D$11/1000000</f>
        <v>1.984755889553</v>
      </c>
      <c r="H9" s="241">
        <f>C9*DATA!$D$5/1000000</f>
        <v>27.5801411673547</v>
      </c>
      <c r="I9" s="241">
        <f>(C9*DATA!$D$5*DATA!$D$7)/1000000</f>
        <v>0.62055317626548068</v>
      </c>
      <c r="J9" s="239">
        <f t="shared" ca="1" si="1"/>
        <v>30.185450233173182</v>
      </c>
      <c r="K9" s="239"/>
      <c r="L9" s="239">
        <f>((D9*DATA!$D$23)/1000000)+((E9*DATA!$D$24)/1000000)</f>
        <v>36.753168000000002</v>
      </c>
      <c r="M9" s="239">
        <f t="shared" si="2"/>
        <v>36.753168000000002</v>
      </c>
      <c r="N9" s="239">
        <f t="shared" ref="N9:N32" ca="1" si="6">M9-J9</f>
        <v>6.5677177668268207</v>
      </c>
      <c r="O9" s="245">
        <f>1/(1+'[91]Asumsi I'!$C$3)^(KKF!A9)</f>
        <v>0.79719387755102034</v>
      </c>
      <c r="P9" s="239">
        <f t="shared" ref="P9:P32" ca="1" si="7">O9*N9</f>
        <v>5.2357443931974013</v>
      </c>
      <c r="Q9" s="239">
        <f ca="1">Q8+P9</f>
        <v>-34.760123149371289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25440</v>
      </c>
      <c r="D10" s="239">
        <f t="shared" si="5"/>
        <v>4240</v>
      </c>
      <c r="E10" s="239">
        <f t="shared" si="0"/>
        <v>21200</v>
      </c>
      <c r="F10" s="237"/>
      <c r="G10" s="241">
        <f ca="1">DATA!$D$11/1000000</f>
        <v>1.984755889553</v>
      </c>
      <c r="H10" s="241">
        <f>C10*DATA!$D$5/1000000</f>
        <v>27.5801411673547</v>
      </c>
      <c r="I10" s="241">
        <f>(C10*DATA!$D$5*DATA!$D$7)/1000000</f>
        <v>0.62055317626548068</v>
      </c>
      <c r="J10" s="239">
        <f t="shared" ca="1" si="1"/>
        <v>30.185450233173182</v>
      </c>
      <c r="K10" s="237"/>
      <c r="L10" s="239">
        <f>((D10*DATA!$D$23)/1000000)+((E10*DATA!$D$24)/1000000)</f>
        <v>36.753168000000002</v>
      </c>
      <c r="M10" s="239">
        <f t="shared" si="2"/>
        <v>36.753168000000002</v>
      </c>
      <c r="N10" s="239">
        <f t="shared" ca="1" si="6"/>
        <v>6.5677177668268207</v>
      </c>
      <c r="O10" s="238">
        <f>1/(1+'[91]Asumsi I'!$C$3)^(KKF!A10)</f>
        <v>0.71178024781341087</v>
      </c>
      <c r="P10" s="239">
        <f t="shared" ca="1" si="7"/>
        <v>4.6747717796405359</v>
      </c>
      <c r="Q10" s="239">
        <f t="shared" ref="Q10:Q30" ca="1" si="9">Q9+P10</f>
        <v>-30.085351369730752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25440</v>
      </c>
      <c r="D11" s="239">
        <f t="shared" si="5"/>
        <v>4240</v>
      </c>
      <c r="E11" s="239">
        <f t="shared" si="0"/>
        <v>21200</v>
      </c>
      <c r="F11" s="237"/>
      <c r="G11" s="241">
        <f ca="1">DATA!$D$11/1000000</f>
        <v>1.984755889553</v>
      </c>
      <c r="H11" s="241">
        <f>C11*DATA!$D$5/1000000</f>
        <v>27.5801411673547</v>
      </c>
      <c r="I11" s="241">
        <f>(C11*DATA!$D$5*DATA!$D$7)/1000000</f>
        <v>0.62055317626548068</v>
      </c>
      <c r="J11" s="239">
        <f t="shared" ca="1" si="1"/>
        <v>30.185450233173182</v>
      </c>
      <c r="K11" s="237"/>
      <c r="L11" s="239">
        <f>((D11*DATA!$D$23)/1000000)+((E11*DATA!$D$24)/1000000)</f>
        <v>36.753168000000002</v>
      </c>
      <c r="M11" s="239">
        <f t="shared" si="2"/>
        <v>36.753168000000002</v>
      </c>
      <c r="N11" s="239">
        <f t="shared" ca="1" si="6"/>
        <v>6.5677177668268207</v>
      </c>
      <c r="O11" s="238">
        <f>1/(1+'[91]Asumsi I'!$C$3)^(KKF!A11)</f>
        <v>0.63551807840483121</v>
      </c>
      <c r="P11" s="239">
        <f t="shared" ca="1" si="7"/>
        <v>4.1739033746790506</v>
      </c>
      <c r="Q11" s="239">
        <f t="shared" ca="1" si="9"/>
        <v>-25.911447995051702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25440</v>
      </c>
      <c r="D12" s="239">
        <f t="shared" si="5"/>
        <v>4240</v>
      </c>
      <c r="E12" s="239">
        <f t="shared" si="0"/>
        <v>21200</v>
      </c>
      <c r="F12" s="237"/>
      <c r="G12" s="241">
        <f ca="1">DATA!$D$11/1000000</f>
        <v>1.984755889553</v>
      </c>
      <c r="H12" s="241">
        <f>C12*DATA!$D$5/1000000</f>
        <v>27.5801411673547</v>
      </c>
      <c r="I12" s="241">
        <f>(C12*DATA!$D$5*DATA!$D$7)/1000000</f>
        <v>0.62055317626548068</v>
      </c>
      <c r="J12" s="239">
        <f t="shared" ca="1" si="1"/>
        <v>30.185450233173182</v>
      </c>
      <c r="K12" s="237"/>
      <c r="L12" s="239">
        <f>((D12*DATA!$D$23)/1000000)+((E12*DATA!$D$24)/1000000)</f>
        <v>36.753168000000002</v>
      </c>
      <c r="M12" s="239">
        <f t="shared" si="2"/>
        <v>36.753168000000002</v>
      </c>
      <c r="N12" s="239">
        <f t="shared" ca="1" si="6"/>
        <v>6.5677177668268207</v>
      </c>
      <c r="O12" s="238">
        <f>1/(1+'[91]Asumsi I'!$C$3)^(KKF!A12)</f>
        <v>0.56742685571859919</v>
      </c>
      <c r="P12" s="239">
        <f t="shared" ca="1" si="7"/>
        <v>3.7266994416777228</v>
      </c>
      <c r="Q12" s="239">
        <f t="shared" ca="1" si="9"/>
        <v>-22.184748553373979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25440</v>
      </c>
      <c r="D13" s="239">
        <f t="shared" si="5"/>
        <v>4240</v>
      </c>
      <c r="E13" s="239">
        <f t="shared" si="0"/>
        <v>21200</v>
      </c>
      <c r="F13" s="237"/>
      <c r="G13" s="241">
        <f ca="1">DATA!$D$11/1000000</f>
        <v>1.984755889553</v>
      </c>
      <c r="H13" s="241">
        <f>C13*DATA!$D$5/1000000</f>
        <v>27.5801411673547</v>
      </c>
      <c r="I13" s="241">
        <f>(C13*DATA!$D$5*DATA!$D$7)/1000000</f>
        <v>0.62055317626548068</v>
      </c>
      <c r="J13" s="239">
        <f t="shared" ca="1" si="1"/>
        <v>30.185450233173182</v>
      </c>
      <c r="K13" s="237"/>
      <c r="L13" s="239">
        <f>((D13*DATA!$D$23)/1000000)+((E13*DATA!$D$24)/1000000)</f>
        <v>36.753168000000002</v>
      </c>
      <c r="M13" s="239">
        <f t="shared" si="2"/>
        <v>36.753168000000002</v>
      </c>
      <c r="N13" s="239">
        <f t="shared" ca="1" si="6"/>
        <v>6.5677177668268207</v>
      </c>
      <c r="O13" s="238">
        <f>1/(1+'[91]Asumsi I'!$C$3)^(KKF!A13)</f>
        <v>0.50663112117732068</v>
      </c>
      <c r="P13" s="239">
        <f t="shared" ca="1" si="7"/>
        <v>3.3274102157836811</v>
      </c>
      <c r="Q13" s="239">
        <f t="shared" ca="1" si="9"/>
        <v>-18.857338337590299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25440</v>
      </c>
      <c r="D14" s="239">
        <f t="shared" si="5"/>
        <v>4240</v>
      </c>
      <c r="E14" s="239">
        <f t="shared" si="0"/>
        <v>21200</v>
      </c>
      <c r="F14" s="237"/>
      <c r="G14" s="241">
        <f ca="1">DATA!$D$11/1000000</f>
        <v>1.984755889553</v>
      </c>
      <c r="H14" s="241">
        <f>C14*DATA!$D$5/1000000</f>
        <v>27.5801411673547</v>
      </c>
      <c r="I14" s="241">
        <f>(C14*DATA!$D$5*DATA!$D$7)/1000000</f>
        <v>0.62055317626548068</v>
      </c>
      <c r="J14" s="239">
        <f t="shared" ca="1" si="1"/>
        <v>30.185450233173182</v>
      </c>
      <c r="K14" s="237"/>
      <c r="L14" s="239">
        <f>((D14*DATA!$D$23)/1000000)+((E14*DATA!$D$24)/1000000)</f>
        <v>36.753168000000002</v>
      </c>
      <c r="M14" s="239">
        <f t="shared" si="2"/>
        <v>36.753168000000002</v>
      </c>
      <c r="N14" s="239">
        <f t="shared" ca="1" si="6"/>
        <v>6.5677177668268207</v>
      </c>
      <c r="O14" s="238">
        <f>1/(1+'[91]Asumsi I'!$C$3)^(KKF!A14)</f>
        <v>0.45234921533689343</v>
      </c>
      <c r="P14" s="239">
        <f t="shared" ca="1" si="7"/>
        <v>2.9709019783782864</v>
      </c>
      <c r="Q14" s="239">
        <f t="shared" ca="1" si="9"/>
        <v>-15.886436359212013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25440</v>
      </c>
      <c r="D15" s="239">
        <f t="shared" si="5"/>
        <v>4240</v>
      </c>
      <c r="E15" s="239">
        <f t="shared" si="0"/>
        <v>21200</v>
      </c>
      <c r="F15" s="237"/>
      <c r="G15" s="241">
        <f ca="1">DATA!$D$11/1000000</f>
        <v>1.984755889553</v>
      </c>
      <c r="H15" s="241">
        <f>C15*DATA!$D$5/1000000</f>
        <v>27.5801411673547</v>
      </c>
      <c r="I15" s="241">
        <f>(C15*DATA!$D$5*DATA!$D$7)/1000000</f>
        <v>0.62055317626548068</v>
      </c>
      <c r="J15" s="239">
        <f t="shared" ca="1" si="1"/>
        <v>30.185450233173182</v>
      </c>
      <c r="K15" s="237"/>
      <c r="L15" s="239">
        <f>((D15*DATA!$D$23)/1000000)+((E15*DATA!$D$24)/1000000)</f>
        <v>36.753168000000002</v>
      </c>
      <c r="M15" s="239">
        <f t="shared" si="2"/>
        <v>36.753168000000002</v>
      </c>
      <c r="N15" s="239">
        <f t="shared" ca="1" si="6"/>
        <v>6.5677177668268207</v>
      </c>
      <c r="O15" s="238">
        <f>1/(1+'[91]Asumsi I'!$C$3)^(KKF!A15)</f>
        <v>0.4038832279793691</v>
      </c>
      <c r="P15" s="239">
        <f t="shared" ca="1" si="7"/>
        <v>2.6525910521234697</v>
      </c>
      <c r="Q15" s="239">
        <f t="shared" ca="1" si="9"/>
        <v>-13.233845307088544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25440</v>
      </c>
      <c r="D16" s="239">
        <f t="shared" si="5"/>
        <v>4240</v>
      </c>
      <c r="E16" s="239">
        <f t="shared" si="0"/>
        <v>21200</v>
      </c>
      <c r="F16" s="237"/>
      <c r="G16" s="241">
        <f ca="1">DATA!$D$11/1000000</f>
        <v>1.984755889553</v>
      </c>
      <c r="H16" s="241">
        <f>C16*DATA!$D$5/1000000</f>
        <v>27.5801411673547</v>
      </c>
      <c r="I16" s="241">
        <f>(C16*DATA!$D$5*DATA!$D$7)/1000000</f>
        <v>0.62055317626548068</v>
      </c>
      <c r="J16" s="239">
        <f t="shared" ca="1" si="1"/>
        <v>30.185450233173182</v>
      </c>
      <c r="K16" s="237"/>
      <c r="L16" s="239">
        <f>((D16*DATA!$D$23)/1000000)+((E16*DATA!$D$24)/1000000)</f>
        <v>36.753168000000002</v>
      </c>
      <c r="M16" s="239">
        <f t="shared" si="2"/>
        <v>36.753168000000002</v>
      </c>
      <c r="N16" s="239">
        <f t="shared" ca="1" si="6"/>
        <v>6.5677177668268207</v>
      </c>
      <c r="O16" s="238">
        <f>1/(1+'[91]Asumsi I'!$C$3)^(KKF!A16)</f>
        <v>0.36061002498157957</v>
      </c>
      <c r="P16" s="239">
        <f t="shared" ca="1" si="7"/>
        <v>2.368384867967384</v>
      </c>
      <c r="Q16" s="239">
        <f t="shared" ca="1" si="9"/>
        <v>-10.86546043912116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25440</v>
      </c>
      <c r="D17" s="239">
        <f t="shared" si="5"/>
        <v>4240</v>
      </c>
      <c r="E17" s="239">
        <f t="shared" si="0"/>
        <v>21200</v>
      </c>
      <c r="F17" s="237"/>
      <c r="G17" s="241">
        <f ca="1">DATA!$D$11/1000000</f>
        <v>1.984755889553</v>
      </c>
      <c r="H17" s="241">
        <f>C17*DATA!$D$5/1000000</f>
        <v>27.5801411673547</v>
      </c>
      <c r="I17" s="241">
        <f>(C17*DATA!$D$5*DATA!$D$7)/1000000</f>
        <v>0.62055317626548068</v>
      </c>
      <c r="J17" s="239">
        <f t="shared" ca="1" si="1"/>
        <v>30.185450233173182</v>
      </c>
      <c r="K17" s="237"/>
      <c r="L17" s="239">
        <f>((D17*DATA!$D$23)/1000000)+((E17*DATA!$D$24)/1000000)</f>
        <v>36.753168000000002</v>
      </c>
      <c r="M17" s="239">
        <f t="shared" si="2"/>
        <v>36.753168000000002</v>
      </c>
      <c r="N17" s="239">
        <f t="shared" ca="1" si="6"/>
        <v>6.5677177668268207</v>
      </c>
      <c r="O17" s="238">
        <f>1/(1+'[91]Asumsi I'!$C$3)^(KKF!A17)</f>
        <v>0.32197323659069599</v>
      </c>
      <c r="P17" s="239">
        <f t="shared" ca="1" si="7"/>
        <v>2.1146293463994494</v>
      </c>
      <c r="Q17" s="239">
        <f t="shared" ca="1" si="9"/>
        <v>-8.750831092721711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25440</v>
      </c>
      <c r="D18" s="239">
        <f t="shared" si="5"/>
        <v>4240</v>
      </c>
      <c r="E18" s="239">
        <f t="shared" si="0"/>
        <v>21200</v>
      </c>
      <c r="F18" s="237"/>
      <c r="G18" s="241">
        <f ca="1">DATA!$D$11/1000000</f>
        <v>1.984755889553</v>
      </c>
      <c r="H18" s="241">
        <f>C18*DATA!$D$5/1000000</f>
        <v>27.5801411673547</v>
      </c>
      <c r="I18" s="241">
        <f>(C18*DATA!$D$5*DATA!$D$7)/1000000</f>
        <v>0.62055317626548068</v>
      </c>
      <c r="J18" s="239">
        <f t="shared" ca="1" si="1"/>
        <v>30.185450233173182</v>
      </c>
      <c r="K18" s="237"/>
      <c r="L18" s="239">
        <f>((D18*DATA!$D$23)/1000000)+((E18*DATA!$D$24)/1000000)</f>
        <v>36.753168000000002</v>
      </c>
      <c r="M18" s="239">
        <f t="shared" si="2"/>
        <v>36.753168000000002</v>
      </c>
      <c r="N18" s="239">
        <f t="shared" ca="1" si="6"/>
        <v>6.5677177668268207</v>
      </c>
      <c r="O18" s="238">
        <f>1/(1+'[91]Asumsi I'!$C$3)^(KKF!A18)</f>
        <v>0.28747610409883567</v>
      </c>
      <c r="P18" s="239">
        <f t="shared" ca="1" si="7"/>
        <v>1.8880619164280796</v>
      </c>
      <c r="Q18" s="239">
        <f t="shared" ca="1" si="9"/>
        <v>-6.8627691762936314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25440</v>
      </c>
      <c r="D19" s="239">
        <f t="shared" si="5"/>
        <v>4240</v>
      </c>
      <c r="E19" s="239">
        <f t="shared" si="0"/>
        <v>21200</v>
      </c>
      <c r="F19" s="237"/>
      <c r="G19" s="241">
        <f ca="1">DATA!$D$11/1000000</f>
        <v>1.984755889553</v>
      </c>
      <c r="H19" s="241">
        <f>C19*DATA!$D$5/1000000</f>
        <v>27.5801411673547</v>
      </c>
      <c r="I19" s="241">
        <f>(C19*DATA!$D$5*DATA!$D$7)/1000000</f>
        <v>0.62055317626548068</v>
      </c>
      <c r="J19" s="239">
        <f t="shared" ca="1" si="1"/>
        <v>30.185450233173182</v>
      </c>
      <c r="K19" s="237"/>
      <c r="L19" s="239">
        <f>((D19*DATA!$D$23)/1000000)+((E19*DATA!$D$24)/1000000)</f>
        <v>36.753168000000002</v>
      </c>
      <c r="M19" s="239">
        <f t="shared" si="2"/>
        <v>36.753168000000002</v>
      </c>
      <c r="N19" s="239">
        <f t="shared" ca="1" si="6"/>
        <v>6.5677177668268207</v>
      </c>
      <c r="O19" s="238">
        <f>1/(1+'[91]Asumsi I'!$C$3)^(KKF!A19)</f>
        <v>0.25667509294538904</v>
      </c>
      <c r="P19" s="239">
        <f t="shared" ca="1" si="7"/>
        <v>1.6857695682393572</v>
      </c>
      <c r="Q19" s="239">
        <f t="shared" ca="1" si="9"/>
        <v>-5.1769996080542739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25440</v>
      </c>
      <c r="D20" s="239">
        <f t="shared" si="5"/>
        <v>4240</v>
      </c>
      <c r="E20" s="239">
        <f t="shared" si="0"/>
        <v>21200</v>
      </c>
      <c r="F20" s="237"/>
      <c r="G20" s="241">
        <f ca="1">DATA!$D$11/1000000</f>
        <v>1.984755889553</v>
      </c>
      <c r="H20" s="241">
        <f>C20*DATA!$D$5/1000000</f>
        <v>27.5801411673547</v>
      </c>
      <c r="I20" s="241">
        <f>(C20*DATA!$D$5*DATA!$D$7)/1000000</f>
        <v>0.62055317626548068</v>
      </c>
      <c r="J20" s="239">
        <f t="shared" ca="1" si="1"/>
        <v>30.185450233173182</v>
      </c>
      <c r="K20" s="237"/>
      <c r="L20" s="239">
        <f>((D20*DATA!$D$23)/1000000)+((E20*DATA!$D$24)/1000000)</f>
        <v>36.753168000000002</v>
      </c>
      <c r="M20" s="239">
        <f t="shared" si="2"/>
        <v>36.753168000000002</v>
      </c>
      <c r="N20" s="239">
        <f t="shared" ca="1" si="6"/>
        <v>6.5677177668268207</v>
      </c>
      <c r="O20" s="238">
        <f>1/(1+'[91]Asumsi I'!$C$3)^(KKF!A20)</f>
        <v>0.22917419012981158</v>
      </c>
      <c r="P20" s="239">
        <f t="shared" ca="1" si="7"/>
        <v>1.5051514002137114</v>
      </c>
      <c r="Q20" s="239">
        <f t="shared" ca="1" si="9"/>
        <v>-3.6718482078405623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25440</v>
      </c>
      <c r="D21" s="239">
        <f t="shared" si="5"/>
        <v>4240</v>
      </c>
      <c r="E21" s="239">
        <f t="shared" si="0"/>
        <v>21200</v>
      </c>
      <c r="F21" s="237"/>
      <c r="G21" s="241">
        <f ca="1">DATA!$D$11/1000000</f>
        <v>1.984755889553</v>
      </c>
      <c r="H21" s="241">
        <f>C21*DATA!$D$5/1000000</f>
        <v>27.5801411673547</v>
      </c>
      <c r="I21" s="241">
        <f>(C21*DATA!$D$5*DATA!$D$7)/1000000</f>
        <v>0.62055317626548068</v>
      </c>
      <c r="J21" s="239">
        <f t="shared" ca="1" si="1"/>
        <v>30.185450233173182</v>
      </c>
      <c r="K21" s="237"/>
      <c r="L21" s="239">
        <f>((D21*DATA!$D$23)/1000000)+((E21*DATA!$D$24)/1000000)</f>
        <v>36.753168000000002</v>
      </c>
      <c r="M21" s="239">
        <f t="shared" si="2"/>
        <v>36.753168000000002</v>
      </c>
      <c r="N21" s="239">
        <f t="shared" ca="1" si="6"/>
        <v>6.5677177668268207</v>
      </c>
      <c r="O21" s="238">
        <f>1/(1+'[91]Asumsi I'!$C$3)^(KKF!A21)</f>
        <v>0.20461981261590317</v>
      </c>
      <c r="P21" s="239">
        <f t="shared" ca="1" si="7"/>
        <v>1.3438851787622421</v>
      </c>
      <c r="Q21" s="239">
        <f t="shared" ca="1" si="9"/>
        <v>-2.3279630290783202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25440</v>
      </c>
      <c r="D22" s="239">
        <f t="shared" si="5"/>
        <v>4240</v>
      </c>
      <c r="E22" s="239">
        <f t="shared" si="0"/>
        <v>21200</v>
      </c>
      <c r="F22" s="237"/>
      <c r="G22" s="241">
        <f ca="1">DATA!$D$11/1000000</f>
        <v>1.984755889553</v>
      </c>
      <c r="H22" s="241">
        <f>C22*DATA!$D$5/1000000</f>
        <v>27.5801411673547</v>
      </c>
      <c r="I22" s="241">
        <f>(C22*DATA!$D$5*DATA!$D$7)/1000000</f>
        <v>0.62055317626548068</v>
      </c>
      <c r="J22" s="239">
        <f t="shared" ca="1" si="1"/>
        <v>30.185450233173182</v>
      </c>
      <c r="K22" s="237"/>
      <c r="L22" s="239">
        <f>((D22*DATA!$D$23)/1000000)+((E22*DATA!$D$24)/1000000)</f>
        <v>36.753168000000002</v>
      </c>
      <c r="M22" s="239">
        <f t="shared" si="2"/>
        <v>36.753168000000002</v>
      </c>
      <c r="N22" s="239">
        <f t="shared" ca="1" si="6"/>
        <v>6.5677177668268207</v>
      </c>
      <c r="O22" s="238">
        <f>1/(1+'[91]Asumsi I'!$C$3)^(KKF!A22)</f>
        <v>0.18269626126419927</v>
      </c>
      <c r="P22" s="239">
        <f t="shared" ca="1" si="7"/>
        <v>1.1998974810377163</v>
      </c>
      <c r="Q22" s="239">
        <f t="shared" ca="1" si="9"/>
        <v>-1.1280655480406039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25440</v>
      </c>
      <c r="D23" s="239">
        <f t="shared" si="5"/>
        <v>4240</v>
      </c>
      <c r="E23" s="239">
        <f t="shared" si="0"/>
        <v>21200</v>
      </c>
      <c r="F23" s="237"/>
      <c r="G23" s="241">
        <f ca="1">DATA!$D$11/1000000</f>
        <v>1.984755889553</v>
      </c>
      <c r="H23" s="241">
        <f>C23*DATA!$D$5/1000000</f>
        <v>27.5801411673547</v>
      </c>
      <c r="I23" s="241">
        <f>(C23*DATA!$D$5*DATA!$D$7)/1000000</f>
        <v>0.62055317626548068</v>
      </c>
      <c r="J23" s="239">
        <f t="shared" ca="1" si="1"/>
        <v>30.185450233173182</v>
      </c>
      <c r="K23" s="237"/>
      <c r="L23" s="239">
        <f>((D23*DATA!$D$23)/1000000)+((E23*DATA!$D$24)/1000000)</f>
        <v>36.753168000000002</v>
      </c>
      <c r="M23" s="239">
        <f t="shared" si="2"/>
        <v>36.753168000000002</v>
      </c>
      <c r="N23" s="239">
        <f t="shared" ca="1" si="6"/>
        <v>6.5677177668268207</v>
      </c>
      <c r="O23" s="238">
        <f>1/(1+'[91]Asumsi I'!$C$3)^(KKF!A23)</f>
        <v>0.16312166184303503</v>
      </c>
      <c r="P23" s="239">
        <f t="shared" ca="1" si="7"/>
        <v>1.0713370366408179</v>
      </c>
      <c r="Q23" s="239">
        <f t="shared" ca="1" si="9"/>
        <v>-5.6728511399785964E-2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25440</v>
      </c>
      <c r="D24" s="239">
        <f t="shared" si="5"/>
        <v>4240</v>
      </c>
      <c r="E24" s="239">
        <f t="shared" si="0"/>
        <v>21200</v>
      </c>
      <c r="F24" s="237"/>
      <c r="G24" s="241">
        <f ca="1">DATA!$D$11/1000000</f>
        <v>1.984755889553</v>
      </c>
      <c r="H24" s="241">
        <f>C24*DATA!$D$5/1000000</f>
        <v>27.5801411673547</v>
      </c>
      <c r="I24" s="241">
        <f>(C24*DATA!$D$5*DATA!$D$7)/1000000</f>
        <v>0.62055317626548068</v>
      </c>
      <c r="J24" s="239">
        <f t="shared" ca="1" si="1"/>
        <v>30.185450233173182</v>
      </c>
      <c r="K24" s="237"/>
      <c r="L24" s="239">
        <f>((D24*DATA!$D$23)/1000000)+((E24*DATA!$D$24)/1000000)</f>
        <v>36.753168000000002</v>
      </c>
      <c r="M24" s="239">
        <f t="shared" si="2"/>
        <v>36.753168000000002</v>
      </c>
      <c r="N24" s="239">
        <f t="shared" ca="1" si="6"/>
        <v>6.5677177668268207</v>
      </c>
      <c r="O24" s="238">
        <f>1/(1+'[91]Asumsi I'!$C$3)^(KKF!A24)</f>
        <v>0.14564434093128129</v>
      </c>
      <c r="P24" s="239">
        <f t="shared" ca="1" si="7"/>
        <v>0.95655092557215882</v>
      </c>
      <c r="Q24" s="239">
        <f t="shared" ca="1" si="9"/>
        <v>0.89982241417237285</v>
      </c>
      <c r="S24" s="227" t="str">
        <f t="shared" ca="1" si="3"/>
        <v/>
      </c>
      <c r="T24" s="243">
        <f t="shared" ca="1" si="10"/>
        <v>16.862993136106226</v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25440</v>
      </c>
      <c r="D25" s="239">
        <f t="shared" si="5"/>
        <v>4240</v>
      </c>
      <c r="E25" s="239">
        <f t="shared" si="0"/>
        <v>21200</v>
      </c>
      <c r="F25" s="237"/>
      <c r="G25" s="241">
        <f ca="1">DATA!$D$11/1000000</f>
        <v>1.984755889553</v>
      </c>
      <c r="H25" s="241">
        <f>C25*DATA!$D$5/1000000</f>
        <v>27.5801411673547</v>
      </c>
      <c r="I25" s="241">
        <f>(C25*DATA!$D$5*DATA!$D$7)/1000000</f>
        <v>0.62055317626548068</v>
      </c>
      <c r="J25" s="239">
        <f t="shared" ca="1" si="1"/>
        <v>30.185450233173182</v>
      </c>
      <c r="K25" s="237"/>
      <c r="L25" s="239">
        <f>((D25*DATA!$D$23)/1000000)+((E25*DATA!$D$24)/1000000)</f>
        <v>36.753168000000002</v>
      </c>
      <c r="M25" s="239">
        <f t="shared" si="2"/>
        <v>36.753168000000002</v>
      </c>
      <c r="N25" s="239">
        <f t="shared" ca="1" si="6"/>
        <v>6.5677177668268207</v>
      </c>
      <c r="O25" s="238">
        <f>1/(1+'[91]Asumsi I'!$C$3)^(KKF!A25)</f>
        <v>0.13003959011721541</v>
      </c>
      <c r="P25" s="239">
        <f t="shared" ca="1" si="7"/>
        <v>0.85406332640371307</v>
      </c>
      <c r="Q25" s="239">
        <f t="shared" ca="1" si="9"/>
        <v>1.7538857405760859</v>
      </c>
      <c r="S25" s="227" t="str">
        <f t="shared" ca="1" si="3"/>
        <v/>
      </c>
      <c r="T25" s="243">
        <f t="shared" ca="1" si="10"/>
        <v>17.732953545989009</v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25440</v>
      </c>
      <c r="D26" s="239">
        <f t="shared" si="5"/>
        <v>4240</v>
      </c>
      <c r="E26" s="239">
        <f t="shared" si="0"/>
        <v>21200</v>
      </c>
      <c r="F26" s="237"/>
      <c r="G26" s="241">
        <f ca="1">DATA!$D$11/1000000</f>
        <v>1.984755889553</v>
      </c>
      <c r="H26" s="241">
        <f>C26*DATA!$D$5/1000000</f>
        <v>27.5801411673547</v>
      </c>
      <c r="I26" s="241">
        <f>(C26*DATA!$D$5*DATA!$D$7)/1000000</f>
        <v>0.62055317626548068</v>
      </c>
      <c r="J26" s="239">
        <f t="shared" ca="1" si="1"/>
        <v>30.185450233173182</v>
      </c>
      <c r="K26" s="237"/>
      <c r="L26" s="239">
        <f>((D26*DATA!$D$23)/1000000)+((E26*DATA!$D$24)/1000000)</f>
        <v>36.753168000000002</v>
      </c>
      <c r="M26" s="239">
        <f t="shared" si="2"/>
        <v>36.753168000000002</v>
      </c>
      <c r="N26" s="239">
        <f t="shared" ca="1" si="6"/>
        <v>6.5677177668268207</v>
      </c>
      <c r="O26" s="238">
        <f>1/(1+'[91]Asumsi I'!$C$3)^(KKF!A26)</f>
        <v>0.1161067768903709</v>
      </c>
      <c r="P26" s="239">
        <f t="shared" ca="1" si="7"/>
        <v>0.76255654143188667</v>
      </c>
      <c r="Q26" s="239">
        <f t="shared" ca="1" si="9"/>
        <v>2.5164422820079726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25440</v>
      </c>
      <c r="D27" s="239">
        <f t="shared" si="5"/>
        <v>4240</v>
      </c>
      <c r="E27" s="239">
        <f t="shared" si="0"/>
        <v>21200</v>
      </c>
      <c r="F27" s="237"/>
      <c r="G27" s="241">
        <f ca="1">DATA!$D$11/1000000</f>
        <v>1.984755889553</v>
      </c>
      <c r="H27" s="241">
        <f>C27*DATA!$D$5/1000000</f>
        <v>27.5801411673547</v>
      </c>
      <c r="I27" s="241">
        <f>(C27*DATA!$D$5*DATA!$D$7)/1000000</f>
        <v>0.62055317626548068</v>
      </c>
      <c r="J27" s="239">
        <f t="shared" ca="1" si="1"/>
        <v>30.185450233173182</v>
      </c>
      <c r="K27" s="237"/>
      <c r="L27" s="239">
        <f>((D27*DATA!$D$23)/1000000)+((E27*DATA!$D$24)/1000000)</f>
        <v>36.753168000000002</v>
      </c>
      <c r="M27" s="239">
        <f t="shared" si="2"/>
        <v>36.753168000000002</v>
      </c>
      <c r="N27" s="239">
        <f t="shared" ca="1" si="6"/>
        <v>6.5677177668268207</v>
      </c>
      <c r="O27" s="238">
        <f>1/(1+'[91]Asumsi I'!$C$3)^(KKF!A27)</f>
        <v>0.1036667650806883</v>
      </c>
      <c r="P27" s="239">
        <f t="shared" ca="1" si="7"/>
        <v>0.6808540548498988</v>
      </c>
      <c r="Q27" s="239">
        <f t="shared" ca="1" si="9"/>
        <v>3.1972963368578715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25440</v>
      </c>
      <c r="D28" s="239">
        <f t="shared" si="5"/>
        <v>4240</v>
      </c>
      <c r="E28" s="239">
        <f t="shared" si="0"/>
        <v>21200</v>
      </c>
      <c r="F28" s="237"/>
      <c r="G28" s="241">
        <f ca="1">DATA!$D$11/1000000</f>
        <v>1.984755889553</v>
      </c>
      <c r="H28" s="241">
        <f>C28*DATA!$D$5/1000000</f>
        <v>27.5801411673547</v>
      </c>
      <c r="I28" s="241">
        <f>(C28*DATA!$D$5*DATA!$D$7)/1000000</f>
        <v>0.62055317626548068</v>
      </c>
      <c r="J28" s="239">
        <f t="shared" ca="1" si="1"/>
        <v>30.185450233173182</v>
      </c>
      <c r="K28" s="237"/>
      <c r="L28" s="239">
        <f>((D28*DATA!$D$23)/1000000)+((E28*DATA!$D$24)/1000000)</f>
        <v>36.753168000000002</v>
      </c>
      <c r="M28" s="239">
        <f t="shared" si="2"/>
        <v>36.753168000000002</v>
      </c>
      <c r="N28" s="239">
        <f t="shared" ca="1" si="6"/>
        <v>6.5677177668268207</v>
      </c>
      <c r="O28" s="238">
        <f>1/(1+'[91]Asumsi I'!$C$3)^(KKF!A28)</f>
        <v>9.2559611679185971E-2</v>
      </c>
      <c r="P28" s="239">
        <f t="shared" ca="1" si="7"/>
        <v>0.60790540611598098</v>
      </c>
      <c r="Q28" s="239">
        <f t="shared" ca="1" si="9"/>
        <v>3.8052017429738525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25440</v>
      </c>
      <c r="D29" s="239">
        <f t="shared" si="5"/>
        <v>4240</v>
      </c>
      <c r="E29" s="239">
        <f t="shared" si="0"/>
        <v>21200</v>
      </c>
      <c r="F29" s="237"/>
      <c r="G29" s="241">
        <f ca="1">DATA!$D$11/1000000</f>
        <v>1.984755889553</v>
      </c>
      <c r="H29" s="241">
        <f>C29*DATA!$D$5/1000000</f>
        <v>27.5801411673547</v>
      </c>
      <c r="I29" s="241">
        <f>(C29*DATA!$D$5*DATA!$D$7)/1000000</f>
        <v>0.62055317626548068</v>
      </c>
      <c r="J29" s="239">
        <f t="shared" ca="1" si="1"/>
        <v>30.185450233173182</v>
      </c>
      <c r="K29" s="237"/>
      <c r="L29" s="239">
        <f>((D29*DATA!$D$23)/1000000)+((E29*DATA!$D$24)/1000000)</f>
        <v>36.753168000000002</v>
      </c>
      <c r="M29" s="239">
        <f t="shared" si="2"/>
        <v>36.753168000000002</v>
      </c>
      <c r="N29" s="239">
        <f t="shared" ca="1" si="6"/>
        <v>6.5677177668268207</v>
      </c>
      <c r="O29" s="238">
        <f>1/(1+'[91]Asumsi I'!$C$3)^(KKF!A29)</f>
        <v>8.2642510427844609E-2</v>
      </c>
      <c r="P29" s="239">
        <f t="shared" ca="1" si="7"/>
        <v>0.54277268403212586</v>
      </c>
      <c r="Q29" s="239">
        <f t="shared" ca="1" si="9"/>
        <v>4.3479744270059779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25440</v>
      </c>
      <c r="D30" s="239">
        <f t="shared" si="5"/>
        <v>4240</v>
      </c>
      <c r="E30" s="239">
        <f t="shared" si="0"/>
        <v>21200</v>
      </c>
      <c r="F30" s="237"/>
      <c r="G30" s="241">
        <f ca="1">DATA!$D$11/1000000</f>
        <v>1.984755889553</v>
      </c>
      <c r="H30" s="241">
        <f>C30*DATA!$D$5/1000000</f>
        <v>27.5801411673547</v>
      </c>
      <c r="I30" s="241">
        <f>(C30*DATA!$D$5*DATA!$D$7)/1000000</f>
        <v>0.62055317626548068</v>
      </c>
      <c r="J30" s="239">
        <f t="shared" ca="1" si="1"/>
        <v>30.185450233173182</v>
      </c>
      <c r="K30" s="237"/>
      <c r="L30" s="239">
        <f>((D30*DATA!$D$23)/1000000)+((E30*DATA!$D$24)/1000000)</f>
        <v>36.753168000000002</v>
      </c>
      <c r="M30" s="239">
        <f t="shared" si="2"/>
        <v>36.753168000000002</v>
      </c>
      <c r="N30" s="239">
        <f t="shared" ca="1" si="6"/>
        <v>6.5677177668268207</v>
      </c>
      <c r="O30" s="238">
        <f>1/(1+'[91]Asumsi I'!$C$3)^(KKF!A30)</f>
        <v>7.3787955739146982E-2</v>
      </c>
      <c r="P30" s="239">
        <f t="shared" ca="1" si="7"/>
        <v>0.48461846788582669</v>
      </c>
      <c r="Q30" s="239">
        <f t="shared" ca="1" si="9"/>
        <v>4.8325928948918042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25440</v>
      </c>
      <c r="D31" s="239">
        <f t="shared" si="5"/>
        <v>4240</v>
      </c>
      <c r="E31" s="239">
        <f t="shared" si="0"/>
        <v>21200</v>
      </c>
      <c r="F31" s="237"/>
      <c r="G31" s="241">
        <f ca="1">DATA!$D$11/1000000</f>
        <v>1.984755889553</v>
      </c>
      <c r="H31" s="241">
        <f>C31*DATA!$D$5/1000000</f>
        <v>27.5801411673547</v>
      </c>
      <c r="I31" s="241">
        <f>(C31*DATA!$D$5*DATA!$D$7)/1000000</f>
        <v>0.62055317626548068</v>
      </c>
      <c r="J31" s="239">
        <f t="shared" ca="1" si="1"/>
        <v>30.185450233173182</v>
      </c>
      <c r="K31" s="237"/>
      <c r="L31" s="239">
        <f>((D31*DATA!$D$23)/1000000)+((E31*DATA!$D$24)/1000000)</f>
        <v>36.753168000000002</v>
      </c>
      <c r="M31" s="239">
        <f t="shared" si="2"/>
        <v>36.753168000000002</v>
      </c>
      <c r="N31" s="239">
        <f t="shared" ca="1" si="6"/>
        <v>6.5677177668268207</v>
      </c>
      <c r="O31" s="238">
        <f>1/(1+'[91]Asumsi I'!$C$3)^(KKF!A31)</f>
        <v>6.5882103338524081E-2</v>
      </c>
      <c r="P31" s="239">
        <f t="shared" ca="1" si="7"/>
        <v>0.43269506061234519</v>
      </c>
      <c r="Q31" s="239">
        <f ca="1">Q30+P31</f>
        <v>5.2652879555041494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25440</v>
      </c>
      <c r="D32" s="239">
        <f t="shared" si="5"/>
        <v>4240</v>
      </c>
      <c r="E32" s="239">
        <f t="shared" si="0"/>
        <v>21200</v>
      </c>
      <c r="F32" s="237"/>
      <c r="G32" s="241">
        <f ca="1">DATA!$D$11/1000000</f>
        <v>1.984755889553</v>
      </c>
      <c r="H32" s="241">
        <f>C32*DATA!$D$5/1000000</f>
        <v>27.5801411673547</v>
      </c>
      <c r="I32" s="241">
        <f>(C32*DATA!$D$5*DATA!$D$7)/1000000</f>
        <v>0.62055317626548068</v>
      </c>
      <c r="J32" s="239">
        <f t="shared" ca="1" si="1"/>
        <v>30.185450233173182</v>
      </c>
      <c r="K32" s="237"/>
      <c r="L32" s="239">
        <f>((D32*DATA!$D$23)/1000000)+((E32*DATA!$D$24)/1000000)</f>
        <v>36.753168000000002</v>
      </c>
      <c r="M32" s="239">
        <f t="shared" si="2"/>
        <v>36.753168000000002</v>
      </c>
      <c r="N32" s="239">
        <f t="shared" ca="1" si="6"/>
        <v>6.5677177668268207</v>
      </c>
      <c r="O32" s="238">
        <f>1/(1+'[91]Asumsi I'!$C$3)^(KKF!A32)</f>
        <v>5.8823306552253637E-2</v>
      </c>
      <c r="P32" s="239">
        <f t="shared" ca="1" si="7"/>
        <v>0.38633487554673673</v>
      </c>
      <c r="Q32" s="239">
        <f ca="1">Q31+P32</f>
        <v>5.6516228310508865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5" t="s">
        <v>1344</v>
      </c>
      <c r="G33" s="615"/>
      <c r="H33" s="615"/>
      <c r="I33" s="247"/>
      <c r="J33" s="248">
        <f ca="1">SUM(J7:J32)</f>
        <v>874.65926909227869</v>
      </c>
      <c r="K33" s="615" t="s">
        <v>1345</v>
      </c>
      <c r="L33" s="615"/>
      <c r="M33" s="248">
        <f>SUM(M7:M32)</f>
        <v>992.99231199999963</v>
      </c>
      <c r="N33" s="246"/>
      <c r="O33" s="246"/>
      <c r="P33" s="249"/>
      <c r="Q33" s="249"/>
      <c r="S33" s="227">
        <f ca="1">COUNTIF(S7:S32,"a")</f>
        <v>17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18.27469107597458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>
        <f ca="1">AVERAGE(T7:T32)</f>
        <v>17.297973341047616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1.1352904463363511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5.0460918134382835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0.13749459707051592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15" priority="1" stopIfTrue="1" operator="greaterThanOrEqual">
      <formula>$F$7</formula>
    </cfRule>
    <cfRule type="cellIs" dxfId="114" priority="2" stopIfTrue="1" operator="lessThan">
      <formula>$F$7</formula>
    </cfRule>
  </conditionalFormatting>
  <conditionalFormatting sqref="Q7:Q32">
    <cfRule type="cellIs" dxfId="113" priority="3" operator="lessThan">
      <formula>0</formula>
    </cfRule>
    <cfRule type="cellIs" dxfId="112" priority="4" operator="lessThan">
      <formula>0</formula>
    </cfRule>
    <cfRule type="cellIs" dxfId="111" priority="5" operator="lessThan">
      <formula>-6395.81</formula>
    </cfRule>
    <cfRule type="cellIs" dxfId="1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34"/>
  <sheetViews>
    <sheetView showGridLines="0" tabSelected="1" zoomScale="85" zoomScaleNormal="85" zoomScaleSheetLayoutView="70" workbookViewId="0">
      <pane ySplit="13" topLeftCell="A62" activePane="bottomLeft" state="frozen"/>
      <selection activeCell="H1093" sqref="H1093"/>
      <selection pane="bottomLeft" activeCell="C97" sqref="C97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8" customWidth="1"/>
    <col min="4" max="4" width="13.7109375" style="328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18" t="s">
        <v>1006</v>
      </c>
      <c r="P3" s="618"/>
      <c r="Q3" s="269"/>
      <c r="T3" s="267"/>
      <c r="U3" s="268" t="s">
        <v>1011</v>
      </c>
      <c r="V3" s="267"/>
    </row>
    <row r="4" spans="1:22" ht="15.75" customHeight="1">
      <c r="B4" s="619" t="s">
        <v>993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42" t="s">
        <v>1623</v>
      </c>
      <c r="H6" s="542"/>
      <c r="I6" s="542"/>
      <c r="J6" s="542"/>
      <c r="K6" s="542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1624</v>
      </c>
      <c r="H7" s="27"/>
      <c r="I7" s="27"/>
      <c r="J7" s="107"/>
      <c r="K7" s="432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21" t="s">
        <v>0</v>
      </c>
      <c r="C11" s="623" t="s">
        <v>1</v>
      </c>
      <c r="D11" s="626" t="s">
        <v>32</v>
      </c>
      <c r="E11" s="626" t="s">
        <v>33</v>
      </c>
      <c r="F11" s="626" t="s">
        <v>2</v>
      </c>
      <c r="G11" s="628" t="s">
        <v>31</v>
      </c>
      <c r="H11" s="626" t="s">
        <v>3</v>
      </c>
      <c r="I11" s="626"/>
      <c r="J11" s="626"/>
      <c r="K11" s="633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2"/>
      <c r="C12" s="624"/>
      <c r="D12" s="627"/>
      <c r="E12" s="627"/>
      <c r="F12" s="627"/>
      <c r="G12" s="629"/>
      <c r="H12" s="631" t="s">
        <v>36</v>
      </c>
      <c r="I12" s="631" t="s">
        <v>5</v>
      </c>
      <c r="J12" s="627" t="s">
        <v>37</v>
      </c>
      <c r="K12" s="634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2"/>
      <c r="C13" s="625"/>
      <c r="D13" s="627"/>
      <c r="E13" s="627"/>
      <c r="F13" s="627"/>
      <c r="G13" s="630"/>
      <c r="H13" s="632"/>
      <c r="I13" s="632"/>
      <c r="J13" s="627"/>
      <c r="K13" s="634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69" t="s">
        <v>470</v>
      </c>
      <c r="C15" s="470" t="s">
        <v>1572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8" ca="1" si="0">IF(OR(D15="MDU",D15="MDU-KD"),(IF($O$3="RAB NON MDU","PLN KD",G15*F15)),0)</f>
        <v>0</v>
      </c>
      <c r="I15" s="284">
        <f t="shared" ref="I15:I18" ca="1" si="1">IF(D15="HDW",G15*F15,0)</f>
        <v>0</v>
      </c>
      <c r="J15" s="284">
        <f t="shared" ref="J15:J18" ca="1" si="2">IF(D15="JASA",G15*F15,0)</f>
        <v>0</v>
      </c>
      <c r="K15" s="285">
        <f t="shared" ref="K15:K22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2"/>
      <c r="C16" s="109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ref="H16" ca="1" si="4">IF(OR(D16="MDU",D16="MDU-KD"),(IF($O$3="RAB NON MDU","PLN KD",G16*F16)),0)</f>
        <v>0</v>
      </c>
      <c r="I16" s="284">
        <f t="shared" ref="I16" ca="1" si="5">IF(D16="HDW",G16*F16,0)</f>
        <v>0</v>
      </c>
      <c r="J16" s="284">
        <f t="shared" ref="J16" ca="1" si="6">IF(D16="JASA",G16*F16,0)</f>
        <v>0</v>
      </c>
      <c r="K16" s="285">
        <f t="shared" ref="K16" ca="1" si="7">SUM(H16:J16)</f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2" t="s">
        <v>1005</v>
      </c>
      <c r="C17" s="109" t="s">
        <v>94</v>
      </c>
      <c r="D17" s="281" t="str">
        <f ca="1">IF(ISERROR(OFFSET('HARGA SATUAN'!$D$6,MATCH(RAB!C17,'HARGA SATUAN'!$C$7:$C$1492,0),0)),"",OFFSET('HARGA SATUAN'!$D$6,MATCH(RAB!C17,'HARGA SATUAN'!$C$7:$C$1492,0),0))</f>
        <v>HDW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6074400</v>
      </c>
      <c r="H17" s="284">
        <f t="shared" ca="1" si="0"/>
        <v>0</v>
      </c>
      <c r="I17" s="284">
        <f t="shared" ca="1" si="1"/>
        <v>6074400</v>
      </c>
      <c r="J17" s="284">
        <f t="shared" ca="1" si="2"/>
        <v>0</v>
      </c>
      <c r="K17" s="285">
        <f t="shared" ca="1" si="3"/>
        <v>6074400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72" t="s">
        <v>1005</v>
      </c>
      <c r="C18" s="292" t="s">
        <v>6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1</v>
      </c>
      <c r="G18" s="283">
        <f ca="1">IF(ISERROR(OFFSET('HARGA SATUAN'!$I$6,MATCH(RAB!C18,'HARGA SATUAN'!$C$7:$C$1492,0),0)),0,OFFSET('HARGA SATUAN'!$I$6,MATCH(RAB!C18,'HARGA SATUAN'!$C$7:$C$1492,0),0))</f>
        <v>10066.666666666668</v>
      </c>
      <c r="H18" s="284">
        <f t="shared" ca="1" si="0"/>
        <v>0</v>
      </c>
      <c r="I18" s="284">
        <f t="shared" ca="1" si="1"/>
        <v>0</v>
      </c>
      <c r="J18" s="284">
        <f t="shared" ca="1" si="2"/>
        <v>10066.666666666668</v>
      </c>
      <c r="K18" s="285">
        <f t="shared" ca="1" si="3"/>
        <v>10066.666666666668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72" t="s">
        <v>1005</v>
      </c>
      <c r="C19" s="109" t="s">
        <v>451</v>
      </c>
      <c r="D19" s="281" t="str">
        <f ca="1">IF(ISERROR(OFFSET('HARGA SATUAN'!$D$6,MATCH(RAB!C19,'HARGA SATUAN'!$C$7:$C$1492,0),0)),"",OFFSET('HARGA SATUAN'!$D$6,MATCH(RAB!C19,'HARGA SATUAN'!$C$7:$C$1492,0),0))</f>
        <v>HDW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1</v>
      </c>
      <c r="G19" s="283">
        <f ca="1">IF(ISERROR(OFFSET('HARGA SATUAN'!$I$6,MATCH(RAB!C19,'HARGA SATUAN'!$C$7:$C$1492,0),0)),0,OFFSET('HARGA SATUAN'!$I$6,MATCH(RAB!C19,'HARGA SATUAN'!$C$7:$C$1492,0),0))</f>
        <v>200000</v>
      </c>
      <c r="H19" s="284">
        <f t="shared" ref="H19:H21" ca="1" si="8">IF(OR(D19="MDU",D19="MDU-KD"),(IF($O$3="RAB NON MDU","PLN KD",G19*F19)),0)</f>
        <v>0</v>
      </c>
      <c r="I19" s="284">
        <f t="shared" ref="I19:I21" ca="1" si="9">IF(D19="HDW",G19*F19,0)</f>
        <v>200000</v>
      </c>
      <c r="J19" s="284">
        <f t="shared" ref="J19:J21" ca="1" si="10">IF(D19="JASA",G19*F19,0)</f>
        <v>0</v>
      </c>
      <c r="K19" s="285">
        <f t="shared" ref="K19:K21" ca="1" si="11">SUM(H19:J19)</f>
        <v>200000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72" t="s">
        <v>1005</v>
      </c>
      <c r="C20" s="292" t="s">
        <v>351</v>
      </c>
      <c r="D20" s="281" t="str">
        <f ca="1">IF(ISERROR(OFFSET('HARGA SATUAN'!$D$6,MATCH(RAB!C20,'HARGA SATUAN'!$C$7:$C$1492,0),0)),"",OFFSET('HARGA SATUAN'!$D$6,MATCH(RAB!C20,'HARGA SATUAN'!$C$7:$C$1492,0),0))</f>
        <v>JASA</v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289">
        <v>1</v>
      </c>
      <c r="G20" s="283">
        <f ca="1">IF(ISERROR(OFFSET('HARGA SATUAN'!$I$6,MATCH(RAB!C20,'HARGA SATUAN'!$C$7:$C$1492,0),0)),0,OFFSET('HARGA SATUAN'!$I$6,MATCH(RAB!C20,'HARGA SATUAN'!$C$7:$C$1492,0),0))</f>
        <v>852274</v>
      </c>
      <c r="H20" s="284">
        <f t="shared" ca="1" si="8"/>
        <v>0</v>
      </c>
      <c r="I20" s="284">
        <f t="shared" ca="1" si="9"/>
        <v>0</v>
      </c>
      <c r="J20" s="284">
        <f t="shared" ca="1" si="10"/>
        <v>852274</v>
      </c>
      <c r="K20" s="285">
        <f t="shared" ca="1" si="11"/>
        <v>852274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71"/>
      <c r="C21" s="280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392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ca="1" si="8"/>
        <v>0</v>
      </c>
      <c r="I21" s="284">
        <f t="shared" ca="1" si="9"/>
        <v>0</v>
      </c>
      <c r="J21" s="284">
        <f t="shared" ca="1" si="10"/>
        <v>0</v>
      </c>
      <c r="K21" s="285">
        <f t="shared" ca="1" si="11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1" t="s">
        <v>495</v>
      </c>
      <c r="C22" s="280" t="s">
        <v>1642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2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ref="H22:H43" ca="1" si="12">IF(OR(D22="MDU",D22="MDU-KD"),(IF($O$3="RAB NON MDU","PLN KD",G22*F22)),0)</f>
        <v>0</v>
      </c>
      <c r="I22" s="284">
        <f t="shared" ref="I22:I43" ca="1" si="13">IF(D22="HDW",G22*F22,0)</f>
        <v>0</v>
      </c>
      <c r="J22" s="284">
        <f t="shared" ref="J22:J43" ca="1" si="14">IF(D22="JASA",G22*F22,0)</f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518"/>
      <c r="C23" s="521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505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ref="H23:H39" ca="1" si="15">IF(OR(D23="MDU",D23="MDU-KD"),(IF($O$3="RAB NON MDU","PLN KD",G23*F23)),0)</f>
        <v>0</v>
      </c>
      <c r="I23" s="284">
        <f t="shared" ref="I23:I39" ca="1" si="16">IF(D23="HDW",G23*F23,0)</f>
        <v>0</v>
      </c>
      <c r="J23" s="284">
        <f t="shared" ref="J23:J39" ca="1" si="17">IF(D23="JASA",G23*F23,0)</f>
        <v>0</v>
      </c>
      <c r="K23" s="285">
        <f t="shared" ref="K23:K26" ca="1" si="18">SUM(H23:J23)</f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720" t="s">
        <v>1005</v>
      </c>
      <c r="C24" s="721" t="s">
        <v>1638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718">
        <v>1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15"/>
        <v>0</v>
      </c>
      <c r="I24" s="284">
        <f t="shared" ca="1" si="16"/>
        <v>0</v>
      </c>
      <c r="J24" s="284">
        <f t="shared" ca="1" si="17"/>
        <v>0</v>
      </c>
      <c r="K24" s="285">
        <f t="shared" ca="1" si="18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720">
        <v>1</v>
      </c>
      <c r="C25" s="721" t="s">
        <v>1525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718">
        <f>F24*1</f>
        <v>1</v>
      </c>
      <c r="G25" s="283">
        <f ca="1">IF(ISERROR(OFFSET('HARGA SATUAN'!$I$6,MATCH(RAB!C25,'HARGA SATUAN'!$C$7:$C$1492,0),0)),0,OFFSET('HARGA SATUAN'!$I$6,MATCH(RAB!C25,'HARGA SATUAN'!$C$7:$C$1492,0),0))</f>
        <v>235900</v>
      </c>
      <c r="H25" s="284">
        <f t="shared" ca="1" si="15"/>
        <v>235900</v>
      </c>
      <c r="I25" s="284">
        <f t="shared" ca="1" si="16"/>
        <v>0</v>
      </c>
      <c r="J25" s="284">
        <f t="shared" ca="1" si="17"/>
        <v>0</v>
      </c>
      <c r="K25" s="285">
        <f t="shared" ca="1" si="18"/>
        <v>235900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IF(AND(C26=0,#REF!=0,#REF!=0),"BLANKS",1)</f>
        <v>#REF!</v>
      </c>
      <c r="B26" s="720">
        <v>2</v>
      </c>
      <c r="C26" s="721" t="s">
        <v>1525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718">
        <f>F24*2</f>
        <v>2</v>
      </c>
      <c r="G26" s="283">
        <f ca="1">IF(ISERROR(OFFSET('HARGA SATUAN'!$I$6,MATCH(RAB!C26,'HARGA SATUAN'!$C$7:$C$1492,0),0)),0,OFFSET('HARGA SATUAN'!$I$6,MATCH(RAB!C26,'HARGA SATUAN'!$C$7:$C$1492,0),0))</f>
        <v>235900</v>
      </c>
      <c r="H26" s="284">
        <f t="shared" ca="1" si="15"/>
        <v>471800</v>
      </c>
      <c r="I26" s="284">
        <f t="shared" ca="1" si="16"/>
        <v>0</v>
      </c>
      <c r="J26" s="284">
        <f t="shared" ca="1" si="17"/>
        <v>0</v>
      </c>
      <c r="K26" s="285">
        <f t="shared" ca="1" si="18"/>
        <v>471800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IF(AND(C27=0,#REF!=0,#REF!=0),"BLANKS",1)</f>
        <v>#REF!</v>
      </c>
      <c r="B27" s="720">
        <v>3</v>
      </c>
      <c r="C27" s="721" t="s">
        <v>18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718">
        <f>F24*3</f>
        <v>3</v>
      </c>
      <c r="G27" s="283">
        <f ca="1">IF(ISERROR(OFFSET('HARGA SATUAN'!$I$6,MATCH(RAB!C27,'HARGA SATUAN'!$C$7:$C$1492,0),0)),0,OFFSET('HARGA SATUAN'!$I$6,MATCH(RAB!C27,'HARGA SATUAN'!$C$7:$C$1492,0),0))</f>
        <v>26500</v>
      </c>
      <c r="H27" s="284">
        <f t="shared" ca="1" si="15"/>
        <v>0</v>
      </c>
      <c r="I27" s="284">
        <f t="shared" ca="1" si="16"/>
        <v>79500</v>
      </c>
      <c r="J27" s="284">
        <f t="shared" ca="1" si="17"/>
        <v>0</v>
      </c>
      <c r="K27" s="285">
        <f t="shared" ref="K27:K39" ca="1" si="19">SUM(H27:J27)</f>
        <v>79500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s">
        <v>1413</v>
      </c>
      <c r="B28" s="720">
        <v>4</v>
      </c>
      <c r="C28" s="721" t="s">
        <v>153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718">
        <f>F24*2</f>
        <v>2</v>
      </c>
      <c r="G28" s="283">
        <f ca="1">IF(ISERROR(OFFSET('HARGA SATUAN'!$I$6,MATCH(RAB!C28,'HARGA SATUAN'!$C$7:$C$1492,0),0)),0,OFFSET('HARGA SATUAN'!$I$6,MATCH(RAB!C28,'HARGA SATUAN'!$C$7:$C$1492,0),0))</f>
        <v>7938</v>
      </c>
      <c r="H28" s="284">
        <f t="shared" ca="1" si="15"/>
        <v>0</v>
      </c>
      <c r="I28" s="284">
        <f t="shared" ca="1" si="16"/>
        <v>15876</v>
      </c>
      <c r="J28" s="284">
        <f t="shared" ca="1" si="17"/>
        <v>0</v>
      </c>
      <c r="K28" s="285">
        <f t="shared" ca="1" si="19"/>
        <v>15876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IF(AND(C29=0,#REF!=0,#REF!=0),"BLANKS",1)</f>
        <v>#REF!</v>
      </c>
      <c r="B29" s="720">
        <v>5</v>
      </c>
      <c r="C29" s="721" t="s">
        <v>158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718">
        <f>F24*1</f>
        <v>1</v>
      </c>
      <c r="G29" s="283">
        <f ca="1">IF(ISERROR(OFFSET('HARGA SATUAN'!$I$6,MATCH(RAB!C29,'HARGA SATUAN'!$C$7:$C$1492,0),0)),0,OFFSET('HARGA SATUAN'!$I$6,MATCH(RAB!C29,'HARGA SATUAN'!$C$7:$C$1492,0),0))</f>
        <v>33600</v>
      </c>
      <c r="H29" s="284">
        <f t="shared" ca="1" si="15"/>
        <v>0</v>
      </c>
      <c r="I29" s="284">
        <f t="shared" ca="1" si="16"/>
        <v>33600</v>
      </c>
      <c r="J29" s="284">
        <f t="shared" ca="1" si="17"/>
        <v>0</v>
      </c>
      <c r="K29" s="285">
        <f t="shared" ca="1" si="19"/>
        <v>33600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IF(AND(C30=0,#REF!=0,#REF!=0),"BLANKS",1)</f>
        <v>#REF!</v>
      </c>
      <c r="B30" s="720">
        <v>6</v>
      </c>
      <c r="C30" s="721" t="s">
        <v>163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718">
        <f>F24*2</f>
        <v>2</v>
      </c>
      <c r="G30" s="283">
        <f ca="1">IF(ISERROR(OFFSET('HARGA SATUAN'!$I$6,MATCH(RAB!C30,'HARGA SATUAN'!$C$7:$C$1492,0),0)),0,OFFSET('HARGA SATUAN'!$I$6,MATCH(RAB!C30,'HARGA SATUAN'!$C$7:$C$1492,0),0))</f>
        <v>45000</v>
      </c>
      <c r="H30" s="284">
        <f t="shared" ca="1" si="15"/>
        <v>0</v>
      </c>
      <c r="I30" s="284">
        <f t="shared" ca="1" si="16"/>
        <v>90000</v>
      </c>
      <c r="J30" s="284">
        <f t="shared" ca="1" si="17"/>
        <v>0</v>
      </c>
      <c r="K30" s="285">
        <f t="shared" ca="1" si="19"/>
        <v>90000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720">
        <v>7</v>
      </c>
      <c r="C31" s="721" t="s">
        <v>168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718">
        <f>F24*1</f>
        <v>1</v>
      </c>
      <c r="G31" s="283">
        <f ca="1">IF(ISERROR(OFFSET('HARGA SATUAN'!$I$6,MATCH(RAB!C31,'HARGA SATUAN'!$C$7:$C$1492,0),0)),0,OFFSET('HARGA SATUAN'!$I$6,MATCH(RAB!C31,'HARGA SATUAN'!$C$7:$C$1492,0),0))</f>
        <v>95000</v>
      </c>
      <c r="H31" s="284">
        <f t="shared" ca="1" si="15"/>
        <v>0</v>
      </c>
      <c r="I31" s="284">
        <f t="shared" ca="1" si="16"/>
        <v>95000</v>
      </c>
      <c r="J31" s="284">
        <f t="shared" ca="1" si="17"/>
        <v>0</v>
      </c>
      <c r="K31" s="285">
        <f t="shared" ca="1" si="19"/>
        <v>95000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IF(AND(C32=0,#REF!=0,#REF!=0),"BLANKS",1)</f>
        <v>#REF!</v>
      </c>
      <c r="B32" s="720">
        <v>8</v>
      </c>
      <c r="C32" s="721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718">
        <f>F24*1</f>
        <v>1</v>
      </c>
      <c r="G32" s="283">
        <f ca="1">IF(ISERROR(OFFSET('HARGA SATUAN'!$I$6,MATCH(RAB!C32,'HARGA SATUAN'!$C$7:$C$1492,0),0)),0,OFFSET('HARGA SATUAN'!$I$6,MATCH(RAB!C32,'HARGA SATUAN'!$C$7:$C$1492,0),0))</f>
        <v>380500</v>
      </c>
      <c r="H32" s="284">
        <f t="shared" ca="1" si="15"/>
        <v>0</v>
      </c>
      <c r="I32" s="284">
        <f t="shared" ca="1" si="16"/>
        <v>380500</v>
      </c>
      <c r="J32" s="284">
        <f t="shared" ca="1" si="17"/>
        <v>0</v>
      </c>
      <c r="K32" s="285">
        <f t="shared" ca="1" si="19"/>
        <v>380500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/>
      <c r="B33" s="720">
        <v>9</v>
      </c>
      <c r="C33" s="721" t="s">
        <v>207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718">
        <f>F24*4</f>
        <v>4</v>
      </c>
      <c r="G33" s="283">
        <f ca="1">IF(ISERROR(OFFSET('HARGA SATUAN'!$I$6,MATCH(RAB!C33,'HARGA SATUAN'!$C$7:$C$1492,0),0)),0,OFFSET('HARGA SATUAN'!$I$6,MATCH(RAB!C33,'HARGA SATUAN'!$C$7:$C$1492,0),0))</f>
        <v>11400</v>
      </c>
      <c r="H33" s="284">
        <f t="shared" ca="1" si="15"/>
        <v>0</v>
      </c>
      <c r="I33" s="284">
        <f t="shared" ca="1" si="16"/>
        <v>45600</v>
      </c>
      <c r="J33" s="284">
        <f t="shared" ca="1" si="17"/>
        <v>0</v>
      </c>
      <c r="K33" s="285">
        <f t="shared" ca="1" si="19"/>
        <v>45600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/>
      <c r="B34" s="720">
        <v>10</v>
      </c>
      <c r="C34" s="721" t="s">
        <v>237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718">
        <f>F24*1</f>
        <v>1</v>
      </c>
      <c r="G34" s="283">
        <f ca="1">IF(ISERROR(OFFSET('HARGA SATUAN'!$I$6,MATCH(RAB!C34,'HARGA SATUAN'!$C$7:$C$1492,0),0)),0,OFFSET('HARGA SATUAN'!$I$6,MATCH(RAB!C34,'HARGA SATUAN'!$C$7:$C$1492,0),0))</f>
        <v>57690</v>
      </c>
      <c r="H34" s="284">
        <f t="shared" ca="1" si="15"/>
        <v>0</v>
      </c>
      <c r="I34" s="284">
        <f t="shared" ca="1" si="16"/>
        <v>57690</v>
      </c>
      <c r="J34" s="284">
        <f t="shared" ca="1" si="17"/>
        <v>0</v>
      </c>
      <c r="K34" s="285">
        <f t="shared" ca="1" si="19"/>
        <v>57690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IF(AND(C35=0,#REF!=0,#REF!=0),"BLANKS",1)</f>
        <v>#REF!</v>
      </c>
      <c r="B35" s="720">
        <v>11</v>
      </c>
      <c r="C35" s="721" t="s">
        <v>254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718">
        <f>F24*1</f>
        <v>1</v>
      </c>
      <c r="G35" s="283">
        <f ca="1">IF(ISERROR(OFFSET('HARGA SATUAN'!$I$6,MATCH(RAB!C35,'HARGA SATUAN'!$C$7:$C$1492,0),0)),0,OFFSET('HARGA SATUAN'!$I$6,MATCH(RAB!C35,'HARGA SATUAN'!$C$7:$C$1492,0),0))</f>
        <v>28000</v>
      </c>
      <c r="H35" s="284">
        <f t="shared" ca="1" si="15"/>
        <v>0</v>
      </c>
      <c r="I35" s="284">
        <f t="shared" ca="1" si="16"/>
        <v>28000</v>
      </c>
      <c r="J35" s="284">
        <f t="shared" ca="1" si="17"/>
        <v>0</v>
      </c>
      <c r="K35" s="285">
        <f t="shared" ca="1" si="19"/>
        <v>28000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IF(AND(C36=0,#REF!=0,#REF!=0),"BLANKS",1)</f>
        <v>#REF!</v>
      </c>
      <c r="B36" s="720">
        <v>12</v>
      </c>
      <c r="C36" s="721" t="s">
        <v>28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Mtr</v>
      </c>
      <c r="F36" s="718">
        <v>24.8</v>
      </c>
      <c r="G36" s="283">
        <f ca="1">IF(ISERROR(OFFSET('HARGA SATUAN'!$I$6,MATCH(RAB!C36,'HARGA SATUAN'!$C$7:$C$1492,0),0)),0,OFFSET('HARGA SATUAN'!$I$6,MATCH(RAB!C36,'HARGA SATUAN'!$C$7:$C$1492,0),0))</f>
        <v>8550</v>
      </c>
      <c r="H36" s="284">
        <f t="shared" ca="1" si="15"/>
        <v>0</v>
      </c>
      <c r="I36" s="284">
        <f t="shared" ca="1" si="16"/>
        <v>212040</v>
      </c>
      <c r="J36" s="284">
        <f t="shared" ca="1" si="17"/>
        <v>0</v>
      </c>
      <c r="K36" s="285">
        <f t="shared" ca="1" si="19"/>
        <v>212040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IF(AND(C37=0,#REF!=0,#REF!=0),"BLANKS",1)</f>
        <v>#REF!</v>
      </c>
      <c r="B37" s="720">
        <v>13</v>
      </c>
      <c r="C37" s="721" t="s">
        <v>16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718">
        <f>F24*5</f>
        <v>5</v>
      </c>
      <c r="G37" s="283">
        <f ca="1">IF(ISERROR(OFFSET('HARGA SATUAN'!$I$6,MATCH(RAB!C37,'HARGA SATUAN'!$C$7:$C$1492,0),0)),0,OFFSET('HARGA SATUAN'!$I$6,MATCH(RAB!C37,'HARGA SATUAN'!$C$7:$C$1492,0),0))</f>
        <v>2500</v>
      </c>
      <c r="H37" s="284">
        <f t="shared" ca="1" si="15"/>
        <v>0</v>
      </c>
      <c r="I37" s="284">
        <f t="shared" ca="1" si="16"/>
        <v>12500</v>
      </c>
      <c r="J37" s="284">
        <f t="shared" ca="1" si="17"/>
        <v>0</v>
      </c>
      <c r="K37" s="285">
        <f t="shared" ca="1" si="19"/>
        <v>12500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IF(AND(C38=0,#REF!=0,#REF!=0),"BLANKS",1)</f>
        <v>#REF!</v>
      </c>
      <c r="B38" s="720">
        <v>14</v>
      </c>
      <c r="C38" s="721" t="s">
        <v>677</v>
      </c>
      <c r="D38" s="281" t="str">
        <f ca="1">IF(ISERROR(OFFSET('HARGA SATUAN'!$D$6,MATCH(RAB!C38,'HARGA SATUAN'!$C$7:$C$1492,0),0)),"",OFFSET('HARGA SATUAN'!$D$6,MATCH(RAB!C38,'HARGA SATUAN'!$C$7:$C$1492,0),0))</f>
        <v>JASA</v>
      </c>
      <c r="E38" s="282" t="str">
        <f ca="1">IF(B38="+","Unit",IF(ISERROR(OFFSET('HARGA SATUAN'!$E$6,MATCH(RAB!C38,'HARGA SATUAN'!$C$7:$C$1492,0),0)),"",OFFSET('HARGA SATUAN'!$E$6,MATCH(RAB!C38,'HARGA SATUAN'!$C$7:$C$1492,0),0)))</f>
        <v>Unit</v>
      </c>
      <c r="F38" s="718">
        <f>F24*1</f>
        <v>1</v>
      </c>
      <c r="G38" s="283">
        <f ca="1">IF(ISERROR(OFFSET('HARGA SATUAN'!$I$6,MATCH(RAB!C38,'HARGA SATUAN'!$C$7:$C$1492,0),0)),0,OFFSET('HARGA SATUAN'!$I$6,MATCH(RAB!C38,'HARGA SATUAN'!$C$7:$C$1492,0),0))</f>
        <v>111000</v>
      </c>
      <c r="H38" s="284">
        <f t="shared" ca="1" si="15"/>
        <v>0</v>
      </c>
      <c r="I38" s="284">
        <f t="shared" ca="1" si="16"/>
        <v>0</v>
      </c>
      <c r="J38" s="284">
        <f t="shared" ca="1" si="17"/>
        <v>111000</v>
      </c>
      <c r="K38" s="285">
        <f t="shared" ca="1" si="19"/>
        <v>111000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IF(AND(C39=0,#REF!=0,#REF!=0),"BLANKS",1)</f>
        <v>#REF!</v>
      </c>
      <c r="B39" s="518"/>
      <c r="C39" s="521"/>
      <c r="D39" s="281" t="str">
        <f ca="1">IF(ISERROR(OFFSET('HARGA SATUAN'!$D$6,MATCH(RAB!C39,'HARGA SATUAN'!$C$7:$C$1492,0),0)),"",OFFSET('HARGA SATUAN'!$D$6,MATCH(RAB!C39,'HARGA SATUAN'!$C$7:$C$1492,0),0))</f>
        <v/>
      </c>
      <c r="E39" s="282" t="str">
        <f ca="1">IF(B39="+","Unit",IF(ISERROR(OFFSET('HARGA SATUAN'!$E$6,MATCH(RAB!C39,'HARGA SATUAN'!$C$7:$C$1492,0),0)),"",OFFSET('HARGA SATUAN'!$E$6,MATCH(RAB!C39,'HARGA SATUAN'!$C$7:$C$1492,0),0)))</f>
        <v/>
      </c>
      <c r="F39" s="505"/>
      <c r="G39" s="283">
        <f ca="1">IF(ISERROR(OFFSET('HARGA SATUAN'!$I$6,MATCH(RAB!C39,'HARGA SATUAN'!$C$7:$C$1492,0),0)),0,OFFSET('HARGA SATUAN'!$I$6,MATCH(RAB!C39,'HARGA SATUAN'!$C$7:$C$1492,0),0))</f>
        <v>0</v>
      </c>
      <c r="H39" s="284">
        <f t="shared" ca="1" si="15"/>
        <v>0</v>
      </c>
      <c r="I39" s="284">
        <f t="shared" ca="1" si="16"/>
        <v>0</v>
      </c>
      <c r="J39" s="284">
        <f t="shared" ca="1" si="17"/>
        <v>0</v>
      </c>
      <c r="K39" s="285">
        <f t="shared" ca="1" si="19"/>
        <v>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IF(AND(C40=0,#REF!=0,#REF!=0),"BLANKS",1)</f>
        <v>#REF!</v>
      </c>
      <c r="B40" s="518" t="s">
        <v>1005</v>
      </c>
      <c r="C40" s="521" t="s">
        <v>1629</v>
      </c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>Unit</v>
      </c>
      <c r="F40" s="505">
        <v>1</v>
      </c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12"/>
        <v>0</v>
      </c>
      <c r="I40" s="284">
        <f t="shared" ca="1" si="13"/>
        <v>0</v>
      </c>
      <c r="J40" s="284">
        <f t="shared" ca="1" si="14"/>
        <v>0</v>
      </c>
      <c r="K40" s="285">
        <f t="shared" ref="K40:K43" ca="1" si="20">SUM(H40:J40)</f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518">
        <v>1</v>
      </c>
      <c r="C41" s="521" t="s">
        <v>1116</v>
      </c>
      <c r="D41" s="281" t="str">
        <f ca="1">IF(ISERROR(OFFSET('HARGA SATUAN'!$D$6,MATCH(RAB!C41,'HARGA SATUAN'!$C$7:$C$1492,0),0)),"",OFFSET('HARGA SATUAN'!$D$6,MATCH(RAB!C41,'HARGA SATUAN'!$C$7:$C$1492,0),0))</f>
        <v>MDU-KD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05">
        <f>F40*1</f>
        <v>1</v>
      </c>
      <c r="G41" s="283">
        <f ca="1">IF(ISERROR(OFFSET('HARGA SATUAN'!$I$6,MATCH(RAB!C41,'HARGA SATUAN'!$C$7:$C$1492,0),0)),0,OFFSET('HARGA SATUAN'!$I$6,MATCH(RAB!C41,'HARGA SATUAN'!$C$7:$C$1492,0),0))</f>
        <v>42757200</v>
      </c>
      <c r="H41" s="284">
        <f t="shared" ca="1" si="12"/>
        <v>42757200</v>
      </c>
      <c r="I41" s="284">
        <f t="shared" ca="1" si="13"/>
        <v>0</v>
      </c>
      <c r="J41" s="284">
        <f t="shared" ca="1" si="14"/>
        <v>0</v>
      </c>
      <c r="K41" s="285">
        <f t="shared" ca="1" si="20"/>
        <v>42757200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IF(AND(C42=0,#REF!=0,#REF!=0),"BLANKS",1)</f>
        <v>#REF!</v>
      </c>
      <c r="B42" s="503">
        <v>2</v>
      </c>
      <c r="C42" s="504" t="s">
        <v>1620</v>
      </c>
      <c r="D42" s="281" t="str">
        <f ca="1">IF(ISERROR(OFFSET('HARGA SATUAN'!$D$6,MATCH(RAB!C42,'HARGA SATUAN'!$C$7:$C$1492,0),0)),"",OFFSET('HARGA SATUAN'!$D$6,MATCH(RAB!C42,'HARGA SATUAN'!$C$7:$C$1492,0),0))</f>
        <v/>
      </c>
      <c r="E42" s="282" t="str">
        <f ca="1">IF(B42="+","Unit",IF(ISERROR(OFFSET('HARGA SATUAN'!$E$6,MATCH(RAB!C42,'HARGA SATUAN'!$C$7:$C$1492,0),0)),"",OFFSET('HARGA SATUAN'!$E$6,MATCH(RAB!C42,'HARGA SATUAN'!$C$7:$C$1492,0),0)))</f>
        <v/>
      </c>
      <c r="F42" s="506"/>
      <c r="G42" s="283">
        <f ca="1">IF(ISERROR(OFFSET('HARGA SATUAN'!$I$6,MATCH(RAB!C42,'HARGA SATUAN'!$C$7:$C$1492,0),0)),0,OFFSET('HARGA SATUAN'!$I$6,MATCH(RAB!C42,'HARGA SATUAN'!$C$7:$C$1492,0),0))</f>
        <v>0</v>
      </c>
      <c r="H42" s="284">
        <f t="shared" ca="1" si="12"/>
        <v>0</v>
      </c>
      <c r="I42" s="284">
        <f t="shared" ca="1" si="13"/>
        <v>0</v>
      </c>
      <c r="J42" s="284">
        <f t="shared" ca="1" si="14"/>
        <v>0</v>
      </c>
      <c r="K42" s="285">
        <f t="shared" ca="1" si="20"/>
        <v>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IF(AND(C43=0,#REF!=0,#REF!=0),"BLANKS",1)</f>
        <v>#REF!</v>
      </c>
      <c r="B43" s="518"/>
      <c r="C43" s="504" t="s">
        <v>55</v>
      </c>
      <c r="D43" s="281" t="str">
        <f ca="1">IF(ISERROR(OFFSET('HARGA SATUAN'!$D$6,MATCH(RAB!C43,'HARGA SATUAN'!$C$7:$C$1492,0),0)),"",OFFSET('HARGA SATUAN'!$D$6,MATCH(RAB!C43,'HARGA SATUAN'!$C$7:$C$1492,0),0))</f>
        <v>MDU-KD</v>
      </c>
      <c r="E43" s="282" t="str">
        <f ca="1">IF(B43="+","Unit",IF(ISERROR(OFFSET('HARGA SATUAN'!$E$6,MATCH(RAB!C43,'HARGA SATUAN'!$C$7:$C$1492,0),0)),"",OFFSET('HARGA SATUAN'!$E$6,MATCH(RAB!C43,'HARGA SATUAN'!$C$7:$C$1492,0),0)))</f>
        <v>Mtr</v>
      </c>
      <c r="F43" s="505">
        <f>F40*(3*3)</f>
        <v>9</v>
      </c>
      <c r="G43" s="283">
        <f ca="1">IF(ISERROR(OFFSET('HARGA SATUAN'!$I$6,MATCH(RAB!C43,'HARGA SATUAN'!$C$7:$C$1492,0),0)),0,OFFSET('HARGA SATUAN'!$I$6,MATCH(RAB!C43,'HARGA SATUAN'!$C$7:$C$1492,0),0))</f>
        <v>14200</v>
      </c>
      <c r="H43" s="284">
        <f t="shared" ca="1" si="12"/>
        <v>127800</v>
      </c>
      <c r="I43" s="284">
        <f t="shared" ca="1" si="13"/>
        <v>0</v>
      </c>
      <c r="J43" s="284">
        <f t="shared" ca="1" si="14"/>
        <v>0</v>
      </c>
      <c r="K43" s="285">
        <f t="shared" ca="1" si="20"/>
        <v>127800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IF(AND(C44=0,#REF!=0,#REF!=0),"BLANKS",1)</f>
        <v>#REF!</v>
      </c>
      <c r="B44" s="518"/>
      <c r="C44" s="109" t="s">
        <v>1427</v>
      </c>
      <c r="D44" s="281" t="str">
        <f ca="1">IF(ISERROR(OFFSET('HARGA SATUAN'!$D$6,MATCH(RAB!C44,'HARGA SATUAN'!$C$7:$C$1492,0),0)),"",OFFSET('HARGA SATUAN'!$D$6,MATCH(RAB!C44,'HARGA SATUAN'!$C$7:$C$1492,0),0))</f>
        <v>MDU-KD</v>
      </c>
      <c r="E44" s="282" t="str">
        <f ca="1">IF(B44="+","Unit",IF(ISERROR(OFFSET('HARGA SATUAN'!$E$6,MATCH(RAB!C44,'HARGA SATUAN'!$C$7:$C$1492,0),0)),"",OFFSET('HARGA SATUAN'!$E$6,MATCH(RAB!C44,'HARGA SATUAN'!$C$7:$C$1492,0),0)))</f>
        <v>Mtr</v>
      </c>
      <c r="F44" s="505">
        <f>F40*3</f>
        <v>3</v>
      </c>
      <c r="G44" s="283">
        <f ca="1">IF(ISERROR(OFFSET('HARGA SATUAN'!$I$6,MATCH(RAB!C44,'HARGA SATUAN'!$C$7:$C$1492,0),0)),0,OFFSET('HARGA SATUAN'!$I$6,MATCH(RAB!C44,'HARGA SATUAN'!$C$7:$C$1492,0),0))</f>
        <v>54500</v>
      </c>
      <c r="H44" s="284">
        <f t="shared" ref="H44" ca="1" si="21">IF(OR(D44="MDU",D44="MDU-KD"),(IF($O$3="RAB NON MDU","PLN KD",G44*F44)),0)</f>
        <v>163500</v>
      </c>
      <c r="I44" s="284">
        <f t="shared" ref="I44" ca="1" si="22">IF(D44="HDW",G44*F44,0)</f>
        <v>0</v>
      </c>
      <c r="J44" s="284">
        <f t="shared" ref="J44" ca="1" si="23">IF(D44="JASA",G44*F44,0)</f>
        <v>0</v>
      </c>
      <c r="K44" s="285">
        <f t="shared" ref="K44" ca="1" si="24">SUM(H44:J44)</f>
        <v>163500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s">
        <v>1413</v>
      </c>
      <c r="B45" s="518">
        <v>3</v>
      </c>
      <c r="C45" s="109" t="s">
        <v>549</v>
      </c>
      <c r="D45" s="281" t="str">
        <f ca="1">IF(ISERROR(OFFSET('HARGA SATUAN'!$D$6,MATCH(RAB!C45,'HARGA SATUAN'!$C$7:$C$1492,0),0)),"",OFFSET('HARGA SATUAN'!$D$6,MATCH(RAB!C45,'HARGA SATUAN'!$C$7:$C$1492,0),0))</f>
        <v>MDU-KD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505">
        <f>F40*3</f>
        <v>3</v>
      </c>
      <c r="G45" s="283">
        <f ca="1">IF(ISERROR(OFFSET('HARGA SATUAN'!$I$6,MATCH(RAB!C45,'HARGA SATUAN'!$C$7:$C$1492,0),0)),0,OFFSET('HARGA SATUAN'!$I$6,MATCH(RAB!C45,'HARGA SATUAN'!$C$7:$C$1492,0),0))</f>
        <v>725900</v>
      </c>
      <c r="H45" s="284">
        <f t="shared" ref="H45:H101" ca="1" si="25">IF(OR(D45="MDU",D45="MDU-KD"),(IF($O$3="RAB NON MDU","PLN KD",G45*F45)),0)</f>
        <v>2177700</v>
      </c>
      <c r="I45" s="284">
        <f t="shared" ref="I45:I101" ca="1" si="26">IF(D45="HDW",G45*F45,0)</f>
        <v>0</v>
      </c>
      <c r="J45" s="284">
        <f t="shared" ref="J45:J101" ca="1" si="27">IF(D45="JASA",G45*F45,0)</f>
        <v>0</v>
      </c>
      <c r="K45" s="285">
        <f t="shared" ref="K45:K101" ca="1" si="28">SUM(H45:J45)</f>
        <v>2177700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518">
        <v>4</v>
      </c>
      <c r="C46" s="521" t="s">
        <v>525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505">
        <f>F40*3</f>
        <v>3</v>
      </c>
      <c r="G46" s="283">
        <f ca="1">IF(ISERROR(OFFSET('HARGA SATUAN'!$I$6,MATCH(RAB!C46,'HARGA SATUAN'!$C$7:$C$1492,0),0)),0,OFFSET('HARGA SATUAN'!$I$6,MATCH(RAB!C46,'HARGA SATUAN'!$C$7:$C$1492,0),0))</f>
        <v>848250</v>
      </c>
      <c r="H46" s="284">
        <f t="shared" ca="1" si="25"/>
        <v>2544750</v>
      </c>
      <c r="I46" s="284">
        <f t="shared" ca="1" si="26"/>
        <v>0</v>
      </c>
      <c r="J46" s="284">
        <f t="shared" ca="1" si="27"/>
        <v>0</v>
      </c>
      <c r="K46" s="285">
        <f t="shared" ca="1" si="28"/>
        <v>2544750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 t="e">
        <f>IF(AND(C47=0,#REF!=0,#REF!=0),"BLANKS",1)</f>
        <v>#REF!</v>
      </c>
      <c r="B47" s="518">
        <v>5</v>
      </c>
      <c r="C47" s="521" t="s">
        <v>527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505">
        <f>F40*3</f>
        <v>3</v>
      </c>
      <c r="G47" s="283">
        <f ca="1">IF(ISERROR(OFFSET('HARGA SATUAN'!$I$6,MATCH(RAB!C47,'HARGA SATUAN'!$C$7:$C$1492,0),0)),0,OFFSET('HARGA SATUAN'!$I$6,MATCH(RAB!C47,'HARGA SATUAN'!$C$7:$C$1492,0),0))</f>
        <v>17500</v>
      </c>
      <c r="H47" s="284">
        <f t="shared" ca="1" si="25"/>
        <v>0</v>
      </c>
      <c r="I47" s="284">
        <f t="shared" ca="1" si="26"/>
        <v>52500</v>
      </c>
      <c r="J47" s="284">
        <f t="shared" ca="1" si="27"/>
        <v>0</v>
      </c>
      <c r="K47" s="285">
        <f t="shared" ca="1" si="28"/>
        <v>52500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 t="e">
        <f>IF(AND(C48=0,#REF!=0,#REF!=0),"BLANKS",1)</f>
        <v>#REF!</v>
      </c>
      <c r="B48" s="518">
        <v>6</v>
      </c>
      <c r="C48" s="109" t="s">
        <v>1531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Bh</v>
      </c>
      <c r="F48" s="505">
        <f>F40*13</f>
        <v>13</v>
      </c>
      <c r="G48" s="283">
        <f ca="1">IF(ISERROR(OFFSET('HARGA SATUAN'!$I$6,MATCH(RAB!C48,'HARGA SATUAN'!$C$7:$C$1492,0),0)),0,OFFSET('HARGA SATUAN'!$I$6,MATCH(RAB!C48,'HARGA SATUAN'!$C$7:$C$1492,0),0))</f>
        <v>64300</v>
      </c>
      <c r="H48" s="284">
        <f t="shared" ca="1" si="25"/>
        <v>0</v>
      </c>
      <c r="I48" s="284">
        <f t="shared" ca="1" si="26"/>
        <v>835900</v>
      </c>
      <c r="J48" s="284">
        <f t="shared" ca="1" si="27"/>
        <v>0</v>
      </c>
      <c r="K48" s="285">
        <f t="shared" ca="1" si="28"/>
        <v>835900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IF(AND(C49=0,#REF!=0,#REF!=0),"BLANKS",1)</f>
        <v>#REF!</v>
      </c>
      <c r="B49" s="518">
        <v>7</v>
      </c>
      <c r="C49" s="521" t="s">
        <v>153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505">
        <f>F40*22</f>
        <v>22</v>
      </c>
      <c r="G49" s="283">
        <f ca="1">IF(ISERROR(OFFSET('HARGA SATUAN'!$I$6,MATCH(RAB!C49,'HARGA SATUAN'!$C$7:$C$1492,0),0)),0,OFFSET('HARGA SATUAN'!$I$6,MATCH(RAB!C49,'HARGA SATUAN'!$C$7:$C$1492,0),0))</f>
        <v>7938</v>
      </c>
      <c r="H49" s="284">
        <f t="shared" ca="1" si="25"/>
        <v>0</v>
      </c>
      <c r="I49" s="284">
        <f t="shared" ca="1" si="26"/>
        <v>174636</v>
      </c>
      <c r="J49" s="284">
        <f t="shared" ca="1" si="27"/>
        <v>0</v>
      </c>
      <c r="K49" s="285">
        <f t="shared" ca="1" si="28"/>
        <v>174636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30">
      <c r="A50" s="259"/>
      <c r="B50" s="518">
        <v>8</v>
      </c>
      <c r="C50" s="521" t="s">
        <v>166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505">
        <f>F40*1</f>
        <v>1</v>
      </c>
      <c r="G50" s="283">
        <f ca="1">IF(ISERROR(OFFSET('HARGA SATUAN'!$I$6,MATCH(RAB!C50,'HARGA SATUAN'!$C$7:$C$1492,0),0)),0,OFFSET('HARGA SATUAN'!$I$6,MATCH(RAB!C50,'HARGA SATUAN'!$C$7:$C$1492,0),0))</f>
        <v>404600</v>
      </c>
      <c r="H50" s="284">
        <f t="shared" ca="1" si="25"/>
        <v>0</v>
      </c>
      <c r="I50" s="284">
        <f t="shared" ca="1" si="26"/>
        <v>404600</v>
      </c>
      <c r="J50" s="284">
        <f t="shared" ca="1" si="27"/>
        <v>0</v>
      </c>
      <c r="K50" s="285">
        <f t="shared" ca="1" si="28"/>
        <v>404600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/>
      <c r="B51" s="518">
        <v>9</v>
      </c>
      <c r="C51" s="521" t="s">
        <v>174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505">
        <f>F40*3</f>
        <v>3</v>
      </c>
      <c r="G51" s="283">
        <f ca="1">IF(ISERROR(OFFSET('HARGA SATUAN'!$I$6,MATCH(RAB!C51,'HARGA SATUAN'!$C$7:$C$1492,0),0)),0,OFFSET('HARGA SATUAN'!$I$6,MATCH(RAB!C51,'HARGA SATUAN'!$C$7:$C$1492,0),0))</f>
        <v>15900</v>
      </c>
      <c r="H51" s="284">
        <f t="shared" ca="1" si="25"/>
        <v>0</v>
      </c>
      <c r="I51" s="284">
        <f t="shared" ca="1" si="26"/>
        <v>47700</v>
      </c>
      <c r="J51" s="284">
        <f t="shared" ca="1" si="27"/>
        <v>0</v>
      </c>
      <c r="K51" s="285">
        <f t="shared" ca="1" si="28"/>
        <v>47700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518">
        <v>10</v>
      </c>
      <c r="C52" s="521" t="s">
        <v>582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505">
        <f>F40*5</f>
        <v>5</v>
      </c>
      <c r="G52" s="283">
        <f ca="1">IF(ISERROR(OFFSET('HARGA SATUAN'!$I$6,MATCH(RAB!C52,'HARGA SATUAN'!$C$7:$C$1492,0),0)),0,OFFSET('HARGA SATUAN'!$I$6,MATCH(RAB!C52,'HARGA SATUAN'!$C$7:$C$1492,0),0))</f>
        <v>283100</v>
      </c>
      <c r="H52" s="284">
        <f t="shared" ref="H52:H57" ca="1" si="29">IF(OR(D52="MDU",D52="MDU-KD"),(IF($O$3="RAB NON MDU","PLN KD",G52*F52)),0)</f>
        <v>0</v>
      </c>
      <c r="I52" s="284">
        <f t="shared" ref="I52:I57" ca="1" si="30">IF(D52="HDW",G52*F52,0)</f>
        <v>1415500</v>
      </c>
      <c r="J52" s="284">
        <f t="shared" ref="J52:J57" ca="1" si="31">IF(D52="JASA",G52*F52,0)</f>
        <v>0</v>
      </c>
      <c r="K52" s="285">
        <f t="shared" ref="K52:K57" ca="1" si="32">SUM(H52:J52)</f>
        <v>1415500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IF(AND(C53=0,#REF!=0,#REF!=0),"BLANKS",1)</f>
        <v>#REF!</v>
      </c>
      <c r="B53" s="518">
        <v>11</v>
      </c>
      <c r="C53" s="521" t="s">
        <v>583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05">
        <f>F40*4</f>
        <v>4</v>
      </c>
      <c r="G53" s="283">
        <f ca="1">IF(ISERROR(OFFSET('HARGA SATUAN'!$I$6,MATCH(RAB!C53,'HARGA SATUAN'!$C$7:$C$1492,0),0)),0,OFFSET('HARGA SATUAN'!$I$6,MATCH(RAB!C53,'HARGA SATUAN'!$C$7:$C$1492,0),0))</f>
        <v>380500</v>
      </c>
      <c r="H53" s="284">
        <f t="shared" ca="1" si="29"/>
        <v>0</v>
      </c>
      <c r="I53" s="284">
        <f t="shared" ca="1" si="30"/>
        <v>1522000</v>
      </c>
      <c r="J53" s="284">
        <f t="shared" ca="1" si="31"/>
        <v>0</v>
      </c>
      <c r="K53" s="285">
        <f t="shared" ca="1" si="32"/>
        <v>1522000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IF(AND(C54=0,#REF!=0,#REF!=0),"BLANKS",1)</f>
        <v>#REF!</v>
      </c>
      <c r="B54" s="518">
        <v>12</v>
      </c>
      <c r="C54" s="521" t="s">
        <v>198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505">
        <f>F40*3</f>
        <v>3</v>
      </c>
      <c r="G54" s="283">
        <f ca="1">IF(ISERROR(OFFSET('HARGA SATUAN'!$I$6,MATCH(RAB!C54,'HARGA SATUAN'!$C$7:$C$1492,0),0)),0,OFFSET('HARGA SATUAN'!$I$6,MATCH(RAB!C54,'HARGA SATUAN'!$C$7:$C$1492,0),0))</f>
        <v>173400</v>
      </c>
      <c r="H54" s="284">
        <f t="shared" ca="1" si="29"/>
        <v>0</v>
      </c>
      <c r="I54" s="284">
        <f t="shared" ca="1" si="30"/>
        <v>520200</v>
      </c>
      <c r="J54" s="284">
        <f t="shared" ca="1" si="31"/>
        <v>0</v>
      </c>
      <c r="K54" s="285">
        <f t="shared" ca="1" si="32"/>
        <v>520200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518">
        <v>13</v>
      </c>
      <c r="C55" s="521" t="s">
        <v>237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505">
        <f>F40*1</f>
        <v>1</v>
      </c>
      <c r="G55" s="283">
        <f ca="1">IF(ISERROR(OFFSET('HARGA SATUAN'!$I$6,MATCH(RAB!C55,'HARGA SATUAN'!$C$7:$C$1492,0),0)),0,OFFSET('HARGA SATUAN'!$I$6,MATCH(RAB!C55,'HARGA SATUAN'!$C$7:$C$1492,0),0))</f>
        <v>57690</v>
      </c>
      <c r="H55" s="284">
        <f t="shared" ca="1" si="29"/>
        <v>0</v>
      </c>
      <c r="I55" s="284">
        <f t="shared" ca="1" si="30"/>
        <v>57690</v>
      </c>
      <c r="J55" s="284">
        <f t="shared" ca="1" si="31"/>
        <v>0</v>
      </c>
      <c r="K55" s="285">
        <f t="shared" ca="1" si="32"/>
        <v>57690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/>
      <c r="B56" s="518">
        <v>14</v>
      </c>
      <c r="C56" s="521" t="s">
        <v>224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505">
        <f>F40*2</f>
        <v>2</v>
      </c>
      <c r="G56" s="283">
        <f ca="1">IF(ISERROR(OFFSET('HARGA SATUAN'!$I$6,MATCH(RAB!C56,'HARGA SATUAN'!$C$7:$C$1492,0),0)),0,OFFSET('HARGA SATUAN'!$I$6,MATCH(RAB!C56,'HARGA SATUAN'!$C$7:$C$1492,0),0))</f>
        <v>67500</v>
      </c>
      <c r="H56" s="284">
        <f t="shared" ca="1" si="29"/>
        <v>0</v>
      </c>
      <c r="I56" s="284">
        <f t="shared" ca="1" si="30"/>
        <v>135000</v>
      </c>
      <c r="J56" s="284">
        <f t="shared" ca="1" si="31"/>
        <v>0</v>
      </c>
      <c r="K56" s="285">
        <f t="shared" ca="1" si="32"/>
        <v>135000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/>
      <c r="B57" s="518">
        <v>15</v>
      </c>
      <c r="C57" s="521" t="s">
        <v>257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505">
        <f>F40*2</f>
        <v>2</v>
      </c>
      <c r="G57" s="283">
        <f ca="1">IF(ISERROR(OFFSET('HARGA SATUAN'!$I$6,MATCH(RAB!C57,'HARGA SATUAN'!$C$7:$C$1492,0),0)),0,OFFSET('HARGA SATUAN'!$I$6,MATCH(RAB!C57,'HARGA SATUAN'!$C$7:$C$1492,0),0))</f>
        <v>129000</v>
      </c>
      <c r="H57" s="284">
        <f t="shared" ca="1" si="29"/>
        <v>0</v>
      </c>
      <c r="I57" s="284">
        <f t="shared" ca="1" si="30"/>
        <v>258000</v>
      </c>
      <c r="J57" s="284">
        <f t="shared" ca="1" si="31"/>
        <v>0</v>
      </c>
      <c r="K57" s="285">
        <f t="shared" ca="1" si="32"/>
        <v>258000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IF(AND(C58=0,#REF!=0,#REF!=0),"BLANKS",1)</f>
        <v>#REF!</v>
      </c>
      <c r="B58" s="518">
        <v>16</v>
      </c>
      <c r="C58" s="521" t="s">
        <v>597</v>
      </c>
      <c r="D58" s="513" t="str">
        <f ca="1">IF(ISERROR(OFFSET('HARGA SATUAN'!$D$6,MATCH(RAB!C58,'HARGA SATUAN'!$C$7:$C$1492,0),0)),"",OFFSET('HARGA SATUAN'!$D$6,MATCH(RAB!C58,'HARGA SATUAN'!$C$7:$C$1492,0),0))</f>
        <v>HDW</v>
      </c>
      <c r="E58" s="514" t="str">
        <f ca="1">IF(B58="+","Unit",IF(ISERROR(OFFSET('HARGA SATUAN'!$E$6,MATCH(RAB!C58,'HARGA SATUAN'!$C$7:$C$1492,0),0)),"",OFFSET('HARGA SATUAN'!$E$6,MATCH(RAB!C58,'HARGA SATUAN'!$C$7:$C$1492,0),0)))</f>
        <v>Bh</v>
      </c>
      <c r="F58" s="505">
        <f>F40*4</f>
        <v>4</v>
      </c>
      <c r="G58" s="515">
        <f ca="1">IF(ISERROR(OFFSET('HARGA SATUAN'!$I$6,MATCH(RAB!C58,'HARGA SATUAN'!$C$7:$C$1492,0),0)),0,OFFSET('HARGA SATUAN'!$I$6,MATCH(RAB!C58,'HARGA SATUAN'!$C$7:$C$1492,0),0))</f>
        <v>250000</v>
      </c>
      <c r="H58" s="516">
        <f t="shared" ref="H58:H83" ca="1" si="33">IF(OR(D58="MDU",D58="MDU-KD"),(IF($O$3="RAB NON MDU","PLN KD",G58*F58)),0)</f>
        <v>0</v>
      </c>
      <c r="I58" s="516">
        <f t="shared" ref="I58:I83" ca="1" si="34">IF(D58="HDW",G58*F58,0)</f>
        <v>1000000</v>
      </c>
      <c r="J58" s="516">
        <f t="shared" ref="J58:J83" ca="1" si="35">IF(D58="JASA",G58*F58,0)</f>
        <v>0</v>
      </c>
      <c r="K58" s="517">
        <f t="shared" ref="K58:K83" ca="1" si="36">SUM(H58:J58)</f>
        <v>1000000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518">
        <v>17</v>
      </c>
      <c r="C59" s="521" t="s">
        <v>773</v>
      </c>
      <c r="D59" s="281" t="str">
        <f ca="1">IF(ISERROR(OFFSET('HARGA SATUAN'!$D$6,MATCH(RAB!C59,'HARGA SATUAN'!$C$7:$C$1492,0),0)),"",OFFSET('HARGA SATUAN'!$D$6,MATCH(RAB!C59,'HARGA SATUAN'!$C$7:$C$1492,0),0))</f>
        <v>JASA</v>
      </c>
      <c r="E59" s="282" t="str">
        <f ca="1">IF(B59="+","Unit",IF(ISERROR(OFFSET('HARGA SATUAN'!$E$6,MATCH(RAB!C59,'HARGA SATUAN'!$C$7:$C$1492,0),0)),"",OFFSET('HARGA SATUAN'!$E$6,MATCH(RAB!C59,'HARGA SATUAN'!$C$7:$C$1492,0),0)))</f>
        <v>Unit</v>
      </c>
      <c r="F59" s="505">
        <f>F40*1</f>
        <v>1</v>
      </c>
      <c r="G59" s="283">
        <f ca="1">IF(ISERROR(OFFSET('HARGA SATUAN'!$I$6,MATCH(RAB!C59,'HARGA SATUAN'!$C$7:$C$1492,0),0)),0,OFFSET('HARGA SATUAN'!$I$6,MATCH(RAB!C59,'HARGA SATUAN'!$C$7:$C$1492,0),0))</f>
        <v>1182800</v>
      </c>
      <c r="H59" s="284">
        <f t="shared" ref="H59:H80" ca="1" si="37">IF(OR(D59="MDU",D59="MDU-KD"),(IF($O$3="RAB NON MDU","PLN KD",G59*F59)),0)</f>
        <v>0</v>
      </c>
      <c r="I59" s="284">
        <f t="shared" ref="I59:I80" ca="1" si="38">IF(D59="HDW",G59*F59,0)</f>
        <v>0</v>
      </c>
      <c r="J59" s="284">
        <f t="shared" ref="J59:J80" ca="1" si="39">IF(D59="JASA",G59*F59,0)</f>
        <v>1182800</v>
      </c>
      <c r="K59" s="285">
        <f t="shared" ref="K59:K80" ca="1" si="40">SUM(H59:J59)</f>
        <v>1182800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IF(AND(C60=0,#REF!=0,#REF!=0),"BLANKS",1)</f>
        <v>#REF!</v>
      </c>
      <c r="B60" s="472"/>
      <c r="C60" s="292"/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289"/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37"/>
        <v>0</v>
      </c>
      <c r="I60" s="284">
        <f t="shared" ca="1" si="38"/>
        <v>0</v>
      </c>
      <c r="J60" s="284">
        <f t="shared" ca="1" si="39"/>
        <v>0</v>
      </c>
      <c r="K60" s="285">
        <f t="shared" ca="1" si="40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IF(AND(C61=0,#REF!=0,#REF!=0),"BLANKS",1)</f>
        <v>#REF!</v>
      </c>
      <c r="B61" s="503" t="s">
        <v>1005</v>
      </c>
      <c r="C61" s="509" t="s">
        <v>1634</v>
      </c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>Unit</v>
      </c>
      <c r="F61" s="717">
        <v>1</v>
      </c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37"/>
        <v>0</v>
      </c>
      <c r="I61" s="284">
        <f t="shared" ca="1" si="38"/>
        <v>0</v>
      </c>
      <c r="J61" s="284">
        <f t="shared" ca="1" si="39"/>
        <v>0</v>
      </c>
      <c r="K61" s="285">
        <f t="shared" ca="1" si="40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/>
      <c r="B62" s="503">
        <v>1</v>
      </c>
      <c r="C62" s="510" t="s">
        <v>20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717">
        <f>F61*1</f>
        <v>1</v>
      </c>
      <c r="G62" s="283">
        <f ca="1">IF(ISERROR(OFFSET('HARGA SATUAN'!$I$6,MATCH(RAB!C62,'HARGA SATUAN'!$C$7:$C$1492,0),0)),0,OFFSET('HARGA SATUAN'!$I$6,MATCH(RAB!C62,'HARGA SATUAN'!$C$7:$C$1492,0),0))</f>
        <v>47459</v>
      </c>
      <c r="H62" s="284">
        <f t="shared" ca="1" si="37"/>
        <v>0</v>
      </c>
      <c r="I62" s="284">
        <f t="shared" ca="1" si="38"/>
        <v>47459</v>
      </c>
      <c r="J62" s="284">
        <f t="shared" ca="1" si="39"/>
        <v>0</v>
      </c>
      <c r="K62" s="285">
        <f t="shared" ca="1" si="40"/>
        <v>47459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/>
      <c r="B63" s="511">
        <v>2</v>
      </c>
      <c r="C63" s="512" t="s">
        <v>22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Mtr</v>
      </c>
      <c r="F63" s="717">
        <f>0.8*F61</f>
        <v>0.8</v>
      </c>
      <c r="G63" s="283">
        <f ca="1">IF(ISERROR(OFFSET('HARGA SATUAN'!$I$6,MATCH(RAB!C63,'HARGA SATUAN'!$C$7:$C$1492,0),0)),0,OFFSET('HARGA SATUAN'!$I$6,MATCH(RAB!C63,'HARGA SATUAN'!$C$7:$C$1492,0),0))</f>
        <v>30000</v>
      </c>
      <c r="H63" s="284">
        <f t="shared" ca="1" si="37"/>
        <v>0</v>
      </c>
      <c r="I63" s="284">
        <f t="shared" ca="1" si="38"/>
        <v>24000</v>
      </c>
      <c r="J63" s="284">
        <f t="shared" ca="1" si="39"/>
        <v>0</v>
      </c>
      <c r="K63" s="285">
        <f t="shared" ca="1" si="40"/>
        <v>24000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 t="e">
        <f>IF(AND(C64=0,#REF!=0,#REF!=0),"BLANKS",1)</f>
        <v>#REF!</v>
      </c>
      <c r="B64" s="511">
        <v>3</v>
      </c>
      <c r="C64" s="512" t="s">
        <v>23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Bh</v>
      </c>
      <c r="F64" s="717">
        <f>F61*1</f>
        <v>1</v>
      </c>
      <c r="G64" s="283">
        <f ca="1">IF(ISERROR(OFFSET('HARGA SATUAN'!$I$6,MATCH(RAB!C64,'HARGA SATUAN'!$C$7:$C$1492,0),0)),0,OFFSET('HARGA SATUAN'!$I$6,MATCH(RAB!C64,'HARGA SATUAN'!$C$7:$C$1492,0),0))</f>
        <v>9500</v>
      </c>
      <c r="H64" s="284">
        <f t="shared" ca="1" si="37"/>
        <v>0</v>
      </c>
      <c r="I64" s="284">
        <f t="shared" ca="1" si="38"/>
        <v>9500</v>
      </c>
      <c r="J64" s="284">
        <f t="shared" ca="1" si="39"/>
        <v>0</v>
      </c>
      <c r="K64" s="285">
        <f t="shared" ca="1" si="40"/>
        <v>9500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 t="e">
        <f>IF(AND(C65=0,#REF!=0,#REF!=0),"BLANKS",1)</f>
        <v>#REF!</v>
      </c>
      <c r="B65" s="511">
        <v>4</v>
      </c>
      <c r="C65" s="512" t="s">
        <v>727</v>
      </c>
      <c r="D65" s="281" t="str">
        <f ca="1">IF(ISERROR(OFFSET('HARGA SATUAN'!$D$6,MATCH(RAB!C65,'HARGA SATUAN'!$C$7:$C$1492,0),0)),"",OFFSET('HARGA SATUAN'!$D$6,MATCH(RAB!C65,'HARGA SATUAN'!$C$7:$C$1492,0),0))</f>
        <v>JASA</v>
      </c>
      <c r="E65" s="282" t="str">
        <f ca="1">IF(B65="+","Unit",IF(ISERROR(OFFSET('HARGA SATUAN'!$E$6,MATCH(RAB!C65,'HARGA SATUAN'!$C$7:$C$1492,0),0)),"",OFFSET('HARGA SATUAN'!$E$6,MATCH(RAB!C65,'HARGA SATUAN'!$C$7:$C$1492,0),0)))</f>
        <v>Unit</v>
      </c>
      <c r="F65" s="717">
        <f>F61*1</f>
        <v>1</v>
      </c>
      <c r="G65" s="283">
        <f ca="1">IF(ISERROR(OFFSET('HARGA SATUAN'!$I$6,MATCH(RAB!C65,'HARGA SATUAN'!$C$7:$C$1492,0),0)),0,OFFSET('HARGA SATUAN'!$I$6,MATCH(RAB!C65,'HARGA SATUAN'!$C$7:$C$1492,0),0))</f>
        <v>16200</v>
      </c>
      <c r="H65" s="284">
        <f t="shared" ca="1" si="37"/>
        <v>0</v>
      </c>
      <c r="I65" s="284">
        <f t="shared" ca="1" si="38"/>
        <v>0</v>
      </c>
      <c r="J65" s="284">
        <f t="shared" ca="1" si="39"/>
        <v>16200</v>
      </c>
      <c r="K65" s="285">
        <f t="shared" ca="1" si="40"/>
        <v>16200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 t="e">
        <f>IF(AND(C66=0,#REF!=0,#REF!=0),"BLANKS",1)</f>
        <v>#REF!</v>
      </c>
      <c r="B66" s="511"/>
      <c r="C66" s="512"/>
      <c r="D66" s="281" t="str">
        <f ca="1">IF(ISERROR(OFFSET('HARGA SATUAN'!$D$6,MATCH(RAB!C66,'HARGA SATUAN'!$C$7:$C$1492,0),0)),"",OFFSET('HARGA SATUAN'!$D$6,MATCH(RAB!C66,'HARGA SATUAN'!$C$7:$C$1492,0),0))</f>
        <v/>
      </c>
      <c r="E66" s="282" t="str">
        <f ca="1">IF(B66="+","Unit",IF(ISERROR(OFFSET('HARGA SATUAN'!$E$6,MATCH(RAB!C66,'HARGA SATUAN'!$C$7:$C$1492,0),0)),"",OFFSET('HARGA SATUAN'!$E$6,MATCH(RAB!C66,'HARGA SATUAN'!$C$7:$C$1492,0),0)))</f>
        <v/>
      </c>
      <c r="F66" s="505"/>
      <c r="G66" s="283">
        <f ca="1">IF(ISERROR(OFFSET('HARGA SATUAN'!$I$6,MATCH(RAB!C66,'HARGA SATUAN'!$C$7:$C$1492,0),0)),0,OFFSET('HARGA SATUAN'!$I$6,MATCH(RAB!C66,'HARGA SATUAN'!$C$7:$C$1492,0),0))</f>
        <v>0</v>
      </c>
      <c r="H66" s="284">
        <f t="shared" ca="1" si="37"/>
        <v>0</v>
      </c>
      <c r="I66" s="284">
        <f t="shared" ca="1" si="38"/>
        <v>0</v>
      </c>
      <c r="J66" s="284">
        <f t="shared" ca="1" si="39"/>
        <v>0</v>
      </c>
      <c r="K66" s="285">
        <f t="shared" ca="1" si="40"/>
        <v>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 t="e">
        <f>IF(AND(C67=0,#REF!=0,#REF!=0),"BLANKS",1)</f>
        <v>#REF!</v>
      </c>
      <c r="B67" s="472" t="s">
        <v>1005</v>
      </c>
      <c r="C67" s="109" t="s">
        <v>1631</v>
      </c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>Unit</v>
      </c>
      <c r="F67" s="718">
        <v>3</v>
      </c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ref="H67:H78" ca="1" si="41">IF(OR(D67="MDU",D67="MDU-KD"),(IF($O$3="RAB NON MDU","PLN KD",G67*F67)),0)</f>
        <v>0</v>
      </c>
      <c r="I67" s="284">
        <f t="shared" ref="I67:I78" ca="1" si="42">IF(D67="HDW",G67*F67,0)</f>
        <v>0</v>
      </c>
      <c r="J67" s="284">
        <f t="shared" ref="J67:J78" ca="1" si="43">IF(D67="JASA",G67*F67,0)</f>
        <v>0</v>
      </c>
      <c r="K67" s="285">
        <f t="shared" ref="K67:K78" ca="1" si="44">SUM(H67:J67)</f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e">
        <f>IF(AND(C68=0,#REF!=0,#REF!=0),"BLANKS",1)</f>
        <v>#REF!</v>
      </c>
      <c r="B68" s="503">
        <v>1</v>
      </c>
      <c r="C68" s="509" t="s">
        <v>19</v>
      </c>
      <c r="D68" s="281" t="str">
        <f ca="1">IF(ISERROR(OFFSET('HARGA SATUAN'!$D$6,MATCH(RAB!C68,'HARGA SATUAN'!$C$7:$C$1492,0),0)),"",OFFSET('HARGA SATUAN'!$D$6,MATCH(RAB!C68,'HARGA SATUAN'!$C$7:$C$1492,0),0))</f>
        <v>HDW</v>
      </c>
      <c r="E68" s="282" t="str">
        <f ca="1">IF(B68="+","Unit",IF(ISERROR(OFFSET('HARGA SATUAN'!$E$6,MATCH(RAB!C68,'HARGA SATUAN'!$C$7:$C$1492,0),0)),"",OFFSET('HARGA SATUAN'!$E$6,MATCH(RAB!C68,'HARGA SATUAN'!$C$7:$C$1492,0),0)))</f>
        <v>Bh</v>
      </c>
      <c r="F68" s="718">
        <f>F67*1</f>
        <v>3</v>
      </c>
      <c r="G68" s="283">
        <f ca="1">IF(ISERROR(OFFSET('HARGA SATUAN'!$I$6,MATCH(RAB!C68,'HARGA SATUAN'!$C$7:$C$1492,0),0)),0,OFFSET('HARGA SATUAN'!$I$6,MATCH(RAB!C68,'HARGA SATUAN'!$C$7:$C$1492,0),0))</f>
        <v>185200</v>
      </c>
      <c r="H68" s="284">
        <f t="shared" ca="1" si="41"/>
        <v>0</v>
      </c>
      <c r="I68" s="284">
        <f t="shared" ca="1" si="42"/>
        <v>555600</v>
      </c>
      <c r="J68" s="284">
        <f t="shared" ca="1" si="43"/>
        <v>0</v>
      </c>
      <c r="K68" s="285">
        <f t="shared" ca="1" si="44"/>
        <v>555600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/>
      <c r="B69" s="503">
        <v>2</v>
      </c>
      <c r="C69" s="510" t="s">
        <v>20</v>
      </c>
      <c r="D69" s="281" t="str">
        <f ca="1">IF(ISERROR(OFFSET('HARGA SATUAN'!$D$6,MATCH(RAB!C69,'HARGA SATUAN'!$C$7:$C$1492,0),0)),"",OFFSET('HARGA SATUAN'!$D$6,MATCH(RAB!C69,'HARGA SATUAN'!$C$7:$C$1492,0),0))</f>
        <v>HDW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718">
        <f>F67*1</f>
        <v>3</v>
      </c>
      <c r="G69" s="283">
        <f ca="1">IF(ISERROR(OFFSET('HARGA SATUAN'!$I$6,MATCH(RAB!C69,'HARGA SATUAN'!$C$7:$C$1492,0),0)),0,OFFSET('HARGA SATUAN'!$I$6,MATCH(RAB!C69,'HARGA SATUAN'!$C$7:$C$1492,0),0))</f>
        <v>47459</v>
      </c>
      <c r="H69" s="284">
        <f t="shared" ca="1" si="41"/>
        <v>0</v>
      </c>
      <c r="I69" s="284">
        <f t="shared" ca="1" si="42"/>
        <v>142377</v>
      </c>
      <c r="J69" s="284">
        <f t="shared" ca="1" si="43"/>
        <v>0</v>
      </c>
      <c r="K69" s="285">
        <f t="shared" ca="1" si="44"/>
        <v>142377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511">
        <v>3</v>
      </c>
      <c r="C70" s="512" t="s">
        <v>21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Bh</v>
      </c>
      <c r="F70" s="718">
        <f>F67*1</f>
        <v>3</v>
      </c>
      <c r="G70" s="283">
        <f ca="1">IF(ISERROR(OFFSET('HARGA SATUAN'!$I$6,MATCH(RAB!C70,'HARGA SATUAN'!$C$7:$C$1492,0),0)),0,OFFSET('HARGA SATUAN'!$I$6,MATCH(RAB!C70,'HARGA SATUAN'!$C$7:$C$1492,0),0))</f>
        <v>4880</v>
      </c>
      <c r="H70" s="284">
        <f t="shared" ca="1" si="41"/>
        <v>0</v>
      </c>
      <c r="I70" s="284">
        <f t="shared" ca="1" si="42"/>
        <v>14640</v>
      </c>
      <c r="J70" s="284">
        <f t="shared" ca="1" si="43"/>
        <v>0</v>
      </c>
      <c r="K70" s="285">
        <f t="shared" ca="1" si="44"/>
        <v>14640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511">
        <v>4</v>
      </c>
      <c r="C71" s="512" t="s">
        <v>22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Mtr</v>
      </c>
      <c r="F71" s="718">
        <f>F67*10</f>
        <v>30</v>
      </c>
      <c r="G71" s="283">
        <f ca="1">IF(ISERROR(OFFSET('HARGA SATUAN'!$I$6,MATCH(RAB!C71,'HARGA SATUAN'!$C$7:$C$1492,0),0)),0,OFFSET('HARGA SATUAN'!$I$6,MATCH(RAB!C71,'HARGA SATUAN'!$C$7:$C$1492,0),0))</f>
        <v>30000</v>
      </c>
      <c r="H71" s="284">
        <f t="shared" ca="1" si="41"/>
        <v>0</v>
      </c>
      <c r="I71" s="284">
        <f t="shared" ca="1" si="42"/>
        <v>900000</v>
      </c>
      <c r="J71" s="284">
        <f t="shared" ca="1" si="43"/>
        <v>0</v>
      </c>
      <c r="K71" s="285">
        <f t="shared" ca="1" si="44"/>
        <v>900000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472">
        <v>5</v>
      </c>
      <c r="C72" s="292" t="s">
        <v>23</v>
      </c>
      <c r="D72" s="281" t="str">
        <f ca="1">IF(ISERROR(OFFSET('HARGA SATUAN'!$D$6,MATCH(RAB!C72,'HARGA SATUAN'!$C$7:$C$1492,0),0)),"",OFFSET('HARGA SATUAN'!$D$6,MATCH(RAB!C72,'HARGA SATUAN'!$C$7:$C$1492,0),0))</f>
        <v>HDW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718">
        <f>F67*2</f>
        <v>6</v>
      </c>
      <c r="G72" s="283">
        <f ca="1">IF(ISERROR(OFFSET('HARGA SATUAN'!$I$6,MATCH(RAB!C72,'HARGA SATUAN'!$C$7:$C$1492,0),0)),0,OFFSET('HARGA SATUAN'!$I$6,MATCH(RAB!C72,'HARGA SATUAN'!$C$7:$C$1492,0),0))</f>
        <v>9500</v>
      </c>
      <c r="H72" s="284">
        <f t="shared" ref="H72:H76" ca="1" si="45">IF(OR(D72="MDU",D72="MDU-KD"),(IF($O$3="RAB NON MDU","PLN KD",G72*F72)),0)</f>
        <v>0</v>
      </c>
      <c r="I72" s="284">
        <f t="shared" ref="I72:I76" ca="1" si="46">IF(D72="HDW",G72*F72,0)</f>
        <v>57000</v>
      </c>
      <c r="J72" s="284">
        <f t="shared" ref="J72:J76" ca="1" si="47">IF(D72="JASA",G72*F72,0)</f>
        <v>0</v>
      </c>
      <c r="K72" s="285">
        <f t="shared" ref="K72:K76" ca="1" si="48">SUM(H72:J72)</f>
        <v>57000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503">
        <v>6</v>
      </c>
      <c r="C73" s="509" t="s">
        <v>24</v>
      </c>
      <c r="D73" s="281" t="str">
        <f ca="1">IF(ISERROR(OFFSET('HARGA SATUAN'!$D$6,MATCH(RAB!C73,'HARGA SATUAN'!$C$7:$C$1492,0),0)),"",OFFSET('HARGA SATUAN'!$D$6,MATCH(RAB!C73,'HARGA SATUAN'!$C$7:$C$1492,0),0))</f>
        <v>HDW</v>
      </c>
      <c r="E73" s="282" t="str">
        <f ca="1">IF(B73="+","Unit",IF(ISERROR(OFFSET('HARGA SATUAN'!$E$6,MATCH(RAB!C73,'HARGA SATUAN'!$C$7:$C$1492,0),0)),"",OFFSET('HARGA SATUAN'!$E$6,MATCH(RAB!C73,'HARGA SATUAN'!$C$7:$C$1492,0),0)))</f>
        <v>Bh</v>
      </c>
      <c r="F73" s="718">
        <v>5.5</v>
      </c>
      <c r="G73" s="283">
        <f ca="1">IF(ISERROR(OFFSET('HARGA SATUAN'!$I$6,MATCH(RAB!C73,'HARGA SATUAN'!$C$7:$C$1492,0),0)),0,OFFSET('HARGA SATUAN'!$I$6,MATCH(RAB!C73,'HARGA SATUAN'!$C$7:$C$1492,0),0))</f>
        <v>6100</v>
      </c>
      <c r="H73" s="284">
        <f t="shared" ca="1" si="45"/>
        <v>0</v>
      </c>
      <c r="I73" s="284">
        <f t="shared" ca="1" si="46"/>
        <v>33550</v>
      </c>
      <c r="J73" s="284">
        <f t="shared" ca="1" si="47"/>
        <v>0</v>
      </c>
      <c r="K73" s="285">
        <f t="shared" ca="1" si="48"/>
        <v>33550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503">
        <v>7</v>
      </c>
      <c r="C74" s="510" t="s">
        <v>25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Bh</v>
      </c>
      <c r="F74" s="718">
        <f>F67*6</f>
        <v>18</v>
      </c>
      <c r="G74" s="283">
        <f ca="1">IF(ISERROR(OFFSET('HARGA SATUAN'!$I$6,MATCH(RAB!C74,'HARGA SATUAN'!$C$7:$C$1492,0),0)),0,OFFSET('HARGA SATUAN'!$I$6,MATCH(RAB!C74,'HARGA SATUAN'!$C$7:$C$1492,0),0))</f>
        <v>2300</v>
      </c>
      <c r="H74" s="284">
        <f t="shared" ca="1" si="45"/>
        <v>0</v>
      </c>
      <c r="I74" s="284">
        <f t="shared" ca="1" si="46"/>
        <v>41400</v>
      </c>
      <c r="J74" s="284">
        <f t="shared" ca="1" si="47"/>
        <v>0</v>
      </c>
      <c r="K74" s="285">
        <f t="shared" ca="1" si="48"/>
        <v>41400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/>
      <c r="B75" s="511">
        <v>8</v>
      </c>
      <c r="C75" s="512" t="s">
        <v>1636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Mtr</v>
      </c>
      <c r="F75" s="718">
        <v>4.8</v>
      </c>
      <c r="G75" s="283">
        <f ca="1">IF(ISERROR(OFFSET('HARGA SATUAN'!$I$6,MATCH(RAB!C75,'HARGA SATUAN'!$C$7:$C$1492,0),0)),0,OFFSET('HARGA SATUAN'!$I$6,MATCH(RAB!C75,'HARGA SATUAN'!$C$7:$C$1492,0),0))</f>
        <v>23310</v>
      </c>
      <c r="H75" s="284">
        <f t="shared" ca="1" si="45"/>
        <v>0</v>
      </c>
      <c r="I75" s="284">
        <f t="shared" ca="1" si="46"/>
        <v>111888</v>
      </c>
      <c r="J75" s="284">
        <f t="shared" ca="1" si="47"/>
        <v>0</v>
      </c>
      <c r="K75" s="285">
        <f t="shared" ca="1" si="48"/>
        <v>111888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IF(AND(C76=0,#REF!=0,#REF!=0),"BLANKS",1)</f>
        <v>#REF!</v>
      </c>
      <c r="B76" s="511">
        <v>9</v>
      </c>
      <c r="C76" s="512" t="s">
        <v>726</v>
      </c>
      <c r="D76" s="281" t="str">
        <f ca="1">IF(ISERROR(OFFSET('HARGA SATUAN'!$D$6,MATCH(RAB!C76,'HARGA SATUAN'!$C$7:$C$1492,0),0)),"",OFFSET('HARGA SATUAN'!$D$6,MATCH(RAB!C76,'HARGA SATUAN'!$C$7:$C$1492,0),0))</f>
        <v>JASA</v>
      </c>
      <c r="E76" s="282" t="str">
        <f ca="1">IF(B76="+","Unit",IF(ISERROR(OFFSET('HARGA SATUAN'!$E$6,MATCH(RAB!C76,'HARGA SATUAN'!$C$7:$C$1492,0),0)),"",OFFSET('HARGA SATUAN'!$E$6,MATCH(RAB!C76,'HARGA SATUAN'!$C$7:$C$1492,0),0)))</f>
        <v>Unit</v>
      </c>
      <c r="F76" s="718">
        <f>F67*1</f>
        <v>3</v>
      </c>
      <c r="G76" s="283">
        <f ca="1">IF(ISERROR(OFFSET('HARGA SATUAN'!$I$6,MATCH(RAB!C76,'HARGA SATUAN'!$C$7:$C$1492,0),0)),0,OFFSET('HARGA SATUAN'!$I$6,MATCH(RAB!C76,'HARGA SATUAN'!$C$7:$C$1492,0),0))</f>
        <v>65400</v>
      </c>
      <c r="H76" s="284">
        <f t="shared" ca="1" si="45"/>
        <v>0</v>
      </c>
      <c r="I76" s="284">
        <f t="shared" ca="1" si="46"/>
        <v>0</v>
      </c>
      <c r="J76" s="284">
        <f t="shared" ca="1" si="47"/>
        <v>196200</v>
      </c>
      <c r="K76" s="285">
        <f t="shared" ca="1" si="48"/>
        <v>196200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e">
        <f>IF(AND(C77=0,#REF!=0,#REF!=0),"BLANKS",1)</f>
        <v>#REF!</v>
      </c>
      <c r="B77" s="511">
        <v>10</v>
      </c>
      <c r="C77" s="512" t="s">
        <v>1530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505">
        <v>2</v>
      </c>
      <c r="G77" s="283">
        <f ca="1">IF(ISERROR(OFFSET('HARGA SATUAN'!$I$6,MATCH(RAB!C77,'HARGA SATUAN'!$C$7:$C$1492,0),0)),0,OFFSET('HARGA SATUAN'!$I$6,MATCH(RAB!C77,'HARGA SATUAN'!$C$7:$C$1492,0),0))</f>
        <v>49000</v>
      </c>
      <c r="H77" s="284">
        <f t="shared" ca="1" si="41"/>
        <v>0</v>
      </c>
      <c r="I77" s="284">
        <f t="shared" ca="1" si="42"/>
        <v>98000</v>
      </c>
      <c r="J77" s="284">
        <f t="shared" ca="1" si="43"/>
        <v>0</v>
      </c>
      <c r="K77" s="285">
        <f t="shared" ca="1" si="44"/>
        <v>98000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IF(AND(C78=0,#REF!=0,#REF!=0),"BLANKS",1)</f>
        <v>#REF!</v>
      </c>
      <c r="B78" s="511"/>
      <c r="C78" s="512"/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505"/>
      <c r="G78" s="283">
        <f ca="1">IF(ISERROR(OFFSET('HARGA SATUAN'!$I$6,MATCH(RAB!C78,'HARGA SATUAN'!$C$7:$C$1492,0),0)),0,OFFSET('HARGA SATUAN'!$I$6,MATCH(RAB!C78,'HARGA SATUAN'!$C$7:$C$1492,0),0))</f>
        <v>0</v>
      </c>
      <c r="H78" s="284">
        <f t="shared" ca="1" si="41"/>
        <v>0</v>
      </c>
      <c r="I78" s="284">
        <f t="shared" ca="1" si="42"/>
        <v>0</v>
      </c>
      <c r="J78" s="284">
        <f t="shared" ca="1" si="43"/>
        <v>0</v>
      </c>
      <c r="K78" s="285">
        <f t="shared" ca="1" si="44"/>
        <v>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IF(AND(C79=0,#REF!=0,#REF!=0),"BLANKS",1)</f>
        <v>#REF!</v>
      </c>
      <c r="B79" s="511" t="s">
        <v>1005</v>
      </c>
      <c r="C79" s="512" t="s">
        <v>1640</v>
      </c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>Unit</v>
      </c>
      <c r="F79" s="719">
        <v>1</v>
      </c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ca="1" si="37"/>
        <v>0</v>
      </c>
      <c r="I79" s="284">
        <f t="shared" ca="1" si="38"/>
        <v>0</v>
      </c>
      <c r="J79" s="284">
        <f t="shared" ca="1" si="39"/>
        <v>0</v>
      </c>
      <c r="K79" s="285">
        <f t="shared" ca="1" si="40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/>
      <c r="B80" s="511">
        <v>1</v>
      </c>
      <c r="C80" s="512" t="s">
        <v>230</v>
      </c>
      <c r="D80" s="281" t="str">
        <f ca="1">IF(ISERROR(OFFSET('HARGA SATUAN'!$D$6,MATCH(RAB!C80,'HARGA SATUAN'!$C$7:$C$1492,0),0)),"",OFFSET('HARGA SATUAN'!$D$6,MATCH(RAB!C80,'HARGA SATUAN'!$C$7:$C$1492,0),0))</f>
        <v>HDW</v>
      </c>
      <c r="E80" s="282" t="str">
        <f ca="1">IF(B80="+","Unit",IF(ISERROR(OFFSET('HARGA SATUAN'!$E$6,MATCH(RAB!C80,'HARGA SATUAN'!$C$7:$C$1492,0),0)),"",OFFSET('HARGA SATUAN'!$E$6,MATCH(RAB!C80,'HARGA SATUAN'!$C$7:$C$1492,0),0)))</f>
        <v>Bh</v>
      </c>
      <c r="F80" s="719">
        <f>F79*1</f>
        <v>1</v>
      </c>
      <c r="G80" s="283">
        <f ca="1">IF(ISERROR(OFFSET('HARGA SATUAN'!$I$6,MATCH(RAB!C80,'HARGA SATUAN'!$C$7:$C$1492,0),0)),0,OFFSET('HARGA SATUAN'!$I$6,MATCH(RAB!C80,'HARGA SATUAN'!$C$7:$C$1492,0),0))</f>
        <v>61800</v>
      </c>
      <c r="H80" s="284">
        <f t="shared" ca="1" si="37"/>
        <v>0</v>
      </c>
      <c r="I80" s="284">
        <f t="shared" ca="1" si="38"/>
        <v>61800</v>
      </c>
      <c r="J80" s="284">
        <f t="shared" ca="1" si="39"/>
        <v>0</v>
      </c>
      <c r="K80" s="285">
        <f t="shared" ca="1" si="40"/>
        <v>61800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 t="e">
        <f>IF(AND(C81=0,#REF!=0,#REF!=0),"BLANKS",1)</f>
        <v>#REF!</v>
      </c>
      <c r="B81" s="511">
        <v>2</v>
      </c>
      <c r="C81" s="512" t="s">
        <v>254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719">
        <f>F79*1</f>
        <v>1</v>
      </c>
      <c r="G81" s="283">
        <f ca="1">IF(ISERROR(OFFSET('HARGA SATUAN'!$I$6,MATCH(RAB!C81,'HARGA SATUAN'!$C$7:$C$1492,0),0)),0,OFFSET('HARGA SATUAN'!$I$6,MATCH(RAB!C81,'HARGA SATUAN'!$C$7:$C$1492,0),0))</f>
        <v>28000</v>
      </c>
      <c r="H81" s="284">
        <f t="shared" ca="1" si="33"/>
        <v>0</v>
      </c>
      <c r="I81" s="284">
        <f t="shared" ca="1" si="34"/>
        <v>28000</v>
      </c>
      <c r="J81" s="284">
        <f t="shared" ca="1" si="35"/>
        <v>0</v>
      </c>
      <c r="K81" s="285">
        <f t="shared" ca="1" si="36"/>
        <v>28000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IF(AND(C82=0,#REF!=0,#REF!=0),"BLANKS",1)</f>
        <v>#REF!</v>
      </c>
      <c r="B82" s="511">
        <v>3</v>
      </c>
      <c r="C82" s="512" t="s">
        <v>28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Mtr</v>
      </c>
      <c r="F82" s="719">
        <v>0.8</v>
      </c>
      <c r="G82" s="283">
        <f ca="1">IF(ISERROR(OFFSET('HARGA SATUAN'!$I$6,MATCH(RAB!C82,'HARGA SATUAN'!$C$7:$C$1492,0),0)),0,OFFSET('HARGA SATUAN'!$I$6,MATCH(RAB!C82,'HARGA SATUAN'!$C$7:$C$1492,0),0))</f>
        <v>8550</v>
      </c>
      <c r="H82" s="284">
        <f t="shared" ca="1" si="33"/>
        <v>0</v>
      </c>
      <c r="I82" s="284">
        <f t="shared" ca="1" si="34"/>
        <v>6840</v>
      </c>
      <c r="J82" s="284">
        <f t="shared" ca="1" si="35"/>
        <v>0</v>
      </c>
      <c r="K82" s="285">
        <f t="shared" ca="1" si="36"/>
        <v>6840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 t="e">
        <f>IF(AND(C83=0,#REF!=0,#REF!=0),"BLANKS",1)</f>
        <v>#REF!</v>
      </c>
      <c r="B83" s="507">
        <v>4</v>
      </c>
      <c r="C83" s="508" t="s">
        <v>613</v>
      </c>
      <c r="D83" s="281" t="str">
        <f ca="1">IF(ISERROR(OFFSET('HARGA SATUAN'!$D$6,MATCH(RAB!C83,'HARGA SATUAN'!$C$7:$C$1492,0),0)),"",OFFSET('HARGA SATUAN'!$D$6,MATCH(RAB!C83,'HARGA SATUAN'!$C$7:$C$1492,0),0))</f>
        <v>JASA</v>
      </c>
      <c r="E83" s="282" t="str">
        <f ca="1">IF(B83="+","Unit",IF(ISERROR(OFFSET('HARGA SATUAN'!$E$6,MATCH(RAB!C83,'HARGA SATUAN'!$C$7:$C$1492,0),0)),"",OFFSET('HARGA SATUAN'!$E$6,MATCH(RAB!C83,'HARGA SATUAN'!$C$7:$C$1492,0),0)))</f>
        <v>Unit</v>
      </c>
      <c r="F83" s="719">
        <f>F79*1</f>
        <v>1</v>
      </c>
      <c r="G83" s="283">
        <f ca="1">IF(ISERROR(OFFSET('HARGA SATUAN'!$I$6,MATCH(RAB!C83,'HARGA SATUAN'!$C$7:$C$1492,0),0)),0,OFFSET('HARGA SATUAN'!$I$6,MATCH(RAB!C83,'HARGA SATUAN'!$C$7:$C$1492,0),0))</f>
        <v>33200</v>
      </c>
      <c r="H83" s="284">
        <f t="shared" ca="1" si="33"/>
        <v>0</v>
      </c>
      <c r="I83" s="284">
        <f t="shared" ca="1" si="34"/>
        <v>0</v>
      </c>
      <c r="J83" s="284">
        <f t="shared" ca="1" si="35"/>
        <v>33200</v>
      </c>
      <c r="K83" s="285">
        <f t="shared" ca="1" si="36"/>
        <v>33200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IF(AND(C84=0,#REF!=0,#REF!=0),"BLANKS",1)</f>
        <v>#REF!</v>
      </c>
      <c r="B84" s="507"/>
      <c r="C84" s="508"/>
      <c r="D84" s="281" t="str">
        <f ca="1">IF(ISERROR(OFFSET('HARGA SATUAN'!$D$6,MATCH(RAB!C84,'HARGA SATUAN'!$C$7:$C$1492,0),0)),"",OFFSET('HARGA SATUAN'!$D$6,MATCH(RAB!C84,'HARGA SATUAN'!$C$7:$C$1492,0),0))</f>
        <v/>
      </c>
      <c r="E84" s="282" t="str">
        <f ca="1">IF(B84="+","Unit",IF(ISERROR(OFFSET('HARGA SATUAN'!$E$6,MATCH(RAB!C84,'HARGA SATUAN'!$C$7:$C$1492,0),0)),"",OFFSET('HARGA SATUAN'!$E$6,MATCH(RAB!C84,'HARGA SATUAN'!$C$7:$C$1492,0),0)))</f>
        <v/>
      </c>
      <c r="F84" s="717"/>
      <c r="G84" s="283">
        <f ca="1">IF(ISERROR(OFFSET('HARGA SATUAN'!$I$6,MATCH(RAB!C84,'HARGA SATUAN'!$C$7:$C$1492,0),0)),0,OFFSET('HARGA SATUAN'!$I$6,MATCH(RAB!C84,'HARGA SATUAN'!$C$7:$C$1492,0),0))</f>
        <v>0</v>
      </c>
      <c r="H84" s="284">
        <f t="shared" ca="1" si="25"/>
        <v>0</v>
      </c>
      <c r="I84" s="284">
        <f t="shared" ca="1" si="26"/>
        <v>0</v>
      </c>
      <c r="J84" s="284">
        <f t="shared" ca="1" si="27"/>
        <v>0</v>
      </c>
      <c r="K84" s="285">
        <f t="shared" ca="1" si="28"/>
        <v>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 t="e">
        <f>IF(AND(C85=0,#REF!=0,#REF!=0),"BLANKS",1)</f>
        <v>#REF!</v>
      </c>
      <c r="B85" s="511" t="s">
        <v>1005</v>
      </c>
      <c r="C85" s="512" t="s">
        <v>1632</v>
      </c>
      <c r="D85" s="281" t="str">
        <f ca="1">IF(ISERROR(OFFSET('HARGA SATUAN'!$D$6,MATCH(RAB!C85,'HARGA SATUAN'!$C$7:$C$1492,0),0)),"",OFFSET('HARGA SATUAN'!$D$6,MATCH(RAB!C85,'HARGA SATUAN'!$C$7:$C$1492,0),0))</f>
        <v/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717">
        <v>3</v>
      </c>
      <c r="G85" s="283">
        <f ca="1">IF(ISERROR(OFFSET('HARGA SATUAN'!$I$6,MATCH(RAB!C85,'HARGA SATUAN'!$C$7:$C$1492,0),0)),0,OFFSET('HARGA SATUAN'!$I$6,MATCH(RAB!C85,'HARGA SATUAN'!$C$7:$C$1492,0),0))</f>
        <v>0</v>
      </c>
      <c r="H85" s="284">
        <f t="shared" ca="1" si="25"/>
        <v>0</v>
      </c>
      <c r="I85" s="284">
        <f t="shared" ca="1" si="26"/>
        <v>0</v>
      </c>
      <c r="J85" s="284">
        <f t="shared" ca="1" si="27"/>
        <v>0</v>
      </c>
      <c r="K85" s="285">
        <f t="shared" ca="1" si="28"/>
        <v>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/>
      <c r="B86" s="511">
        <v>1</v>
      </c>
      <c r="C86" s="512" t="s">
        <v>142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Mtr</v>
      </c>
      <c r="F86" s="717">
        <f>F85*1</f>
        <v>3</v>
      </c>
      <c r="G86" s="283">
        <f ca="1">IF(ISERROR(OFFSET('HARGA SATUAN'!$I$6,MATCH(RAB!C86,'HARGA SATUAN'!$C$7:$C$1492,0),0)),0,OFFSET('HARGA SATUAN'!$I$6,MATCH(RAB!C86,'HARGA SATUAN'!$C$7:$C$1492,0),0))</f>
        <v>7789</v>
      </c>
      <c r="H86" s="284">
        <f t="shared" ca="1" si="25"/>
        <v>0</v>
      </c>
      <c r="I86" s="284">
        <f t="shared" ca="1" si="26"/>
        <v>23367</v>
      </c>
      <c r="J86" s="284">
        <f t="shared" ca="1" si="27"/>
        <v>0</v>
      </c>
      <c r="K86" s="285">
        <f t="shared" ca="1" si="28"/>
        <v>23367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IF(AND(C87=0,#REF!=0,#REF!=0),"BLANKS",1)</f>
        <v>#REF!</v>
      </c>
      <c r="B87" s="511">
        <v>2</v>
      </c>
      <c r="C87" s="512" t="s">
        <v>169</v>
      </c>
      <c r="D87" s="281" t="str">
        <f ca="1">IF(ISERROR(OFFSET('HARGA SATUAN'!$D$6,MATCH(RAB!C87,'HARGA SATUAN'!$C$7:$C$1492,0),0)),"",OFFSET('HARGA SATUAN'!$D$6,MATCH(RAB!C87,'HARGA SATUAN'!$C$7:$C$1492,0),0))</f>
        <v>HDW</v>
      </c>
      <c r="E87" s="282" t="str">
        <f ca="1">IF(B87="+","Unit",IF(ISERROR(OFFSET('HARGA SATUAN'!$E$6,MATCH(RAB!C87,'HARGA SATUAN'!$C$7:$C$1492,0),0)),"",OFFSET('HARGA SATUAN'!$E$6,MATCH(RAB!C87,'HARGA SATUAN'!$C$7:$C$1492,0),0)))</f>
        <v>Bh</v>
      </c>
      <c r="F87" s="717">
        <f>F85*1</f>
        <v>3</v>
      </c>
      <c r="G87" s="283">
        <f ca="1">IF(ISERROR(OFFSET('HARGA SATUAN'!$I$6,MATCH(RAB!C87,'HARGA SATUAN'!$C$7:$C$1492,0),0)),0,OFFSET('HARGA SATUAN'!$I$6,MATCH(RAB!C87,'HARGA SATUAN'!$C$7:$C$1492,0),0))</f>
        <v>15500</v>
      </c>
      <c r="H87" s="284">
        <f t="shared" ca="1" si="25"/>
        <v>0</v>
      </c>
      <c r="I87" s="284">
        <f t="shared" ca="1" si="26"/>
        <v>46500</v>
      </c>
      <c r="J87" s="284">
        <f t="shared" ca="1" si="27"/>
        <v>0</v>
      </c>
      <c r="K87" s="285">
        <f t="shared" ca="1" si="28"/>
        <v>46500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e">
        <f>IF(AND(C88=0,#REF!=0,#REF!=0),"BLANKS",1)</f>
        <v>#REF!</v>
      </c>
      <c r="B88" s="511">
        <v>3</v>
      </c>
      <c r="C88" s="512" t="s">
        <v>208</v>
      </c>
      <c r="D88" s="281" t="str">
        <f ca="1">IF(ISERROR(OFFSET('HARGA SATUAN'!$D$6,MATCH(RAB!C88,'HARGA SATUAN'!$C$7:$C$1492,0),0)),"",OFFSET('HARGA SATUAN'!$D$6,MATCH(RAB!C88,'HARGA SATUAN'!$C$7:$C$1492,0),0))</f>
        <v>HDW</v>
      </c>
      <c r="E88" s="282" t="str">
        <f ca="1">IF(B88="+","Unit",IF(ISERROR(OFFSET('HARGA SATUAN'!$E$6,MATCH(RAB!C88,'HARGA SATUAN'!$C$7:$C$1492,0),0)),"",OFFSET('HARGA SATUAN'!$E$6,MATCH(RAB!C88,'HARGA SATUAN'!$C$7:$C$1492,0),0)))</f>
        <v>Bh</v>
      </c>
      <c r="F88" s="717">
        <f>F85*2</f>
        <v>6</v>
      </c>
      <c r="G88" s="283">
        <f ca="1">IF(ISERROR(OFFSET('HARGA SATUAN'!$I$6,MATCH(RAB!C88,'HARGA SATUAN'!$C$7:$C$1492,0),0)),0,OFFSET('HARGA SATUAN'!$I$6,MATCH(RAB!C88,'HARGA SATUAN'!$C$7:$C$1492,0),0))</f>
        <v>29600</v>
      </c>
      <c r="H88" s="284">
        <f t="shared" ca="1" si="25"/>
        <v>0</v>
      </c>
      <c r="I88" s="284">
        <f t="shared" ca="1" si="26"/>
        <v>177600</v>
      </c>
      <c r="J88" s="284">
        <f t="shared" ca="1" si="27"/>
        <v>0</v>
      </c>
      <c r="K88" s="285">
        <f t="shared" ca="1" si="28"/>
        <v>177600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IF(AND(C89=0,#REF!=0,#REF!=0),"BLANKS",1)</f>
        <v>#REF!</v>
      </c>
      <c r="B89" s="507">
        <v>4</v>
      </c>
      <c r="C89" s="508" t="s">
        <v>15</v>
      </c>
      <c r="D89" s="281" t="str">
        <f ca="1">IF(ISERROR(OFFSET('HARGA SATUAN'!$D$6,MATCH(RAB!C89,'HARGA SATUAN'!$C$7:$C$1492,0),0)),"",OFFSET('HARGA SATUAN'!$D$6,MATCH(RAB!C89,'HARGA SATUAN'!$C$7:$C$1492,0),0))</f>
        <v>HDW</v>
      </c>
      <c r="E89" s="282" t="str">
        <f ca="1">IF(B89="+","Unit",IF(ISERROR(OFFSET('HARGA SATUAN'!$E$6,MATCH(RAB!C89,'HARGA SATUAN'!$C$7:$C$1492,0),0)),"",OFFSET('HARGA SATUAN'!$E$6,MATCH(RAB!C89,'HARGA SATUAN'!$C$7:$C$1492,0),0)))</f>
        <v>Bh</v>
      </c>
      <c r="F89" s="717">
        <f>F85*1</f>
        <v>3</v>
      </c>
      <c r="G89" s="283">
        <f ca="1">IF(ISERROR(OFFSET('HARGA SATUAN'!$I$6,MATCH(RAB!C89,'HARGA SATUAN'!$C$7:$C$1492,0),0)),0,OFFSET('HARGA SATUAN'!$I$6,MATCH(RAB!C89,'HARGA SATUAN'!$C$7:$C$1492,0),0))</f>
        <v>23936</v>
      </c>
      <c r="H89" s="284">
        <f t="shared" ca="1" si="25"/>
        <v>0</v>
      </c>
      <c r="I89" s="284">
        <f t="shared" ca="1" si="26"/>
        <v>71808</v>
      </c>
      <c r="J89" s="284">
        <f t="shared" ca="1" si="27"/>
        <v>0</v>
      </c>
      <c r="K89" s="285">
        <f t="shared" ca="1" si="28"/>
        <v>71808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/>
      <c r="B90" s="507">
        <v>5</v>
      </c>
      <c r="C90" s="508" t="s">
        <v>237</v>
      </c>
      <c r="D90" s="281" t="str">
        <f ca="1">IF(ISERROR(OFFSET('HARGA SATUAN'!$D$6,MATCH(RAB!C90,'HARGA SATUAN'!$C$7:$C$1492,0),0)),"",OFFSET('HARGA SATUAN'!$D$6,MATCH(RAB!C90,'HARGA SATUAN'!$C$7:$C$1492,0),0))</f>
        <v>HDW</v>
      </c>
      <c r="E90" s="282" t="str">
        <f ca="1">IF(B90="+","Unit",IF(ISERROR(OFFSET('HARGA SATUAN'!$E$6,MATCH(RAB!C90,'HARGA SATUAN'!$C$7:$C$1492,0),0)),"",OFFSET('HARGA SATUAN'!$E$6,MATCH(RAB!C90,'HARGA SATUAN'!$C$7:$C$1492,0),0)))</f>
        <v>Bh</v>
      </c>
      <c r="F90" s="717">
        <f>F85*1</f>
        <v>3</v>
      </c>
      <c r="G90" s="283">
        <f ca="1">IF(ISERROR(OFFSET('HARGA SATUAN'!$I$6,MATCH(RAB!C90,'HARGA SATUAN'!$C$7:$C$1492,0),0)),0,OFFSET('HARGA SATUAN'!$I$6,MATCH(RAB!C90,'HARGA SATUAN'!$C$7:$C$1492,0),0))</f>
        <v>57690</v>
      </c>
      <c r="H90" s="284">
        <f t="shared" ca="1" si="25"/>
        <v>0</v>
      </c>
      <c r="I90" s="284">
        <f t="shared" ca="1" si="26"/>
        <v>173070</v>
      </c>
      <c r="J90" s="284">
        <f t="shared" ca="1" si="27"/>
        <v>0</v>
      </c>
      <c r="K90" s="285">
        <f t="shared" ca="1" si="28"/>
        <v>173070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/>
      <c r="B91" s="507">
        <v>6</v>
      </c>
      <c r="C91" s="508" t="s">
        <v>255</v>
      </c>
      <c r="D91" s="281" t="str">
        <f ca="1">IF(ISERROR(OFFSET('HARGA SATUAN'!$D$6,MATCH(RAB!C91,'HARGA SATUAN'!$C$7:$C$1492,0),0)),"",OFFSET('HARGA SATUAN'!$D$6,MATCH(RAB!C91,'HARGA SATUAN'!$C$7:$C$1492,0),0))</f>
        <v>HDW</v>
      </c>
      <c r="E91" s="282" t="str">
        <f ca="1">IF(B91="+","Unit",IF(ISERROR(OFFSET('HARGA SATUAN'!$E$6,MATCH(RAB!C91,'HARGA SATUAN'!$C$7:$C$1492,0),0)),"",OFFSET('HARGA SATUAN'!$E$6,MATCH(RAB!C91,'HARGA SATUAN'!$C$7:$C$1492,0),0)))</f>
        <v>Bh</v>
      </c>
      <c r="F91" s="717">
        <f>F85*1</f>
        <v>3</v>
      </c>
      <c r="G91" s="283">
        <f ca="1">IF(ISERROR(OFFSET('HARGA SATUAN'!$I$6,MATCH(RAB!C91,'HARGA SATUAN'!$C$7:$C$1492,0),0)),0,OFFSET('HARGA SATUAN'!$I$6,MATCH(RAB!C91,'HARGA SATUAN'!$C$7:$C$1492,0),0))</f>
        <v>33501.866666666669</v>
      </c>
      <c r="H91" s="284">
        <f t="shared" ca="1" si="25"/>
        <v>0</v>
      </c>
      <c r="I91" s="284">
        <f t="shared" ca="1" si="26"/>
        <v>100505.60000000001</v>
      </c>
      <c r="J91" s="284">
        <f t="shared" ca="1" si="27"/>
        <v>0</v>
      </c>
      <c r="K91" s="285">
        <f t="shared" ca="1" si="28"/>
        <v>100505.60000000001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IF(AND(C92=0,#REF!=0,#REF!=0),"BLANKS",1)</f>
        <v>#REF!</v>
      </c>
      <c r="B92" s="507">
        <v>7</v>
      </c>
      <c r="C92" s="508" t="s">
        <v>614</v>
      </c>
      <c r="D92" s="281" t="str">
        <f ca="1">IF(ISERROR(OFFSET('HARGA SATUAN'!$D$6,MATCH(RAB!C92,'HARGA SATUAN'!$C$7:$C$1492,0),0)),"",OFFSET('HARGA SATUAN'!$D$6,MATCH(RAB!C92,'HARGA SATUAN'!$C$7:$C$1492,0),0))</f>
        <v>JASA</v>
      </c>
      <c r="E92" s="282" t="str">
        <f ca="1">IF(B92="+","Unit",IF(ISERROR(OFFSET('HARGA SATUAN'!$E$6,MATCH(RAB!C92,'HARGA SATUAN'!$C$7:$C$1492,0),0)),"",OFFSET('HARGA SATUAN'!$E$6,MATCH(RAB!C92,'HARGA SATUAN'!$C$7:$C$1492,0),0)))</f>
        <v>Unit</v>
      </c>
      <c r="F92" s="717">
        <f>F85*1</f>
        <v>3</v>
      </c>
      <c r="G92" s="283">
        <f ca="1">IF(ISERROR(OFFSET('HARGA SATUAN'!$I$6,MATCH(RAB!C92,'HARGA SATUAN'!$C$7:$C$1492,0),0)),0,OFFSET('HARGA SATUAN'!$I$6,MATCH(RAB!C92,'HARGA SATUAN'!$C$7:$C$1492,0),0))</f>
        <v>35700</v>
      </c>
      <c r="H92" s="284">
        <f t="shared" ref="H92" ca="1" si="49">IF(OR(D92="MDU",D92="MDU-KD"),(IF($O$3="RAB NON MDU","PLN KD",G92*F92)),0)</f>
        <v>0</v>
      </c>
      <c r="I92" s="284">
        <f t="shared" ref="I92" ca="1" si="50">IF(D92="HDW",G92*F92,0)</f>
        <v>0</v>
      </c>
      <c r="J92" s="284">
        <f t="shared" ref="J92" ca="1" si="51">IF(D92="JASA",G92*F92,0)</f>
        <v>107100</v>
      </c>
      <c r="K92" s="285">
        <f t="shared" ref="K92" ca="1" si="52">SUM(H92:J92)</f>
        <v>107100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 t="e">
        <f>IF(AND(C93=0,#REF!=0,#REF!=0),"BLANKS",1)</f>
        <v>#REF!</v>
      </c>
      <c r="B93" s="507"/>
      <c r="C93" s="508"/>
      <c r="D93" s="281" t="str">
        <f ca="1">IF(ISERROR(OFFSET('HARGA SATUAN'!$D$6,MATCH(RAB!C93,'HARGA SATUAN'!$C$7:$C$1492,0),0)),"",OFFSET('HARGA SATUAN'!$D$6,MATCH(RAB!C93,'HARGA SATUAN'!$C$7:$C$1492,0),0))</f>
        <v/>
      </c>
      <c r="E93" s="282" t="str">
        <f ca="1">IF(B93="+","Unit",IF(ISERROR(OFFSET('HARGA SATUAN'!$E$6,MATCH(RAB!C93,'HARGA SATUAN'!$C$7:$C$1492,0),0)),"",OFFSET('HARGA SATUAN'!$E$6,MATCH(RAB!C93,'HARGA SATUAN'!$C$7:$C$1492,0),0)))</f>
        <v/>
      </c>
      <c r="F93" s="505"/>
      <c r="G93" s="283">
        <f ca="1">IF(ISERROR(OFFSET('HARGA SATUAN'!$I$6,MATCH(RAB!C93,'HARGA SATUAN'!$C$7:$C$1492,0),0)),0,OFFSET('HARGA SATUAN'!$I$6,MATCH(RAB!C93,'HARGA SATUAN'!$C$7:$C$1492,0),0))</f>
        <v>0</v>
      </c>
      <c r="H93" s="284">
        <f t="shared" ca="1" si="25"/>
        <v>0</v>
      </c>
      <c r="I93" s="284">
        <f t="shared" ca="1" si="26"/>
        <v>0</v>
      </c>
      <c r="J93" s="284">
        <f t="shared" ca="1" si="27"/>
        <v>0</v>
      </c>
      <c r="K93" s="285">
        <f t="shared" ca="1" si="28"/>
        <v>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/>
      <c r="B94" s="293"/>
      <c r="C94" s="292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392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ref="H94" ca="1" si="53">IF(OR(D94="MDU",D94="MDU-KD"),(IF($O$3="RAB NON MDU","PLN KD",G94*F94)),0)</f>
        <v>0</v>
      </c>
      <c r="I94" s="284">
        <f t="shared" ref="I94" ca="1" si="54">IF(D94="HDW",G94*F94,0)</f>
        <v>0</v>
      </c>
      <c r="J94" s="284">
        <f t="shared" ref="J94" ca="1" si="55">IF(D94="JASA",G94*F94,0)</f>
        <v>0</v>
      </c>
      <c r="K94" s="285">
        <f t="shared" ref="K94" ca="1" si="56">SUM(H94:J94)</f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 t="s">
        <v>1413</v>
      </c>
      <c r="B95" s="394" t="s">
        <v>514</v>
      </c>
      <c r="C95" s="395" t="s">
        <v>1573</v>
      </c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500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ref="H95" ca="1" si="57">IF(OR(D95="MDU",D95="MDU-KD"),(IF($O$3="RAB NON MDU","PLN KD",G95*F95)),0)</f>
        <v>0</v>
      </c>
      <c r="I95" s="284">
        <f t="shared" ref="I95" ca="1" si="58">IF(D95="HDW",G95*F95,0)</f>
        <v>0</v>
      </c>
      <c r="J95" s="284">
        <f t="shared" ref="J95" ca="1" si="59">IF(D95="JASA",G95*F95,0)</f>
        <v>0</v>
      </c>
      <c r="K95" s="285">
        <f t="shared" ref="K95" ca="1" si="60">SUM(H95:J95)</f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IF(AND(C96=0,#REF!=0,#REF!=0),"BLANKS",1)</f>
        <v>#REF!</v>
      </c>
      <c r="B96" s="501" t="s">
        <v>1005</v>
      </c>
      <c r="C96" s="502" t="s">
        <v>1628</v>
      </c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>Unit</v>
      </c>
      <c r="F96" s="520">
        <v>1</v>
      </c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ref="H96:H97" ca="1" si="61">IF(OR(D96="MDU",D96="MDU-KD"),(IF($O$3="RAB NON MDU","PLN KD",G96*F96)),0)</f>
        <v>0</v>
      </c>
      <c r="I96" s="284">
        <f t="shared" ref="I96:I97" ca="1" si="62">IF(D96="HDW",G96*F96,0)</f>
        <v>0</v>
      </c>
      <c r="J96" s="284">
        <f t="shared" ref="J96:J97" ca="1" si="63">IF(D96="JASA",G96*F96,0)</f>
        <v>0</v>
      </c>
      <c r="K96" s="285">
        <f t="shared" ref="K96:K97" ca="1" si="64">SUM(H96:J96)</f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30">
      <c r="A97" s="259" t="s">
        <v>1413</v>
      </c>
      <c r="B97" s="518">
        <v>1</v>
      </c>
      <c r="C97" s="109" t="s">
        <v>1166</v>
      </c>
      <c r="D97" s="281" t="str">
        <f ca="1">IF(ISERROR(OFFSET('HARGA SATUAN'!$D$6,MATCH(RAB!C97,'HARGA SATUAN'!$C$7:$C$1492,0),0)),"",OFFSET('HARGA SATUAN'!$D$6,MATCH(RAB!C97,'HARGA SATUAN'!$C$7:$C$1492,0),0))</f>
        <v>MDU-KD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520">
        <f>F96*1</f>
        <v>1</v>
      </c>
      <c r="G97" s="283">
        <f ca="1">IF(ISERROR(OFFSET('HARGA SATUAN'!$I$6,MATCH(RAB!C97,'HARGA SATUAN'!$C$7:$C$1492,0),0)),0,OFFSET('HARGA SATUAN'!$I$6,MATCH(RAB!C97,'HARGA SATUAN'!$C$7:$C$1492,0),0))</f>
        <v>1504200</v>
      </c>
      <c r="H97" s="284">
        <f t="shared" ca="1" si="61"/>
        <v>1504200</v>
      </c>
      <c r="I97" s="284">
        <f t="shared" ca="1" si="62"/>
        <v>0</v>
      </c>
      <c r="J97" s="284">
        <f t="shared" ca="1" si="63"/>
        <v>0</v>
      </c>
      <c r="K97" s="285">
        <f t="shared" ca="1" si="64"/>
        <v>1504200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 ht="30">
      <c r="A98" s="259" t="e">
        <f>IF(AND(C98=0,#REF!=0,#REF!=0),"BLANKS",1)</f>
        <v>#REF!</v>
      </c>
      <c r="B98" s="518">
        <v>2</v>
      </c>
      <c r="C98" s="519" t="s">
        <v>505</v>
      </c>
      <c r="D98" s="281" t="str">
        <f ca="1">IF(ISERROR(OFFSET('HARGA SATUAN'!$D$6,MATCH(RAB!C98,'HARGA SATUAN'!$C$7:$C$1492,0),0)),"",OFFSET('HARGA SATUAN'!$D$6,MATCH(RAB!C98,'HARGA SATUAN'!$C$7:$C$1492,0),0))</f>
        <v>MDU-KD</v>
      </c>
      <c r="E98" s="282" t="str">
        <f ca="1">IF(B98="+","Unit",IF(ISERROR(OFFSET('HARGA SATUAN'!$E$6,MATCH(RAB!C98,'HARGA SATUAN'!$C$7:$C$1492,0),0)),"",OFFSET('HARGA SATUAN'!$E$6,MATCH(RAB!C98,'HARGA SATUAN'!$C$7:$C$1492,0),0)))</f>
        <v>Unit</v>
      </c>
      <c r="F98" s="520">
        <f>F96*1</f>
        <v>1</v>
      </c>
      <c r="G98" s="283">
        <f ca="1">IF(ISERROR(OFFSET('HARGA SATUAN'!$I$6,MATCH(RAB!C98,'HARGA SATUAN'!$C$7:$C$1492,0),0)),0,OFFSET('HARGA SATUAN'!$I$6,MATCH(RAB!C98,'HARGA SATUAN'!$C$7:$C$1492,0),0))</f>
        <v>13644300</v>
      </c>
      <c r="H98" s="284">
        <f t="shared" ca="1" si="25"/>
        <v>13644300</v>
      </c>
      <c r="I98" s="284">
        <f t="shared" ca="1" si="26"/>
        <v>0</v>
      </c>
      <c r="J98" s="284">
        <f t="shared" ca="1" si="27"/>
        <v>0</v>
      </c>
      <c r="K98" s="285">
        <f t="shared" ca="1" si="28"/>
        <v>13644300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/>
      <c r="B99" s="518">
        <v>3</v>
      </c>
      <c r="C99" s="519" t="s">
        <v>1112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Unit</v>
      </c>
      <c r="F99" s="520">
        <f>F96*1</f>
        <v>1</v>
      </c>
      <c r="G99" s="283">
        <f ca="1">IF(ISERROR(OFFSET('HARGA SATUAN'!$I$6,MATCH(RAB!C99,'HARGA SATUAN'!$C$7:$C$1492,0),0)),0,OFFSET('HARGA SATUAN'!$I$6,MATCH(RAB!C99,'HARGA SATUAN'!$C$7:$C$1492,0),0))</f>
        <v>1113900</v>
      </c>
      <c r="H99" s="284">
        <f t="shared" ca="1" si="25"/>
        <v>0</v>
      </c>
      <c r="I99" s="284">
        <f t="shared" ca="1" si="26"/>
        <v>1113900</v>
      </c>
      <c r="J99" s="284">
        <f t="shared" ca="1" si="27"/>
        <v>0</v>
      </c>
      <c r="K99" s="285">
        <f t="shared" ca="1" si="28"/>
        <v>1113900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 t="e">
        <f>IF(AND(C100=0,C101=0,#REF!=0),"BLANKS",1)</f>
        <v>#REF!</v>
      </c>
      <c r="B100" s="518">
        <v>4</v>
      </c>
      <c r="C100" s="519" t="s">
        <v>1427</v>
      </c>
      <c r="D100" s="281" t="str">
        <f ca="1">IF(ISERROR(OFFSET('HARGA SATUAN'!$D$6,MATCH(RAB!C100,'HARGA SATUAN'!$C$7:$C$1492,0),0)),"",OFFSET('HARGA SATUAN'!$D$6,MATCH(RAB!C100,'HARGA SATUAN'!$C$7:$C$1492,0),0))</f>
        <v>MDU-KD</v>
      </c>
      <c r="E100" s="282" t="str">
        <f ca="1">IF(B100="+","Unit",IF(ISERROR(OFFSET('HARGA SATUAN'!$E$6,MATCH(RAB!C100,'HARGA SATUAN'!$C$7:$C$1492,0),0)),"",OFFSET('HARGA SATUAN'!$E$6,MATCH(RAB!C100,'HARGA SATUAN'!$C$7:$C$1492,0),0)))</f>
        <v>Mtr</v>
      </c>
      <c r="F100" s="520">
        <v>50</v>
      </c>
      <c r="G100" s="283">
        <f ca="1">IF(ISERROR(OFFSET('HARGA SATUAN'!$I$6,MATCH(RAB!C100,'HARGA SATUAN'!$C$7:$C$1492,0),0)),0,OFFSET('HARGA SATUAN'!$I$6,MATCH(RAB!C100,'HARGA SATUAN'!$C$7:$C$1492,0),0))</f>
        <v>54500</v>
      </c>
      <c r="H100" s="284">
        <f t="shared" ca="1" si="25"/>
        <v>2725000</v>
      </c>
      <c r="I100" s="284">
        <f t="shared" ca="1" si="26"/>
        <v>0</v>
      </c>
      <c r="J100" s="284">
        <f t="shared" ca="1" si="27"/>
        <v>0</v>
      </c>
      <c r="K100" s="285">
        <f t="shared" ca="1" si="28"/>
        <v>2725000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>
      <c r="A101" s="259" t="e">
        <f>IF(AND(C101=0,#REF!=0,#REF!=0),"BLANKS",1)</f>
        <v>#REF!</v>
      </c>
      <c r="B101" s="518">
        <v>5</v>
      </c>
      <c r="C101" s="519" t="s">
        <v>789</v>
      </c>
      <c r="D101" s="281" t="str">
        <f ca="1">IF(ISERROR(OFFSET('HARGA SATUAN'!$D$6,MATCH(RAB!C101,'HARGA SATUAN'!$C$7:$C$1492,0),0)),"",OFFSET('HARGA SATUAN'!$D$6,MATCH(RAB!C101,'HARGA SATUAN'!$C$7:$C$1492,0),0))</f>
        <v>JASA</v>
      </c>
      <c r="E101" s="282" t="str">
        <f ca="1">IF(B101="+","Unit",IF(ISERROR(OFFSET('HARGA SATUAN'!$E$6,MATCH(RAB!C101,'HARGA SATUAN'!$C$7:$C$1492,0),0)),"",OFFSET('HARGA SATUAN'!$E$6,MATCH(RAB!C101,'HARGA SATUAN'!$C$7:$C$1492,0),0)))</f>
        <v>Unit</v>
      </c>
      <c r="F101" s="520">
        <f>F96*1</f>
        <v>1</v>
      </c>
      <c r="G101" s="283">
        <f ca="1">IF(ISERROR(OFFSET('HARGA SATUAN'!$I$6,MATCH(RAB!C101,'HARGA SATUAN'!$C$7:$C$1492,0),0)),0,OFFSET('HARGA SATUAN'!$I$6,MATCH(RAB!C101,'HARGA SATUAN'!$C$7:$C$1492,0),0))</f>
        <v>106400</v>
      </c>
      <c r="H101" s="284">
        <f t="shared" ca="1" si="25"/>
        <v>0</v>
      </c>
      <c r="I101" s="284">
        <f t="shared" ca="1" si="26"/>
        <v>0</v>
      </c>
      <c r="J101" s="284">
        <f t="shared" ca="1" si="27"/>
        <v>106400</v>
      </c>
      <c r="K101" s="285">
        <f t="shared" ca="1" si="28"/>
        <v>106400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 t="s">
        <v>1413</v>
      </c>
      <c r="B102" s="489"/>
      <c r="C102" s="497"/>
      <c r="D102" s="281" t="str">
        <f ca="1">IF(ISERROR(OFFSET('HARGA SATUAN'!$D$6,MATCH(RAB!C102,'HARGA SATUAN'!$C$7:$C$1492,0),0)),"",OFFSET('HARGA SATUAN'!$D$6,MATCH(RAB!C102,'HARGA SATUAN'!$C$7:$C$1492,0),0))</f>
        <v/>
      </c>
      <c r="E102" s="282" t="str">
        <f ca="1">IF(B102="+","Unit",IF(ISERROR(OFFSET('HARGA SATUAN'!$E$6,MATCH(RAB!C102,'HARGA SATUAN'!$C$7:$C$1492,0),0)),"",OFFSET('HARGA SATUAN'!$E$6,MATCH(RAB!C102,'HARGA SATUAN'!$C$7:$C$1492,0),0)))</f>
        <v/>
      </c>
      <c r="F102" s="498"/>
      <c r="G102" s="283">
        <f ca="1">IF(ISERROR(OFFSET('HARGA SATUAN'!$I$6,MATCH(RAB!C102,'HARGA SATUAN'!$C$7:$C$1492,0),0)),0,OFFSET('HARGA SATUAN'!$I$6,MATCH(RAB!C102,'HARGA SATUAN'!$C$7:$C$1492,0),0))</f>
        <v>0</v>
      </c>
      <c r="H102" s="284">
        <f t="shared" ref="H102" ca="1" si="65">IF(OR(D102="MDU",D102="MDU-KD"),(IF($O$3="RAB NON MDU","PLN KD",G102*F102)),0)</f>
        <v>0</v>
      </c>
      <c r="I102" s="284">
        <f t="shared" ref="I102" ca="1" si="66">IF(D102="HDW",G102*F102,0)</f>
        <v>0</v>
      </c>
      <c r="J102" s="284">
        <f t="shared" ref="J102" ca="1" si="67">IF(D102="JASA",G102*F102,0)</f>
        <v>0</v>
      </c>
      <c r="K102" s="285">
        <f t="shared" ref="K102" ca="1" si="68">SUM(H102:J102)</f>
        <v>0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 t="e">
        <f>IF(AND(C103=0,C108=0,#REF!=0),"BLANKS",1)</f>
        <v>#REF!</v>
      </c>
      <c r="B103" s="394" t="s">
        <v>516</v>
      </c>
      <c r="C103" s="395" t="s">
        <v>1574</v>
      </c>
      <c r="D103" s="281" t="str">
        <f ca="1">IF(ISERROR(OFFSET('HARGA SATUAN'!$D$6,MATCH(RAB!C103,'HARGA SATUAN'!$C$7:$C$1492,0),0)),"",OFFSET('HARGA SATUAN'!$D$6,MATCH(RAB!C103,'HARGA SATUAN'!$C$7:$C$1492,0),0))</f>
        <v/>
      </c>
      <c r="E103" s="282" t="str">
        <f ca="1">IF(B103="+","Unit",IF(ISERROR(OFFSET('HARGA SATUAN'!$E$6,MATCH(RAB!C103,'HARGA SATUAN'!$C$7:$C$1492,0),0)),"",OFFSET('HARGA SATUAN'!$E$6,MATCH(RAB!C103,'HARGA SATUAN'!$C$7:$C$1492,0),0)))</f>
        <v/>
      </c>
      <c r="F103" s="392"/>
      <c r="G103" s="283">
        <f ca="1">IF(ISERROR(OFFSET('HARGA SATUAN'!$I$6,MATCH(RAB!C103,'HARGA SATUAN'!$C$7:$C$1492,0),0)),0,OFFSET('HARGA SATUAN'!$I$6,MATCH(RAB!C103,'HARGA SATUAN'!$C$7:$C$1492,0),0))</f>
        <v>0</v>
      </c>
      <c r="H103" s="284">
        <f t="shared" ref="H103:H109" ca="1" si="69">IF(OR(D103="MDU",D103="MDU-KD"),(IF($O$3="RAB NON MDU","PLN KD",G103*F103)),0)</f>
        <v>0</v>
      </c>
      <c r="I103" s="284">
        <f t="shared" ref="I103:I109" ca="1" si="70">IF(D103="HDW",G103*F103,0)</f>
        <v>0</v>
      </c>
      <c r="J103" s="284">
        <f t="shared" ref="J103:J109" ca="1" si="71">IF(D103="JASA",G103*F103,0)</f>
        <v>0</v>
      </c>
      <c r="K103" s="285">
        <f t="shared" ref="K103:K109" ca="1" si="72">SUM(H103:J103)</f>
        <v>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IF(AND(C104=0,#REF!=0,#REF!=0),"BLANKS",1)</f>
        <v>#REF!</v>
      </c>
      <c r="B104" s="472"/>
      <c r="C104" s="292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289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ref="H104:H106" ca="1" si="73">IF(OR(D104="MDU",D104="MDU-KD"),(IF($O$3="RAB NON MDU","PLN KD",G104*F104)),0)</f>
        <v>0</v>
      </c>
      <c r="I104" s="284">
        <f t="shared" ref="I104:I106" ca="1" si="74">IF(D104="HDW",G104*F104,0)</f>
        <v>0</v>
      </c>
      <c r="J104" s="284">
        <f t="shared" ref="J104:J106" ca="1" si="75">IF(D104="JASA",G104*F104,0)</f>
        <v>0</v>
      </c>
      <c r="K104" s="285">
        <f t="shared" ref="K104:K106" ca="1" si="76">SUM(H104:J104)</f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 t="e">
        <f>IF(AND(C105=0,#REF!=0,#REF!=0),"BLANKS",1)</f>
        <v>#REF!</v>
      </c>
      <c r="B105" s="501" t="s">
        <v>1005</v>
      </c>
      <c r="C105" s="109" t="s">
        <v>431</v>
      </c>
      <c r="D105" s="281" t="str">
        <f ca="1">IF(ISERROR(OFFSET('HARGA SATUAN'!$D$6,MATCH(RAB!C105,'HARGA SATUAN'!$C$7:$C$1492,0),0)),"",OFFSET('HARGA SATUAN'!$D$6,MATCH(RAB!C105,'HARGA SATUAN'!$C$7:$C$1492,0),0))</f>
        <v>JASA</v>
      </c>
      <c r="E105" s="282" t="str">
        <f ca="1">IF(B105="+","Unit",IF(ISERROR(OFFSET('HARGA SATUAN'!$E$6,MATCH(RAB!C105,'HARGA SATUAN'!$C$7:$C$1492,0),0)),"",OFFSET('HARGA SATUAN'!$E$6,MATCH(RAB!C105,'HARGA SATUAN'!$C$7:$C$1492,0),0)))</f>
        <v>Unit</v>
      </c>
      <c r="F105" s="392">
        <v>1</v>
      </c>
      <c r="G105" s="283">
        <f ca="1">IF(ISERROR(OFFSET('HARGA SATUAN'!$I$6,MATCH(RAB!C105,'HARGA SATUAN'!$C$7:$C$1492,0),0)),0,OFFSET('HARGA SATUAN'!$I$6,MATCH(RAB!C105,'HARGA SATUAN'!$C$7:$C$1492,0),0))</f>
        <v>522000</v>
      </c>
      <c r="H105" s="284">
        <f t="shared" ca="1" si="73"/>
        <v>0</v>
      </c>
      <c r="I105" s="284">
        <f t="shared" ca="1" si="74"/>
        <v>0</v>
      </c>
      <c r="J105" s="284">
        <f t="shared" ca="1" si="75"/>
        <v>522000</v>
      </c>
      <c r="K105" s="285">
        <f t="shared" ca="1" si="76"/>
        <v>522000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>
      <c r="B106" s="501" t="s">
        <v>1005</v>
      </c>
      <c r="C106" s="292" t="s">
        <v>925</v>
      </c>
      <c r="D106" s="281" t="str">
        <f ca="1">IF(ISERROR(OFFSET('HARGA SATUAN'!$D$6,MATCH(RAB!C106,'HARGA SATUAN'!$C$7:$C$1492,0),0)),"",OFFSET('HARGA SATUAN'!$D$6,MATCH(RAB!C106,'HARGA SATUAN'!$C$7:$C$1492,0),0))</f>
        <v>JASA</v>
      </c>
      <c r="E106" s="282" t="str">
        <f ca="1">IF(B106="+","Unit",IF(ISERROR(OFFSET('HARGA SATUAN'!$E$6,MATCH(RAB!C106,'HARGA SATUAN'!$C$7:$C$1492,0),0)),"",OFFSET('HARGA SATUAN'!$E$6,MATCH(RAB!C106,'HARGA SATUAN'!$C$7:$C$1492,0),0)))</f>
        <v>Unit</v>
      </c>
      <c r="F106" s="289">
        <v>1</v>
      </c>
      <c r="G106" s="283">
        <f ca="1">IF(ISERROR(OFFSET('HARGA SATUAN'!$I$6,MATCH(RAB!C106,'HARGA SATUAN'!$C$7:$C$1492,0),0)),0,OFFSET('HARGA SATUAN'!$I$6,MATCH(RAB!C106,'HARGA SATUAN'!$C$7:$C$1492,0),0))</f>
        <v>27360</v>
      </c>
      <c r="H106" s="284">
        <f t="shared" ca="1" si="73"/>
        <v>0</v>
      </c>
      <c r="I106" s="284">
        <f t="shared" ca="1" si="74"/>
        <v>0</v>
      </c>
      <c r="J106" s="284">
        <f t="shared" ca="1" si="75"/>
        <v>27360</v>
      </c>
      <c r="K106" s="285">
        <f t="shared" ca="1" si="76"/>
        <v>27360</v>
      </c>
    </row>
    <row r="107" spans="1:22" s="291" customFormat="1">
      <c r="A107" s="259" t="e">
        <f>IF(AND(C107=0,#REF!=0,#REF!=0),"BLANKS",1)</f>
        <v>#REF!</v>
      </c>
      <c r="B107" s="501" t="s">
        <v>1005</v>
      </c>
      <c r="C107" s="292" t="s">
        <v>858</v>
      </c>
      <c r="D107" s="281" t="str">
        <f ca="1">IF(ISERROR(OFFSET('HARGA SATUAN'!$D$6,MATCH(RAB!C107,'HARGA SATUAN'!$C$7:$C$1492,0),0)),"",OFFSET('HARGA SATUAN'!$D$6,MATCH(RAB!C107,'HARGA SATUAN'!$C$7:$C$1492,0),0))</f>
        <v>JASA</v>
      </c>
      <c r="E107" s="282" t="str">
        <f ca="1">IF(B107="+","Unit",IF(ISERROR(OFFSET('HARGA SATUAN'!$E$6,MATCH(RAB!C107,'HARGA SATUAN'!$C$7:$C$1492,0),0)),"",OFFSET('HARGA SATUAN'!$E$6,MATCH(RAB!C107,'HARGA SATUAN'!$C$7:$C$1492,0),0)))</f>
        <v>Unit</v>
      </c>
      <c r="F107" s="289">
        <v>1</v>
      </c>
      <c r="G107" s="283">
        <f ca="1">IF(ISERROR(OFFSET('HARGA SATUAN'!$I$6,MATCH(RAB!C107,'HARGA SATUAN'!$C$7:$C$1492,0),0)),0,OFFSET('HARGA SATUAN'!$I$6,MATCH(RAB!C107,'HARGA SATUAN'!$C$7:$C$1492,0),0))</f>
        <v>50340</v>
      </c>
      <c r="H107" s="284">
        <f t="shared" ca="1" si="69"/>
        <v>0</v>
      </c>
      <c r="I107" s="284">
        <f t="shared" ca="1" si="70"/>
        <v>0</v>
      </c>
      <c r="J107" s="284">
        <f t="shared" ca="1" si="71"/>
        <v>50340</v>
      </c>
      <c r="K107" s="285">
        <f t="shared" ca="1" si="72"/>
        <v>50340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 t="e">
        <f>IF(AND(C108=0,#REF!=0,#REF!=0),"BLANKS",1)</f>
        <v>#REF!</v>
      </c>
      <c r="B108" s="501" t="s">
        <v>1005</v>
      </c>
      <c r="C108" s="109" t="s">
        <v>798</v>
      </c>
      <c r="D108" s="281" t="str">
        <f ca="1">IF(ISERROR(OFFSET('HARGA SATUAN'!$D$6,MATCH(RAB!C108,'HARGA SATUAN'!$C$7:$C$1492,0),0)),"",OFFSET('HARGA SATUAN'!$D$6,MATCH(RAB!C108,'HARGA SATUAN'!$C$7:$C$1492,0),0))</f>
        <v>JASA</v>
      </c>
      <c r="E108" s="282" t="str">
        <f ca="1">IF(B108="+","Unit",IF(ISERROR(OFFSET('HARGA SATUAN'!$E$6,MATCH(RAB!C108,'HARGA SATUAN'!$C$7:$C$1492,0),0)),"",OFFSET('HARGA SATUAN'!$E$6,MATCH(RAB!C108,'HARGA SATUAN'!$C$7:$C$1492,0),0)))</f>
        <v>Unit</v>
      </c>
      <c r="F108" s="392">
        <v>3</v>
      </c>
      <c r="G108" s="283">
        <f ca="1">IF(ISERROR(OFFSET('HARGA SATUAN'!$I$6,MATCH(RAB!C108,'HARGA SATUAN'!$C$7:$C$1492,0),0)),0,OFFSET('HARGA SATUAN'!$I$6,MATCH(RAB!C108,'HARGA SATUAN'!$C$7:$C$1492,0),0))</f>
        <v>17820</v>
      </c>
      <c r="H108" s="284">
        <f t="shared" ca="1" si="69"/>
        <v>0</v>
      </c>
      <c r="I108" s="284">
        <f t="shared" ca="1" si="70"/>
        <v>0</v>
      </c>
      <c r="J108" s="284">
        <f t="shared" ca="1" si="71"/>
        <v>53460</v>
      </c>
      <c r="K108" s="285">
        <f t="shared" ca="1" si="72"/>
        <v>53460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>
      <c r="B109" s="501" t="s">
        <v>1005</v>
      </c>
      <c r="C109" s="109" t="s">
        <v>797</v>
      </c>
      <c r="D109" s="281" t="str">
        <f ca="1">IF(ISERROR(OFFSET('HARGA SATUAN'!$D$6,MATCH(RAB!C109,'HARGA SATUAN'!$C$7:$C$1492,0),0)),"",OFFSET('HARGA SATUAN'!$D$6,MATCH(RAB!C109,'HARGA SATUAN'!$C$7:$C$1492,0),0))</f>
        <v>JASA</v>
      </c>
      <c r="E109" s="282" t="str">
        <f ca="1">IF(B109="+","Unit",IF(ISERROR(OFFSET('HARGA SATUAN'!$E$6,MATCH(RAB!C109,'HARGA SATUAN'!$C$7:$C$1492,0),0)),"",OFFSET('HARGA SATUAN'!$E$6,MATCH(RAB!C109,'HARGA SATUAN'!$C$7:$C$1492,0),0)))</f>
        <v>Unit</v>
      </c>
      <c r="F109" s="289">
        <v>1</v>
      </c>
      <c r="G109" s="283">
        <f ca="1">IF(ISERROR(OFFSET('HARGA SATUAN'!$I$6,MATCH(RAB!C109,'HARGA SATUAN'!$C$7:$C$1492,0),0)),0,OFFSET('HARGA SATUAN'!$I$6,MATCH(RAB!C109,'HARGA SATUAN'!$C$7:$C$1492,0),0))</f>
        <v>15060</v>
      </c>
      <c r="H109" s="284">
        <f t="shared" ca="1" si="69"/>
        <v>0</v>
      </c>
      <c r="I109" s="284">
        <f t="shared" ca="1" si="70"/>
        <v>0</v>
      </c>
      <c r="J109" s="284">
        <f t="shared" ca="1" si="71"/>
        <v>15060</v>
      </c>
      <c r="K109" s="285">
        <f t="shared" ca="1" si="72"/>
        <v>15060</v>
      </c>
    </row>
    <row r="110" spans="1:22" s="291" customFormat="1">
      <c r="A110" s="259" t="e">
        <f>IF(AND(C110=0,#REF!=0,#REF!=0),"BLANKS",1)</f>
        <v>#REF!</v>
      </c>
      <c r="B110" s="501"/>
      <c r="C110" s="292"/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289"/>
      <c r="G110" s="283">
        <f ca="1">IF(ISERROR(OFFSET('HARGA SATUAN'!$I$6,MATCH(RAB!C110,'HARGA SATUAN'!$C$7:$C$1492,0),0)),0,OFFSET('HARGA SATUAN'!$I$6,MATCH(RAB!C110,'HARGA SATUAN'!$C$7:$C$1492,0),0))</f>
        <v>0</v>
      </c>
      <c r="H110" s="284">
        <f t="shared" ref="H110:H111" ca="1" si="77">IF(OR(D110="MDU",D110="MDU-KD"),(IF($O$3="RAB NON MDU","PLN KD",G110*F110)),0)</f>
        <v>0</v>
      </c>
      <c r="I110" s="284">
        <f t="shared" ref="I110:I111" ca="1" si="78">IF(D110="HDW",G110*F110,0)</f>
        <v>0</v>
      </c>
      <c r="J110" s="284">
        <f t="shared" ref="J110:J111" ca="1" si="79">IF(D110="JASA",G110*F110,0)</f>
        <v>0</v>
      </c>
      <c r="K110" s="285">
        <f t="shared" ref="K110:K111" ca="1" si="80">SUM(H110:J110)</f>
        <v>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IF(AND(C111=0,#REF!=0,#REF!=0),"BLANKS",1)</f>
        <v>#REF!</v>
      </c>
      <c r="B111" s="501"/>
      <c r="C111" s="109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392"/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77"/>
        <v>0</v>
      </c>
      <c r="I111" s="284">
        <f t="shared" ca="1" si="78"/>
        <v>0</v>
      </c>
      <c r="J111" s="284">
        <f t="shared" ca="1" si="79"/>
        <v>0</v>
      </c>
      <c r="K111" s="285">
        <f t="shared" ca="1" si="80"/>
        <v>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>
      <c r="B112" s="294"/>
      <c r="C112" s="292"/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/>
      </c>
      <c r="F112" s="289"/>
      <c r="G112" s="283">
        <f ca="1">IF(ISERROR(OFFSET('HARGA SATUAN'!$I$6,MATCH(RAB!C112,'HARGA SATUAN'!$C$7:$C$1492,0),0)),0,OFFSET('HARGA SATUAN'!$I$6,MATCH(RAB!C112,'HARGA SATUAN'!$C$7:$C$1492,0),0))</f>
        <v>0</v>
      </c>
      <c r="H112" s="284">
        <f t="shared" ref="H112" ca="1" si="81">IF(OR(D112="MDU",D112="MDU-KD"),(IF($O$3="RAB NON MDU","PLN KD",G112*F112)),0)</f>
        <v>0</v>
      </c>
      <c r="I112" s="284">
        <f t="shared" ref="I112" ca="1" si="82">IF(D112="HDW",G112*F112,0)</f>
        <v>0</v>
      </c>
      <c r="J112" s="284">
        <f t="shared" ref="J112" ca="1" si="83">IF(D112="JASA",G112*F112,0)</f>
        <v>0</v>
      </c>
      <c r="K112" s="285">
        <f t="shared" ref="K112" ca="1" si="84">SUM(H112:J112)</f>
        <v>0</v>
      </c>
    </row>
    <row r="113" spans="2:13">
      <c r="B113" s="295" t="s">
        <v>520</v>
      </c>
      <c r="C113" s="296" t="s">
        <v>465</v>
      </c>
      <c r="D113" s="281" t="str">
        <f ca="1">IF(ISERROR(OFFSET('HARGA SATUAN'!$D$6,MATCH(RAB!C113,'HARGA SATUAN'!$C$7:$C$1492,0),0)),"",OFFSET('HARGA SATUAN'!$D$6,MATCH(RAB!C113,'HARGA SATUAN'!$C$7:$C$1492,0),0))</f>
        <v/>
      </c>
      <c r="E113" s="282" t="str">
        <f ca="1">IF(B113="+","Unit",IF(ISERROR(OFFSET('HARGA SATUAN'!$E$6,MATCH(RAB!C113,'HARGA SATUAN'!$C$7:$C$1492,0),0)),"",OFFSET('HARGA SATUAN'!$E$6,MATCH(RAB!C113,'HARGA SATUAN'!$C$7:$C$1492,0),0)))</f>
        <v/>
      </c>
      <c r="F113" s="297"/>
      <c r="G113" s="283">
        <f ca="1">IF(ISERROR(OFFSET('HARGA SATUAN'!$I$6,MATCH(RAB!C113,'HARGA SATUAN'!$C$7:$C$1492,0),0)),0,OFFSET('HARGA SATUAN'!$I$6,MATCH(RAB!C113,'HARGA SATUAN'!$C$7:$C$1492,0),0))</f>
        <v>0</v>
      </c>
      <c r="H113" s="284">
        <f t="shared" ref="H113" ca="1" si="85">IF(OR(D113="MDU",D113="MDU-KD"),(IF($O$3="RAB NON MDU","PLN KD",G113*F113)),0)</f>
        <v>0</v>
      </c>
      <c r="I113" s="284">
        <f ca="1">IF(D113="HDW",G113*F113,0)</f>
        <v>0</v>
      </c>
      <c r="J113" s="284">
        <f ca="1">IF(D113="JASA",G113*F113,0)</f>
        <v>0</v>
      </c>
      <c r="K113" s="285">
        <f ca="1">SUM(H113:J113)</f>
        <v>0</v>
      </c>
    </row>
    <row r="114" spans="2:13">
      <c r="B114" s="298">
        <v>1</v>
      </c>
      <c r="C114" s="299" t="s">
        <v>1061</v>
      </c>
      <c r="D114" s="300" t="str">
        <f ca="1">IF(ISERROR(OFFSET('HARGA SATUAN'!$D$6,MATCH(RAB!C114,'HARGA SATUAN'!$C$7:$C$1492,0),0)),"",OFFSET('HARGA SATUAN'!$D$6,MATCH(RAB!C114,'HARGA SATUAN'!$C$7:$C$1492,0),0))</f>
        <v>JASA</v>
      </c>
      <c r="E114" s="301" t="str">
        <f ca="1">IF(ISERROR(OFFSET('HARGA SATUAN'!$E$6,MATCH(RAB!C114,'HARGA SATUAN'!$C$7:$C$1492,0),0)),"",OFFSET('HARGA SATUAN'!$E$6,MATCH(RAB!C114,'HARGA SATUAN'!$C$7:$C$1492,0),0))</f>
        <v>Lot</v>
      </c>
      <c r="F114" s="302">
        <v>1</v>
      </c>
      <c r="G114" s="303">
        <f ca="1">IF(ISERROR(OFFSET('HARGA SATUAN'!$I$6,MATCH(RAB!C114,'HARGA SATUAN'!$C$7:$C$1492,0),0)),0,OFFSET('HARGA SATUAN'!$I$6,MATCH(RAB!C114,'HARGA SATUAN'!$C$7:$C$1492,0),0))</f>
        <v>2.5000000000000001E-2</v>
      </c>
      <c r="H114" s="304"/>
      <c r="I114" s="304"/>
      <c r="J114" s="304">
        <f ca="1">SUM(K15:K112)*G114</f>
        <v>2180571.1816666666</v>
      </c>
      <c r="K114" s="305">
        <f ca="1">SUM(H114:J114)</f>
        <v>2180571.1816666666</v>
      </c>
    </row>
    <row r="115" spans="2:13">
      <c r="B115" s="306"/>
      <c r="C115" s="307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IF(ISERROR(OFFSET('HARGA SATUAN'!$E$6,MATCH(RAB!C115,'HARGA SATUAN'!$C$7:$C$1492,0),0)),"",OFFSET('HARGA SATUAN'!$E$6,MATCH(RAB!C115,'HARGA SATUAN'!$C$7:$C$1492,0),0))</f>
        <v/>
      </c>
      <c r="F115" s="297"/>
      <c r="G115" s="283" t="str">
        <f ca="1">IF(ISERROR(OFFSET('HARGA SATUAN'!$I$6,MATCH(RAB!C115,'HARGA SATUAN'!$C$7:$C$1492,0),0)),"",OFFSET('HARGA SATUAN'!$I$6,MATCH(RAB!C115,'HARGA SATUAN'!$C$7:$C$1492,0),0))</f>
        <v/>
      </c>
      <c r="H115" s="284">
        <f ca="1">IF(OR(D115="MDU",D115="MDU-KD"),IF(G115="PLN",0,G115*F115),0)</f>
        <v>0</v>
      </c>
      <c r="I115" s="284">
        <f ca="1">IF(D115="HDW",IF(G115="PLN",0,G115*F115),0)</f>
        <v>0</v>
      </c>
      <c r="J115" s="284">
        <f ca="1">IF(D115="JASA",IF(G115="PLN",0,G115*F115),0)</f>
        <v>0</v>
      </c>
      <c r="K115" s="285">
        <f ca="1">SUM(H115:J115)</f>
        <v>0</v>
      </c>
    </row>
    <row r="116" spans="2:13" ht="15.75" thickBot="1">
      <c r="B116" s="308"/>
      <c r="C116" s="309"/>
      <c r="D116" s="310"/>
      <c r="E116" s="311"/>
      <c r="F116" s="311"/>
      <c r="G116" s="311"/>
      <c r="H116" s="312"/>
      <c r="I116" s="312"/>
      <c r="J116" s="312"/>
      <c r="K116" s="313"/>
    </row>
    <row r="117" spans="2:13">
      <c r="B117" s="314"/>
      <c r="C117" s="620" t="s">
        <v>980</v>
      </c>
      <c r="D117" s="620"/>
      <c r="E117" s="620"/>
      <c r="F117" s="620"/>
      <c r="G117" s="315" t="s">
        <v>9</v>
      </c>
      <c r="H117" s="316">
        <f ca="1">SUM(H14:H115)</f>
        <v>66352150</v>
      </c>
      <c r="I117" s="316">
        <f ca="1">SUM(I14:I115)</f>
        <v>17587236.600000001</v>
      </c>
      <c r="J117" s="316">
        <f ca="1">SUM(J14:J115)</f>
        <v>5464031.8483333327</v>
      </c>
      <c r="K117" s="316">
        <f ca="1">SUM(K14:K115)</f>
        <v>89403418.448333338</v>
      </c>
    </row>
    <row r="118" spans="2:13">
      <c r="B118" s="317"/>
      <c r="C118" s="637" t="s">
        <v>1425</v>
      </c>
      <c r="D118" s="637"/>
      <c r="E118" s="637"/>
      <c r="F118" s="637"/>
      <c r="G118" s="318" t="s">
        <v>9</v>
      </c>
      <c r="H118" s="319">
        <f ca="1">H117*0.11</f>
        <v>7298736.5</v>
      </c>
      <c r="I118" s="319">
        <f ca="1">I117*0.11</f>
        <v>1934596.0260000001</v>
      </c>
      <c r="J118" s="319">
        <f ca="1">J117*0.11</f>
        <v>601043.50331666658</v>
      </c>
      <c r="K118" s="319">
        <f ca="1">K117*0.11</f>
        <v>9834376.0293166675</v>
      </c>
    </row>
    <row r="119" spans="2:13" ht="15.75" thickBot="1">
      <c r="B119" s="317"/>
      <c r="C119" s="636" t="s">
        <v>453</v>
      </c>
      <c r="D119" s="636"/>
      <c r="E119" s="636"/>
      <c r="F119" s="636"/>
      <c r="G119" s="320" t="s">
        <v>9</v>
      </c>
      <c r="H119" s="321">
        <f ca="1">SUM(H117:H118)</f>
        <v>73650886.5</v>
      </c>
      <c r="I119" s="321">
        <f ca="1">SUM(I117:I118)</f>
        <v>19521832.626000002</v>
      </c>
      <c r="J119" s="320">
        <f ca="1">SUM(J117:J118)</f>
        <v>6065075.3516499996</v>
      </c>
      <c r="K119" s="320">
        <f ca="1">SUM(K117:K118)</f>
        <v>99237794.477650002</v>
      </c>
      <c r="M119" s="385"/>
    </row>
    <row r="120" spans="2:13">
      <c r="B120" s="638" t="str">
        <f ca="1">"Terbilang : "&amp;PROPER(IF(K119=0,"nol",IF(K119&lt;0,"minus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IF(--MID(TEXT(ABS(K119),"000000000000000"),1,3)=0,"",MID(TEXT(ABS(K119),"000000000000000"),1,1)&amp;" ratus "&amp;MID(TEXT(ABS(K119),"000000000000000"),2,1)&amp;" puluh "&amp;MID(TEXT(ABS(K119),"000000000000000"),3,1)&amp;" trilyun ")&amp; IF(--MID(TEXT(ABS(K119),"000000000000000"),4,3)=0,"",MID(TEXT(ABS(K119),"000000000000000"),4,1)&amp;" ratus "&amp;MID(TEXT(ABS(K119),"000000000000000"),5,1)&amp;" puluh "&amp;MID(TEXT(ABS(K119),"000000000000000"),6,1)&amp;" milyar ")&amp; IF(--MID(TEXT(ABS(K119),"000000000000000"),7,3)=0,"",MID(TEXT(ABS(K119),"000000000000000"),7,1)&amp;" ratus "&amp;MID(TEXT(ABS(K119),"000000000000000"),8,1)&amp;" puluh "&amp;MID(TEXT(ABS(K119),"000000000000000"),9,1)&amp;" juta ")&amp; IF(--MID(TEXT(ABS(K119),"000000000000000"),10,3)=0,"",IF(--MID(TEXT(ABS(K119),"000000000000000"),10,3)=1,"*",MID(TEXT(ABS(K119),"000000000000000"),10,1)&amp;" ratus "&amp;MID(TEXT(ABS(K119),"000000000000000"),11,1)&amp;" puluh ")&amp;MID(TEXT(ABS(K119),"000000000000000"),12,1)&amp;" ribu ")&amp; IF(--MID(TEXT(ABS(K119),"000000000000000"),13,3)=0,"",MID(TEXT(ABS(K119),"000000000000000"),13,1)&amp;" ratus "&amp;MID(TEXT(ABS(K119),"000000000000000"),14,1)&amp;" puluh "&amp;MID(TEXT(ABS(K119),"000000000000000"),15,1)),1,"satu"),2,"dua"),3,"tiga"),4,"empat"),5,"lima"),6,"enam"),7,"tujuh"),8,"delapan"),9,"sembilan"),"0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Sembilan Juta Dua Ratus Tiga Puluh Tujuh Ribu Tujuh Ratus Sembilan Puluh Empat Rupiah</v>
      </c>
      <c r="C120" s="639"/>
      <c r="D120" s="639"/>
      <c r="E120" s="639"/>
      <c r="F120" s="639"/>
      <c r="G120" s="639"/>
      <c r="H120" s="639"/>
      <c r="I120" s="639"/>
      <c r="J120" s="639"/>
      <c r="K120" s="640"/>
    </row>
    <row r="121" spans="2:13">
      <c r="B121" s="641"/>
      <c r="C121" s="642"/>
      <c r="D121" s="642"/>
      <c r="E121" s="642"/>
      <c r="F121" s="642"/>
      <c r="G121" s="642"/>
      <c r="H121" s="642"/>
      <c r="I121" s="642"/>
      <c r="J121" s="642"/>
      <c r="K121" s="643"/>
    </row>
    <row r="122" spans="2:13" ht="15.75" thickBot="1">
      <c r="B122" s="322" t="str">
        <f>"Harga yang dipakai adalah "&amp;'HARGA SATUAN'!I5&amp;""</f>
        <v>Harga yang dipakai adalah RAB HSS 2023</v>
      </c>
      <c r="C122" s="323"/>
      <c r="D122" s="324"/>
      <c r="E122" s="324"/>
      <c r="F122" s="324"/>
      <c r="G122" s="325"/>
      <c r="H122" s="325"/>
      <c r="I122" s="325"/>
      <c r="J122" s="325"/>
      <c r="K122" s="326"/>
    </row>
    <row r="123" spans="2:13">
      <c r="C123" s="327"/>
      <c r="E123" s="329"/>
      <c r="F123" s="329"/>
      <c r="G123" s="329"/>
    </row>
    <row r="124" spans="2:13">
      <c r="C124" s="260"/>
      <c r="E124" s="329"/>
      <c r="F124" s="329"/>
      <c r="G124" s="329"/>
      <c r="H124" s="644"/>
      <c r="I124" s="644"/>
      <c r="J124" s="645"/>
      <c r="K124" s="645"/>
    </row>
    <row r="125" spans="2:13">
      <c r="C125" s="260"/>
      <c r="E125" s="329"/>
      <c r="F125" s="329"/>
      <c r="G125" s="329"/>
      <c r="H125" s="330"/>
      <c r="I125" s="635" t="s">
        <v>1635</v>
      </c>
      <c r="J125" s="635"/>
      <c r="K125" s="635"/>
    </row>
    <row r="126" spans="2:13">
      <c r="C126" s="260"/>
      <c r="E126" s="329"/>
      <c r="F126" s="329"/>
      <c r="G126" s="329"/>
      <c r="H126" s="330"/>
      <c r="I126" s="635" t="s">
        <v>1617</v>
      </c>
      <c r="J126" s="635"/>
      <c r="K126" s="635"/>
    </row>
    <row r="127" spans="2:13">
      <c r="C127" s="260"/>
      <c r="E127" s="329"/>
      <c r="F127" s="329"/>
      <c r="G127" s="329"/>
      <c r="H127" s="331"/>
      <c r="I127" s="332"/>
      <c r="J127" s="332"/>
      <c r="K127" s="332"/>
    </row>
    <row r="128" spans="2:13">
      <c r="C128" s="260"/>
      <c r="E128" s="329"/>
      <c r="F128" s="329"/>
      <c r="G128" s="329"/>
      <c r="H128" s="331"/>
      <c r="I128" s="331"/>
      <c r="J128" s="331"/>
      <c r="K128" s="331"/>
    </row>
    <row r="129" spans="3:11">
      <c r="C129" s="260"/>
      <c r="E129" s="329"/>
      <c r="F129" s="329"/>
      <c r="G129" s="329"/>
      <c r="H129" s="331"/>
      <c r="I129" s="331"/>
      <c r="J129" s="331"/>
      <c r="K129" s="331"/>
    </row>
    <row r="130" spans="3:11">
      <c r="C130" s="260"/>
      <c r="E130" s="329"/>
      <c r="F130" s="329"/>
      <c r="G130" s="329"/>
      <c r="H130" s="331"/>
      <c r="I130" s="331"/>
      <c r="J130" s="331"/>
      <c r="K130" s="331"/>
    </row>
    <row r="131" spans="3:11">
      <c r="C131" s="260"/>
      <c r="E131" s="329"/>
      <c r="F131" s="329"/>
      <c r="G131" s="329"/>
      <c r="H131" s="333"/>
      <c r="I131" s="635" t="s">
        <v>1618</v>
      </c>
      <c r="J131" s="635"/>
      <c r="K131" s="635"/>
    </row>
    <row r="132" spans="3:11">
      <c r="C132" s="327"/>
      <c r="E132" s="329"/>
      <c r="F132" s="329"/>
      <c r="G132" s="329"/>
      <c r="H132" s="331"/>
      <c r="I132" s="331"/>
      <c r="J132" s="331"/>
      <c r="K132" s="331"/>
    </row>
    <row r="133" spans="3:11">
      <c r="C133" s="327"/>
      <c r="E133" s="329"/>
      <c r="F133" s="329"/>
      <c r="G133" s="329"/>
      <c r="H133" s="331"/>
      <c r="I133" s="331"/>
      <c r="J133" s="331"/>
      <c r="K133" s="331"/>
    </row>
    <row r="134" spans="3:11">
      <c r="C134" s="327"/>
      <c r="E134" s="329"/>
      <c r="F134" s="329"/>
      <c r="G134" s="329"/>
      <c r="H134" s="331"/>
      <c r="I134" s="331"/>
      <c r="J134" s="331"/>
      <c r="K134" s="331"/>
    </row>
  </sheetData>
  <sheetProtection sort="0" autoFilter="0"/>
  <protectedRanges>
    <protectedRange sqref="B112" name="Range1_1"/>
    <protectedRange sqref="F112 F106 F109" name="Range1_1_3"/>
    <protectedRange sqref="F15" name="Range1_1_2_2"/>
    <protectedRange sqref="B95:C95 B96:B97 B98:C103 B94 B44 B90:B91 B50:B51 B21:B22 B105:B111" name="Range1_1_2"/>
    <protectedRange sqref="B15 C21:C22 C90" name="Range1_6"/>
    <protectedRange sqref="C96 C94 C91 C51" name="Range1_2_1"/>
    <protectedRange sqref="B45:C45" name="Range1_1_2_8"/>
    <protectedRange sqref="B40:B43 B52:B53 B46:B49 B83:B84 B16:B20 B104 B92:B93 B89 B23" name="Range1_1_1_1_1"/>
    <protectedRange sqref="C18 C42:C43 C93 C52:C53 C46:C47 C83 C107 C20 C104 C110 C89" name="Range1_1_2_12_1"/>
    <protectedRange sqref="C105 C111 C108:C109" name="Range1_1_3_1"/>
    <protectedRange sqref="C19 C16:C17" name="Range1_1_3_2"/>
    <protectedRange sqref="C50" name="Range1_1_3_5"/>
    <protectedRange sqref="C84 C92" name="Range1_1_3_6"/>
    <protectedRange sqref="C40 C23" name="Range1_1_3_7"/>
    <protectedRange sqref="C49" name="Range1_1_3_10"/>
    <protectedRange sqref="B66 B62 B56:B57 B78:B79 B69 B74 B85" name="Range1_1_2_1"/>
    <protectedRange sqref="C66 C62 C56 C78 C69 C74" name="Range1_6_1"/>
    <protectedRange sqref="C79 C57 C85" name="Range1_2_1_1"/>
    <protectedRange sqref="B63:B65 B58:B61 B54:B55 B80:B82 B67:B68 B75:B77 B70:B73 B86:B88 B39" name="Range1_1_1_1_1_1"/>
    <protectedRange sqref="C63:C65 C59:C61 C54:C55 C81:C82 C67:C68 C75:C77 C70:C73 C87:C88 C39" name="Range1_1_2_12_1_1"/>
    <protectedRange sqref="C80 C86" name="Range1_1_3_6_1"/>
    <protectedRange sqref="C41" name="Range1_1_3_13"/>
    <protectedRange sqref="C58" name="Range1_1_3_14"/>
    <protectedRange sqref="C48" name="Range1_1_3_8"/>
    <protectedRange sqref="C44" name="Range1_1_3_9"/>
    <protectedRange sqref="B33:B34" name="Range1_1_2_3"/>
    <protectedRange sqref="C33" name="Range1_6_2"/>
    <protectedRange sqref="C34" name="Range1_2_1_2"/>
    <protectedRange sqref="B32 B35:B38" name="Range1_1_1_1_1_2"/>
    <protectedRange sqref="C32 C36:C38" name="Range1_1_2_12_1_2"/>
    <protectedRange sqref="C35" name="Range1_1_3_6_2"/>
    <protectedRange sqref="B27:B28" name="Range1_1_2_1_1"/>
    <protectedRange sqref="C27" name="Range1_6_1_1"/>
    <protectedRange sqref="C28" name="Range1_2_1_1_1"/>
    <protectedRange sqref="B24:B26 B29:B31" name="Range1_1_1_1_1_1_1"/>
    <protectedRange sqref="C24:C26 C30:C31" name="Range1_1_2_12_1_1_1"/>
    <protectedRange sqref="C29" name="Range1_1_3_6_1_1"/>
  </protectedRanges>
  <mergeCells count="22">
    <mergeCell ref="I126:K126"/>
    <mergeCell ref="I131:K131"/>
    <mergeCell ref="C119:F119"/>
    <mergeCell ref="I125:K125"/>
    <mergeCell ref="C118:F118"/>
    <mergeCell ref="B120:K121"/>
    <mergeCell ref="H124:K124"/>
    <mergeCell ref="O3:P4"/>
    <mergeCell ref="B4:K4"/>
    <mergeCell ref="C117:F11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4" type="noConversion"/>
  <conditionalFormatting sqref="C15 C18">
    <cfRule type="cellIs" dxfId="109" priority="221" operator="equal">
      <formula>0</formula>
    </cfRule>
  </conditionalFormatting>
  <conditionalFormatting sqref="C112">
    <cfRule type="cellIs" dxfId="108" priority="263" operator="equal">
      <formula>0</formula>
    </cfRule>
  </conditionalFormatting>
  <conditionalFormatting sqref="E1:E3 H12:I12 O13 H112:K116 G113:H113 E115:H115 E116:F116 E102:K103 E95 G95:K95 F14:K15 E5:E15 S14:V15 S18:V18 E18:K18 E44:E45 S44:V45 S108:V108 E108:K108 G44:K45 E22:K22 S22:V22 F39 S94:V103">
    <cfRule type="cellIs" dxfId="107" priority="1244" stopIfTrue="1" operator="equal">
      <formula>0</formula>
    </cfRule>
  </conditionalFormatting>
  <conditionalFormatting sqref="E112:G114">
    <cfRule type="cellIs" dxfId="106" priority="440" stopIfTrue="1" operator="equal">
      <formula>0</formula>
    </cfRule>
  </conditionalFormatting>
  <conditionalFormatting sqref="E96:E101 G96:K101">
    <cfRule type="cellIs" dxfId="105" priority="222" stopIfTrue="1" operator="equal">
      <formula>0</formula>
    </cfRule>
  </conditionalFormatting>
  <conditionalFormatting sqref="G1:G13">
    <cfRule type="cellIs" dxfId="104" priority="271" stopIfTrue="1" operator="equal">
      <formula>0</formula>
    </cfRule>
  </conditionalFormatting>
  <conditionalFormatting sqref="G115:G65581 E120:E65581">
    <cfRule type="cellIs" dxfId="103" priority="378" stopIfTrue="1" operator="equal">
      <formula>0</formula>
    </cfRule>
  </conditionalFormatting>
  <conditionalFormatting sqref="F95">
    <cfRule type="cellIs" dxfId="102" priority="215" stopIfTrue="1" operator="equal">
      <formula>0</formula>
    </cfRule>
  </conditionalFormatting>
  <conditionalFormatting sqref="C108:C109">
    <cfRule type="cellIs" dxfId="101" priority="203" operator="equal">
      <formula>0</formula>
    </cfRule>
  </conditionalFormatting>
  <conditionalFormatting sqref="E17:K17 S17:V17">
    <cfRule type="cellIs" dxfId="100" priority="198" stopIfTrue="1" operator="equal">
      <formula>0</formula>
    </cfRule>
  </conditionalFormatting>
  <conditionalFormatting sqref="S43:V43 E43 G43:K43">
    <cfRule type="cellIs" dxfId="99" priority="196" stopIfTrue="1" operator="equal">
      <formula>0</formula>
    </cfRule>
  </conditionalFormatting>
  <conditionalFormatting sqref="E42 S42:V42 G42:K42">
    <cfRule type="cellIs" dxfId="98" priority="194" stopIfTrue="1" operator="equal">
      <formula>0</formula>
    </cfRule>
  </conditionalFormatting>
  <conditionalFormatting sqref="C17">
    <cfRule type="cellIs" dxfId="97" priority="169" operator="equal">
      <formula>0</formula>
    </cfRule>
  </conditionalFormatting>
  <conditionalFormatting sqref="S41:V41 E41 G41:K41">
    <cfRule type="cellIs" dxfId="96" priority="192" stopIfTrue="1" operator="equal">
      <formula>0</formula>
    </cfRule>
  </conditionalFormatting>
  <conditionalFormatting sqref="E40 S40:V40 G40:K40">
    <cfRule type="cellIs" dxfId="95" priority="190" stopIfTrue="1" operator="equal">
      <formula>0</formula>
    </cfRule>
  </conditionalFormatting>
  <conditionalFormatting sqref="S93:V93 E93 G93:K93">
    <cfRule type="cellIs" dxfId="94" priority="184" stopIfTrue="1" operator="equal">
      <formula>0</formula>
    </cfRule>
  </conditionalFormatting>
  <conditionalFormatting sqref="E84 S84:V84 G84:K84">
    <cfRule type="cellIs" dxfId="93" priority="182" stopIfTrue="1" operator="equal">
      <formula>0</formula>
    </cfRule>
  </conditionalFormatting>
  <conditionalFormatting sqref="S83:V83 E83 G83:K83">
    <cfRule type="cellIs" dxfId="92" priority="164" stopIfTrue="1" operator="equal">
      <formula>0</formula>
    </cfRule>
  </conditionalFormatting>
  <conditionalFormatting sqref="S56:V57 E56:E57 G56:K57">
    <cfRule type="cellIs" dxfId="91" priority="156" stopIfTrue="1" operator="equal">
      <formula>0</formula>
    </cfRule>
  </conditionalFormatting>
  <conditionalFormatting sqref="S55:V55 E55 G55:K55">
    <cfRule type="cellIs" dxfId="90" priority="154" stopIfTrue="1" operator="equal">
      <formula>0</formula>
    </cfRule>
  </conditionalFormatting>
  <conditionalFormatting sqref="C107">
    <cfRule type="cellIs" dxfId="89" priority="172" operator="equal">
      <formula>0</formula>
    </cfRule>
  </conditionalFormatting>
  <conditionalFormatting sqref="E107:K107 S107:V107">
    <cfRule type="cellIs" dxfId="88" priority="173" stopIfTrue="1" operator="equal">
      <formula>0</formula>
    </cfRule>
  </conditionalFormatting>
  <conditionalFormatting sqref="E54 S54:V54 G54:K54">
    <cfRule type="cellIs" dxfId="87" priority="152" stopIfTrue="1" operator="equal">
      <formula>0</formula>
    </cfRule>
  </conditionalFormatting>
  <conditionalFormatting sqref="S81:V81 E81 G81:K81">
    <cfRule type="cellIs" dxfId="86" priority="160" stopIfTrue="1" operator="equal">
      <formula>0</formula>
    </cfRule>
  </conditionalFormatting>
  <conditionalFormatting sqref="E82 S82:V82 G82:K82">
    <cfRule type="cellIs" dxfId="85" priority="162" stopIfTrue="1" operator="equal">
      <formula>0</formula>
    </cfRule>
  </conditionalFormatting>
  <conditionalFormatting sqref="E58 S58:V58 G58:K58">
    <cfRule type="cellIs" dxfId="84" priority="158" stopIfTrue="1" operator="equal">
      <formula>0</formula>
    </cfRule>
  </conditionalFormatting>
  <conditionalFormatting sqref="S49:V49 E49 G49:K49">
    <cfRule type="cellIs" dxfId="83" priority="144" stopIfTrue="1" operator="equal">
      <formula>0</formula>
    </cfRule>
  </conditionalFormatting>
  <conditionalFormatting sqref="S53:V53 E53 G53:K53">
    <cfRule type="cellIs" dxfId="82" priority="150" stopIfTrue="1" operator="equal">
      <formula>0</formula>
    </cfRule>
  </conditionalFormatting>
  <conditionalFormatting sqref="E52 S52:V52 G52:K52">
    <cfRule type="cellIs" dxfId="81" priority="148" stopIfTrue="1" operator="equal">
      <formula>0</formula>
    </cfRule>
  </conditionalFormatting>
  <conditionalFormatting sqref="S50:V51 E50:E51 G50:K51">
    <cfRule type="cellIs" dxfId="80" priority="146" stopIfTrue="1" operator="equal">
      <formula>0</formula>
    </cfRule>
  </conditionalFormatting>
  <conditionalFormatting sqref="E48 S48:V48 G48:K48">
    <cfRule type="cellIs" dxfId="79" priority="142" stopIfTrue="1" operator="equal">
      <formula>0</formula>
    </cfRule>
  </conditionalFormatting>
  <conditionalFormatting sqref="S47:V47 E47 G47:K47">
    <cfRule type="cellIs" dxfId="78" priority="140" stopIfTrue="1" operator="equal">
      <formula>0</formula>
    </cfRule>
  </conditionalFormatting>
  <conditionalFormatting sqref="E46 S46:V46 G46:K46">
    <cfRule type="cellIs" dxfId="77" priority="138" stopIfTrue="1" operator="equal">
      <formula>0</formula>
    </cfRule>
  </conditionalFormatting>
  <conditionalFormatting sqref="F93">
    <cfRule type="cellIs" dxfId="76" priority="111" stopIfTrue="1" operator="equal">
      <formula>0</formula>
    </cfRule>
  </conditionalFormatting>
  <conditionalFormatting sqref="S80:V80 E80 G80:K80">
    <cfRule type="cellIs" dxfId="75" priority="126" stopIfTrue="1" operator="equal">
      <formula>0</formula>
    </cfRule>
  </conditionalFormatting>
  <conditionalFormatting sqref="S79:V79 E79 G79:K79">
    <cfRule type="cellIs" dxfId="74" priority="125" stopIfTrue="1" operator="equal">
      <formula>0</formula>
    </cfRule>
  </conditionalFormatting>
  <conditionalFormatting sqref="E66 S66:V66 G66:K66">
    <cfRule type="cellIs" dxfId="73" priority="123" stopIfTrue="1" operator="equal">
      <formula>0</formula>
    </cfRule>
  </conditionalFormatting>
  <conditionalFormatting sqref="S65:V65 E65 G65:K65">
    <cfRule type="cellIs" dxfId="72" priority="121" stopIfTrue="1" operator="equal">
      <formula>0</formula>
    </cfRule>
  </conditionalFormatting>
  <conditionalFormatting sqref="E64 S64:V64 G64:K64">
    <cfRule type="cellIs" dxfId="71" priority="119" stopIfTrue="1" operator="equal">
      <formula>0</formula>
    </cfRule>
  </conditionalFormatting>
  <conditionalFormatting sqref="S62:V63 E62:E63 G62:K63">
    <cfRule type="cellIs" dxfId="70" priority="118" stopIfTrue="1" operator="equal">
      <formula>0</formula>
    </cfRule>
  </conditionalFormatting>
  <conditionalFormatting sqref="S61:V61 E61 G61:K61">
    <cfRule type="cellIs" dxfId="69" priority="117" stopIfTrue="1" operator="equal">
      <formula>0</formula>
    </cfRule>
  </conditionalFormatting>
  <conditionalFormatting sqref="E60 S60:V60 G60:K60">
    <cfRule type="cellIs" dxfId="68" priority="116" stopIfTrue="1" operator="equal">
      <formula>0</formula>
    </cfRule>
  </conditionalFormatting>
  <conditionalFormatting sqref="S59:V59 E59 G59:K59">
    <cfRule type="cellIs" dxfId="67" priority="115" stopIfTrue="1" operator="equal">
      <formula>0</formula>
    </cfRule>
  </conditionalFormatting>
  <conditionalFormatting sqref="C94">
    <cfRule type="cellIs" dxfId="66" priority="108" operator="equal">
      <formula>0</formula>
    </cfRule>
  </conditionalFormatting>
  <conditionalFormatting sqref="E94:K94">
    <cfRule type="cellIs" dxfId="65" priority="109" stopIfTrue="1" operator="equal">
      <formula>0</formula>
    </cfRule>
  </conditionalFormatting>
  <conditionalFormatting sqref="C60">
    <cfRule type="cellIs" dxfId="64" priority="83" operator="equal">
      <formula>0</formula>
    </cfRule>
  </conditionalFormatting>
  <conditionalFormatting sqref="F66">
    <cfRule type="cellIs" dxfId="63" priority="80" stopIfTrue="1" operator="equal">
      <formula>0</formula>
    </cfRule>
  </conditionalFormatting>
  <conditionalFormatting sqref="F60">
    <cfRule type="cellIs" dxfId="62" priority="82" stopIfTrue="1" operator="equal">
      <formula>0</formula>
    </cfRule>
  </conditionalFormatting>
  <conditionalFormatting sqref="C97">
    <cfRule type="cellIs" dxfId="61" priority="70" operator="equal">
      <formula>0</formula>
    </cfRule>
  </conditionalFormatting>
  <conditionalFormatting sqref="F96:F101">
    <cfRule type="cellIs" dxfId="60" priority="69" stopIfTrue="1" operator="equal">
      <formula>0</formula>
    </cfRule>
  </conditionalFormatting>
  <conditionalFormatting sqref="C45">
    <cfRule type="cellIs" dxfId="59" priority="68" operator="equal">
      <formula>0</formula>
    </cfRule>
  </conditionalFormatting>
  <conditionalFormatting sqref="F40:F59">
    <cfRule type="cellIs" dxfId="58" priority="67" stopIfTrue="1" operator="equal">
      <formula>0</formula>
    </cfRule>
  </conditionalFormatting>
  <conditionalFormatting sqref="C48">
    <cfRule type="cellIs" dxfId="57" priority="66" operator="equal">
      <formula>0</formula>
    </cfRule>
  </conditionalFormatting>
  <conditionalFormatting sqref="C44">
    <cfRule type="cellIs" dxfId="56" priority="65" operator="equal">
      <formula>0</formula>
    </cfRule>
  </conditionalFormatting>
  <conditionalFormatting sqref="E78 S78:V78 G78:K78">
    <cfRule type="cellIs" dxfId="55" priority="64" stopIfTrue="1" operator="equal">
      <formula>0</formula>
    </cfRule>
  </conditionalFormatting>
  <conditionalFormatting sqref="S77:V77 E77 G77:K77">
    <cfRule type="cellIs" dxfId="54" priority="63" stopIfTrue="1" operator="equal">
      <formula>0</formula>
    </cfRule>
  </conditionalFormatting>
  <conditionalFormatting sqref="E71 S71:V71 G71:K71">
    <cfRule type="cellIs" dxfId="53" priority="62" stopIfTrue="1" operator="equal">
      <formula>0</formula>
    </cfRule>
  </conditionalFormatting>
  <conditionalFormatting sqref="S69:V70 E69:E70 G69:K70">
    <cfRule type="cellIs" dxfId="52" priority="61" stopIfTrue="1" operator="equal">
      <formula>0</formula>
    </cfRule>
  </conditionalFormatting>
  <conditionalFormatting sqref="S68:V68 E68 G68:K68">
    <cfRule type="cellIs" dxfId="51" priority="60" stopIfTrue="1" operator="equal">
      <formula>0</formula>
    </cfRule>
  </conditionalFormatting>
  <conditionalFormatting sqref="E67 S67:V67 G67:K67">
    <cfRule type="cellIs" dxfId="50" priority="59" stopIfTrue="1" operator="equal">
      <formula>0</formula>
    </cfRule>
  </conditionalFormatting>
  <conditionalFormatting sqref="C67">
    <cfRule type="cellIs" dxfId="49" priority="58" operator="equal">
      <formula>0</formula>
    </cfRule>
  </conditionalFormatting>
  <conditionalFormatting sqref="F78">
    <cfRule type="cellIs" dxfId="48" priority="56" stopIfTrue="1" operator="equal">
      <formula>0</formula>
    </cfRule>
  </conditionalFormatting>
  <conditionalFormatting sqref="E72 S72:V72 G72:K72">
    <cfRule type="cellIs" dxfId="47" priority="52" stopIfTrue="1" operator="equal">
      <formula>0</formula>
    </cfRule>
  </conditionalFormatting>
  <conditionalFormatting sqref="E76 S76:V76 G76:K76">
    <cfRule type="cellIs" dxfId="46" priority="55" stopIfTrue="1" operator="equal">
      <formula>0</formula>
    </cfRule>
  </conditionalFormatting>
  <conditionalFormatting sqref="S74:V75 E74:E75 G74:K75">
    <cfRule type="cellIs" dxfId="45" priority="54" stopIfTrue="1" operator="equal">
      <formula>0</formula>
    </cfRule>
  </conditionalFormatting>
  <conditionalFormatting sqref="S73:V73 E73 G73:K73">
    <cfRule type="cellIs" dxfId="44" priority="53" stopIfTrue="1" operator="equal">
      <formula>0</formula>
    </cfRule>
  </conditionalFormatting>
  <conditionalFormatting sqref="F77">
    <cfRule type="cellIs" dxfId="43" priority="49" stopIfTrue="1" operator="equal">
      <formula>0</formula>
    </cfRule>
  </conditionalFormatting>
  <conditionalFormatting sqref="C72">
    <cfRule type="cellIs" dxfId="42" priority="51" operator="equal">
      <formula>0</formula>
    </cfRule>
  </conditionalFormatting>
  <conditionalFormatting sqref="E21:K21 S21:V21">
    <cfRule type="cellIs" dxfId="41" priority="42" stopIfTrue="1" operator="equal">
      <formula>0</formula>
    </cfRule>
  </conditionalFormatting>
  <conditionalFormatting sqref="C20">
    <cfRule type="cellIs" dxfId="40" priority="47" operator="equal">
      <formula>0</formula>
    </cfRule>
  </conditionalFormatting>
  <conditionalFormatting sqref="S20:V20 E20:K20">
    <cfRule type="cellIs" dxfId="39" priority="48" stopIfTrue="1" operator="equal">
      <formula>0</formula>
    </cfRule>
  </conditionalFormatting>
  <conditionalFormatting sqref="E19:K19 S19:V19">
    <cfRule type="cellIs" dxfId="38" priority="46" stopIfTrue="1" operator="equal">
      <formula>0</formula>
    </cfRule>
  </conditionalFormatting>
  <conditionalFormatting sqref="C19">
    <cfRule type="cellIs" dxfId="37" priority="45" operator="equal">
      <formula>0</formula>
    </cfRule>
  </conditionalFormatting>
  <conditionalFormatting sqref="E16:K16 S16:V16">
    <cfRule type="cellIs" dxfId="36" priority="44" stopIfTrue="1" operator="equal">
      <formula>0</formula>
    </cfRule>
  </conditionalFormatting>
  <conditionalFormatting sqref="C16">
    <cfRule type="cellIs" dxfId="35" priority="43" operator="equal">
      <formula>0</formula>
    </cfRule>
  </conditionalFormatting>
  <conditionalFormatting sqref="S85:V85 E85 G85:K85">
    <cfRule type="cellIs" dxfId="34" priority="22" stopIfTrue="1" operator="equal">
      <formula>0</formula>
    </cfRule>
  </conditionalFormatting>
  <conditionalFormatting sqref="C106">
    <cfRule type="cellIs" dxfId="33" priority="39" operator="equal">
      <formula>0</formula>
    </cfRule>
  </conditionalFormatting>
  <conditionalFormatting sqref="H106:K106 S105:V105 E105:K105">
    <cfRule type="cellIs" dxfId="32" priority="41" stopIfTrue="1" operator="equal">
      <formula>0</formula>
    </cfRule>
  </conditionalFormatting>
  <conditionalFormatting sqref="E106:G106">
    <cfRule type="cellIs" dxfId="31" priority="40" stopIfTrue="1" operator="equal">
      <formula>0</formula>
    </cfRule>
  </conditionalFormatting>
  <conditionalFormatting sqref="C105">
    <cfRule type="cellIs" dxfId="30" priority="38" operator="equal">
      <formula>0</formula>
    </cfRule>
  </conditionalFormatting>
  <conditionalFormatting sqref="C104">
    <cfRule type="cellIs" dxfId="29" priority="36" operator="equal">
      <formula>0</formula>
    </cfRule>
  </conditionalFormatting>
  <conditionalFormatting sqref="E104:K104 S104:V104">
    <cfRule type="cellIs" dxfId="28" priority="37" stopIfTrue="1" operator="equal">
      <formula>0</formula>
    </cfRule>
  </conditionalFormatting>
  <conditionalFormatting sqref="S111:V111 E111:K111">
    <cfRule type="cellIs" dxfId="27" priority="35" stopIfTrue="1" operator="equal">
      <formula>0</formula>
    </cfRule>
  </conditionalFormatting>
  <conditionalFormatting sqref="C111">
    <cfRule type="cellIs" dxfId="26" priority="34" operator="equal">
      <formula>0</formula>
    </cfRule>
  </conditionalFormatting>
  <conditionalFormatting sqref="C110">
    <cfRule type="cellIs" dxfId="25" priority="32" operator="equal">
      <formula>0</formula>
    </cfRule>
  </conditionalFormatting>
  <conditionalFormatting sqref="E110:K110 S110:V110">
    <cfRule type="cellIs" dxfId="24" priority="33" stopIfTrue="1" operator="equal">
      <formula>0</formula>
    </cfRule>
  </conditionalFormatting>
  <conditionalFormatting sqref="H109:K109">
    <cfRule type="cellIs" dxfId="23" priority="31" stopIfTrue="1" operator="equal">
      <formula>0</formula>
    </cfRule>
  </conditionalFormatting>
  <conditionalFormatting sqref="E109:G109">
    <cfRule type="cellIs" dxfId="22" priority="30" stopIfTrue="1" operator="equal">
      <formula>0</formula>
    </cfRule>
  </conditionalFormatting>
  <conditionalFormatting sqref="E92 S92:V92 G92:K92">
    <cfRule type="cellIs" dxfId="21" priority="28" stopIfTrue="1" operator="equal">
      <formula>0</formula>
    </cfRule>
  </conditionalFormatting>
  <conditionalFormatting sqref="S89:V89 E89 G89:K89">
    <cfRule type="cellIs" dxfId="20" priority="26" stopIfTrue="1" operator="equal">
      <formula>0</formula>
    </cfRule>
  </conditionalFormatting>
  <conditionalFormatting sqref="S90:V91 E90:E91 G90:K91">
    <cfRule type="cellIs" dxfId="19" priority="27" stopIfTrue="1" operator="equal">
      <formula>0</formula>
    </cfRule>
  </conditionalFormatting>
  <conditionalFormatting sqref="S87:V87 E87 G87:K87">
    <cfRule type="cellIs" dxfId="18" priority="24" stopIfTrue="1" operator="equal">
      <formula>0</formula>
    </cfRule>
  </conditionalFormatting>
  <conditionalFormatting sqref="E88 S88:V88 G88:K88">
    <cfRule type="cellIs" dxfId="17" priority="25" stopIfTrue="1" operator="equal">
      <formula>0</formula>
    </cfRule>
  </conditionalFormatting>
  <conditionalFormatting sqref="S86:V86 E86 G86:K86">
    <cfRule type="cellIs" dxfId="16" priority="23" stopIfTrue="1" operator="equal">
      <formula>0</formula>
    </cfRule>
  </conditionalFormatting>
  <conditionalFormatting sqref="E27:E28 S27:V28 G27:K28">
    <cfRule type="cellIs" dxfId="15" priority="21" stopIfTrue="1" operator="equal">
      <formula>0</formula>
    </cfRule>
  </conditionalFormatting>
  <conditionalFormatting sqref="S26:V26 E26 G26:K26">
    <cfRule type="cellIs" dxfId="14" priority="20" stopIfTrue="1" operator="equal">
      <formula>0</formula>
    </cfRule>
  </conditionalFormatting>
  <conditionalFormatting sqref="E25 S25:V25 G25:K25">
    <cfRule type="cellIs" dxfId="13" priority="19" stopIfTrue="1" operator="equal">
      <formula>0</formula>
    </cfRule>
  </conditionalFormatting>
  <conditionalFormatting sqref="S24:V24 E24 G24:K24">
    <cfRule type="cellIs" dxfId="12" priority="18" stopIfTrue="1" operator="equal">
      <formula>0</formula>
    </cfRule>
  </conditionalFormatting>
  <conditionalFormatting sqref="E23 S23:V23 G23:K23">
    <cfRule type="cellIs" dxfId="11" priority="17" stopIfTrue="1" operator="equal">
      <formula>0</formula>
    </cfRule>
  </conditionalFormatting>
  <conditionalFormatting sqref="S38:V38 E38 G38:K38">
    <cfRule type="cellIs" dxfId="10" priority="14" stopIfTrue="1" operator="equal">
      <formula>0</formula>
    </cfRule>
  </conditionalFormatting>
  <conditionalFormatting sqref="E37 S37:V37 G37:K37">
    <cfRule type="cellIs" dxfId="9" priority="13" stopIfTrue="1" operator="equal">
      <formula>0</formula>
    </cfRule>
  </conditionalFormatting>
  <conditionalFormatting sqref="S32:V32 E32 G32:K32">
    <cfRule type="cellIs" dxfId="8" priority="9" stopIfTrue="1" operator="equal">
      <formula>0</formula>
    </cfRule>
  </conditionalFormatting>
  <conditionalFormatting sqref="S36:V36 E36 G36:K36">
    <cfRule type="cellIs" dxfId="7" priority="12" stopIfTrue="1" operator="equal">
      <formula>0</formula>
    </cfRule>
  </conditionalFormatting>
  <conditionalFormatting sqref="E35 S35:V35 G35:K35">
    <cfRule type="cellIs" dxfId="6" priority="11" stopIfTrue="1" operator="equal">
      <formula>0</formula>
    </cfRule>
  </conditionalFormatting>
  <conditionalFormatting sqref="S33:V34 E33:E34 G33:K34">
    <cfRule type="cellIs" dxfId="5" priority="10" stopIfTrue="1" operator="equal">
      <formula>0</formula>
    </cfRule>
  </conditionalFormatting>
  <conditionalFormatting sqref="E31 S31:V31 G31:K31">
    <cfRule type="cellIs" dxfId="4" priority="8" stopIfTrue="1" operator="equal">
      <formula>0</formula>
    </cfRule>
  </conditionalFormatting>
  <conditionalFormatting sqref="S30:V30 E30 G30:K30">
    <cfRule type="cellIs" dxfId="3" priority="7" stopIfTrue="1" operator="equal">
      <formula>0</formula>
    </cfRule>
  </conditionalFormatting>
  <conditionalFormatting sqref="E29 S29:V29 G29:K29">
    <cfRule type="cellIs" dxfId="2" priority="6" stopIfTrue="1" operator="equal">
      <formula>0</formula>
    </cfRule>
  </conditionalFormatting>
  <conditionalFormatting sqref="S39:V39 E39 G39:K39">
    <cfRule type="cellIs" dxfId="1" priority="5" stopIfTrue="1" operator="equal">
      <formula>0</formula>
    </cfRule>
  </conditionalFormatting>
  <conditionalFormatting sqref="F23">
    <cfRule type="cellIs" dxfId="0" priority="3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42:C43 F77:F78 F66 F105 F103 F111 F108 F21:F23 F39:F59 H14:K116 F93:F94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view="pageBreakPreview" zoomScaleNormal="100" zoomScaleSheetLayoutView="100" workbookViewId="0">
      <selection activeCell="E10" sqref="E10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42578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396"/>
      <c r="D2" s="397"/>
      <c r="E2" s="397"/>
      <c r="F2" s="397"/>
      <c r="G2" s="397"/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701" t="s">
        <v>1409</v>
      </c>
      <c r="X2" s="702"/>
      <c r="Y2" s="702"/>
      <c r="Z2" s="702"/>
      <c r="AA2" s="702"/>
      <c r="AB2" s="702"/>
      <c r="AC2" s="702"/>
      <c r="AD2" s="703"/>
    </row>
    <row r="3" spans="3:30">
      <c r="C3" s="398"/>
      <c r="D3" s="487" t="s">
        <v>1621</v>
      </c>
      <c r="E3" s="487"/>
      <c r="F3" s="488"/>
      <c r="G3" s="487"/>
      <c r="H3" s="487"/>
      <c r="I3" s="487"/>
      <c r="J3" s="487"/>
      <c r="K3" s="488"/>
      <c r="L3" s="488"/>
      <c r="W3" s="704"/>
      <c r="X3" s="705"/>
      <c r="Y3" s="705"/>
      <c r="Z3" s="705"/>
      <c r="AA3" s="705"/>
      <c r="AB3" s="705"/>
      <c r="AC3" s="705"/>
      <c r="AD3" s="706"/>
    </row>
    <row r="4" spans="3:30">
      <c r="C4" s="398"/>
      <c r="D4" s="696"/>
      <c r="E4" s="696"/>
      <c r="F4" s="430" t="s">
        <v>1575</v>
      </c>
      <c r="G4" s="697" t="s">
        <v>1576</v>
      </c>
      <c r="H4" s="698"/>
      <c r="I4" s="697" t="s">
        <v>1577</v>
      </c>
      <c r="J4" s="698"/>
      <c r="K4" s="699" t="s">
        <v>1578</v>
      </c>
      <c r="L4" s="700"/>
      <c r="W4" s="399" t="s">
        <v>1579</v>
      </c>
      <c r="AD4" s="400"/>
    </row>
    <row r="5" spans="3:30">
      <c r="C5" s="398"/>
      <c r="D5" s="696" t="s">
        <v>1580</v>
      </c>
      <c r="E5" s="696"/>
      <c r="F5" s="430"/>
      <c r="G5" s="697"/>
      <c r="H5" s="698"/>
      <c r="I5" s="697"/>
      <c r="J5" s="698"/>
      <c r="K5" s="699"/>
      <c r="L5" s="700"/>
      <c r="W5" s="429" t="s">
        <v>1581</v>
      </c>
      <c r="X5" s="652" t="s">
        <v>1582</v>
      </c>
      <c r="Y5" s="652"/>
      <c r="Z5" s="652"/>
      <c r="AA5" s="652" t="s">
        <v>1583</v>
      </c>
      <c r="AB5" s="652"/>
      <c r="AC5" s="652" t="s">
        <v>1584</v>
      </c>
      <c r="AD5" s="653"/>
    </row>
    <row r="6" spans="3:30">
      <c r="C6" s="398"/>
      <c r="D6" s="696" t="s">
        <v>1585</v>
      </c>
      <c r="E6" s="696"/>
      <c r="F6" s="430"/>
      <c r="G6" s="697"/>
      <c r="H6" s="698"/>
      <c r="I6" s="697"/>
      <c r="J6" s="698"/>
      <c r="K6" s="699"/>
      <c r="L6" s="700"/>
      <c r="W6" s="429">
        <v>1</v>
      </c>
      <c r="X6" s="652" t="s">
        <v>1586</v>
      </c>
      <c r="Y6" s="652"/>
      <c r="Z6" s="652"/>
      <c r="AA6" s="652"/>
      <c r="AB6" s="652"/>
      <c r="AC6" s="652"/>
      <c r="AD6" s="653"/>
    </row>
    <row r="7" spans="3:30">
      <c r="C7" s="398"/>
      <c r="W7" s="429">
        <v>2</v>
      </c>
      <c r="X7" s="652" t="s">
        <v>1587</v>
      </c>
      <c r="Y7" s="652"/>
      <c r="Z7" s="652"/>
      <c r="AA7" s="652"/>
      <c r="AB7" s="652"/>
      <c r="AC7" s="652"/>
      <c r="AD7" s="653"/>
    </row>
    <row r="8" spans="3:30">
      <c r="C8" s="398"/>
      <c r="W8" s="429">
        <v>3</v>
      </c>
      <c r="X8" s="652" t="s">
        <v>1588</v>
      </c>
      <c r="Y8" s="652"/>
      <c r="Z8" s="652"/>
      <c r="AA8" s="652"/>
      <c r="AB8" s="652"/>
      <c r="AC8" s="652"/>
      <c r="AD8" s="653"/>
    </row>
    <row r="9" spans="3:30">
      <c r="C9" s="398"/>
      <c r="W9" s="429">
        <v>4</v>
      </c>
      <c r="X9" s="652" t="s">
        <v>1589</v>
      </c>
      <c r="Y9" s="652"/>
      <c r="Z9" s="652"/>
      <c r="AA9" s="652"/>
      <c r="AB9" s="652"/>
      <c r="AC9" s="652"/>
      <c r="AD9" s="653"/>
    </row>
    <row r="10" spans="3:30">
      <c r="C10" s="398"/>
      <c r="W10" s="429">
        <v>5</v>
      </c>
      <c r="X10" s="652" t="s">
        <v>1590</v>
      </c>
      <c r="Y10" s="652"/>
      <c r="Z10" s="652"/>
      <c r="AA10" s="652"/>
      <c r="AB10" s="652"/>
      <c r="AC10" s="652"/>
      <c r="AD10" s="653"/>
    </row>
    <row r="11" spans="3:30">
      <c r="C11" s="398"/>
      <c r="W11" s="429">
        <v>6</v>
      </c>
      <c r="X11" s="652" t="s">
        <v>1591</v>
      </c>
      <c r="Y11" s="652"/>
      <c r="Z11" s="652"/>
      <c r="AA11" s="652"/>
      <c r="AB11" s="652"/>
      <c r="AC11" s="652"/>
      <c r="AD11" s="653"/>
    </row>
    <row r="12" spans="3:30">
      <c r="C12" s="398"/>
      <c r="W12" s="429">
        <v>7</v>
      </c>
      <c r="X12" s="652" t="s">
        <v>1592</v>
      </c>
      <c r="Y12" s="652"/>
      <c r="Z12" s="652"/>
      <c r="AA12" s="652"/>
      <c r="AB12" s="652"/>
      <c r="AC12" s="652"/>
      <c r="AD12" s="653"/>
    </row>
    <row r="13" spans="3:30" ht="12.75" customHeight="1">
      <c r="C13" s="398"/>
      <c r="W13" s="429">
        <v>8</v>
      </c>
      <c r="X13" s="652" t="s">
        <v>1593</v>
      </c>
      <c r="Y13" s="652"/>
      <c r="Z13" s="652"/>
      <c r="AA13" s="652"/>
      <c r="AB13" s="652"/>
      <c r="AC13" s="652"/>
      <c r="AD13" s="653"/>
    </row>
    <row r="14" spans="3:30">
      <c r="C14" s="398"/>
      <c r="W14" s="429">
        <v>9</v>
      </c>
      <c r="X14" s="652" t="s">
        <v>1594</v>
      </c>
      <c r="Y14" s="652"/>
      <c r="Z14" s="652"/>
      <c r="AA14" s="652"/>
      <c r="AB14" s="652"/>
      <c r="AC14" s="652"/>
      <c r="AD14" s="653"/>
    </row>
    <row r="15" spans="3:30">
      <c r="C15" s="398"/>
      <c r="W15" s="429">
        <v>10</v>
      </c>
      <c r="X15" s="652" t="s">
        <v>1595</v>
      </c>
      <c r="Y15" s="652"/>
      <c r="Z15" s="652"/>
      <c r="AA15" s="652"/>
      <c r="AB15" s="652"/>
      <c r="AC15" s="652"/>
      <c r="AD15" s="653"/>
    </row>
    <row r="16" spans="3:30">
      <c r="C16" s="398"/>
      <c r="H16" s="499"/>
      <c r="W16" s="429">
        <v>11</v>
      </c>
      <c r="X16" s="652" t="s">
        <v>1596</v>
      </c>
      <c r="Y16" s="652"/>
      <c r="Z16" s="652"/>
      <c r="AA16" s="652"/>
      <c r="AB16" s="652"/>
      <c r="AC16" s="652"/>
      <c r="AD16" s="653"/>
    </row>
    <row r="17" spans="3:30">
      <c r="C17" s="398"/>
      <c r="S17" s="401"/>
      <c r="W17" s="429">
        <v>12</v>
      </c>
      <c r="X17" s="652" t="s">
        <v>1597</v>
      </c>
      <c r="Y17" s="652"/>
      <c r="Z17" s="652"/>
      <c r="AA17" s="652"/>
      <c r="AB17" s="652"/>
      <c r="AC17" s="652"/>
      <c r="AD17" s="653"/>
    </row>
    <row r="18" spans="3:30">
      <c r="C18" s="402"/>
      <c r="D18" s="403"/>
      <c r="E18" s="403"/>
      <c r="W18" s="429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398"/>
      <c r="W19" s="427"/>
      <c r="X19" s="685"/>
      <c r="Y19" s="685"/>
      <c r="Z19" s="685"/>
      <c r="AA19" s="685"/>
      <c r="AB19" s="685"/>
      <c r="AC19" s="685"/>
      <c r="AD19" s="686"/>
    </row>
    <row r="20" spans="3:30">
      <c r="C20" s="398"/>
      <c r="W20" s="687" t="s">
        <v>1598</v>
      </c>
      <c r="X20" s="688"/>
      <c r="Y20" s="688"/>
      <c r="Z20" s="688"/>
      <c r="AA20" s="688"/>
      <c r="AB20" s="688"/>
      <c r="AC20" s="688"/>
      <c r="AD20" s="689"/>
    </row>
    <row r="21" spans="3:30">
      <c r="C21" s="398"/>
      <c r="W21" s="690" t="s">
        <v>1599</v>
      </c>
      <c r="X21" s="691"/>
      <c r="Y21" s="691"/>
      <c r="Z21" s="692"/>
      <c r="AA21" s="693" t="s">
        <v>1600</v>
      </c>
      <c r="AB21" s="694"/>
      <c r="AC21" s="694"/>
      <c r="AD21" s="695"/>
    </row>
    <row r="22" spans="3:30">
      <c r="C22" s="398"/>
      <c r="W22" s="669" t="s">
        <v>1630</v>
      </c>
      <c r="X22" s="670"/>
      <c r="Y22" s="404" t="s">
        <v>1028</v>
      </c>
      <c r="Z22" s="405">
        <v>1</v>
      </c>
      <c r="AA22" s="681" t="s">
        <v>1637</v>
      </c>
      <c r="AB22" s="682"/>
      <c r="AC22" s="426" t="s">
        <v>1641</v>
      </c>
      <c r="AD22" s="425"/>
    </row>
    <row r="23" spans="3:30">
      <c r="C23" s="398"/>
      <c r="W23" s="665" t="s">
        <v>1631</v>
      </c>
      <c r="X23" s="666"/>
      <c r="Y23" s="404" t="s">
        <v>1028</v>
      </c>
      <c r="Z23" s="405">
        <v>3</v>
      </c>
      <c r="AA23" s="681" t="s">
        <v>1638</v>
      </c>
      <c r="AB23" s="682"/>
      <c r="AC23" s="426">
        <v>1</v>
      </c>
      <c r="AD23" s="425"/>
    </row>
    <row r="24" spans="3:30">
      <c r="C24" s="398"/>
      <c r="W24" s="665" t="s">
        <v>1632</v>
      </c>
      <c r="X24" s="666"/>
      <c r="Y24" s="404" t="s">
        <v>1028</v>
      </c>
      <c r="Z24" s="405">
        <v>2</v>
      </c>
      <c r="AA24" s="683" t="s">
        <v>1639</v>
      </c>
      <c r="AB24" s="684"/>
      <c r="AC24" s="426">
        <v>1</v>
      </c>
      <c r="AD24" s="425"/>
    </row>
    <row r="25" spans="3:30">
      <c r="C25" s="398"/>
      <c r="T25" s="496"/>
      <c r="W25" s="679" t="s">
        <v>1633</v>
      </c>
      <c r="X25" s="680"/>
      <c r="Y25" s="406" t="s">
        <v>1028</v>
      </c>
      <c r="Z25" s="407">
        <v>1</v>
      </c>
      <c r="AA25" s="681" t="s">
        <v>1640</v>
      </c>
      <c r="AB25" s="682"/>
      <c r="AC25" s="426">
        <v>1</v>
      </c>
      <c r="AD25" s="425"/>
    </row>
    <row r="26" spans="3:30">
      <c r="C26" s="398"/>
      <c r="W26" s="679" t="s">
        <v>1634</v>
      </c>
      <c r="X26" s="680"/>
      <c r="Y26" s="404" t="s">
        <v>1028</v>
      </c>
      <c r="Z26" s="405">
        <v>1</v>
      </c>
      <c r="AA26" s="681" t="s">
        <v>1632</v>
      </c>
      <c r="AB26" s="682"/>
      <c r="AC26" s="426">
        <v>3</v>
      </c>
      <c r="AD26" s="425"/>
    </row>
    <row r="27" spans="3:30">
      <c r="C27" s="398"/>
      <c r="W27" s="669" t="s">
        <v>1637</v>
      </c>
      <c r="X27" s="670"/>
      <c r="Y27" s="404" t="s">
        <v>1028</v>
      </c>
      <c r="Z27" s="405">
        <v>1</v>
      </c>
      <c r="AA27" s="671"/>
      <c r="AB27" s="672"/>
      <c r="AC27" s="426"/>
      <c r="AD27" s="425"/>
    </row>
    <row r="28" spans="3:30">
      <c r="C28" s="398"/>
      <c r="W28" s="665" t="s">
        <v>1638</v>
      </c>
      <c r="X28" s="666"/>
      <c r="Y28" s="404" t="s">
        <v>1028</v>
      </c>
      <c r="Z28" s="405">
        <v>1</v>
      </c>
      <c r="AA28" s="671"/>
      <c r="AB28" s="672"/>
      <c r="AC28" s="426"/>
      <c r="AD28" s="425"/>
    </row>
    <row r="29" spans="3:30">
      <c r="C29" s="398"/>
      <c r="W29" s="669" t="s">
        <v>1640</v>
      </c>
      <c r="X29" s="678"/>
      <c r="Y29" s="404" t="s">
        <v>1028</v>
      </c>
      <c r="Z29" s="405">
        <v>1</v>
      </c>
      <c r="AA29" s="671"/>
      <c r="AB29" s="672"/>
      <c r="AC29" s="426"/>
      <c r="AD29" s="425"/>
    </row>
    <row r="30" spans="3:30" ht="11.25" customHeight="1">
      <c r="C30" s="398"/>
      <c r="W30" s="669" t="s">
        <v>1643</v>
      </c>
      <c r="X30" s="678"/>
      <c r="Y30" s="404" t="s">
        <v>1644</v>
      </c>
      <c r="Z30" s="405">
        <v>50</v>
      </c>
      <c r="AA30" s="671"/>
      <c r="AB30" s="672"/>
      <c r="AC30" s="426"/>
      <c r="AD30" s="425"/>
    </row>
    <row r="31" spans="3:30">
      <c r="C31" s="398"/>
      <c r="U31" s="408"/>
      <c r="W31" s="669"/>
      <c r="X31" s="678"/>
      <c r="Y31" s="404"/>
      <c r="Z31" s="405"/>
      <c r="AA31" s="671"/>
      <c r="AB31" s="672"/>
      <c r="AC31" s="426"/>
      <c r="AD31" s="425"/>
    </row>
    <row r="32" spans="3:30">
      <c r="C32" s="398"/>
      <c r="U32" s="408"/>
      <c r="W32" s="669"/>
      <c r="X32" s="678"/>
      <c r="Y32" s="404"/>
      <c r="Z32" s="405"/>
      <c r="AA32" s="671"/>
      <c r="AB32" s="672"/>
      <c r="AC32" s="426"/>
      <c r="AD32" s="425"/>
    </row>
    <row r="33" spans="3:30">
      <c r="C33" s="398"/>
      <c r="W33" s="679"/>
      <c r="X33" s="680"/>
      <c r="Y33" s="404"/>
      <c r="Z33" s="407"/>
      <c r="AA33" s="671"/>
      <c r="AB33" s="672"/>
      <c r="AC33" s="426"/>
      <c r="AD33" s="425"/>
    </row>
    <row r="34" spans="3:30">
      <c r="C34" s="398"/>
      <c r="W34" s="669"/>
      <c r="X34" s="670"/>
      <c r="Y34" s="404"/>
      <c r="Z34" s="405"/>
      <c r="AA34" s="671"/>
      <c r="AB34" s="672"/>
      <c r="AC34" s="426"/>
      <c r="AD34" s="425"/>
    </row>
    <row r="35" spans="3:30">
      <c r="C35" s="398"/>
      <c r="L35" s="414"/>
      <c r="W35" s="669"/>
      <c r="X35" s="670"/>
      <c r="Y35" s="404"/>
      <c r="Z35" s="405"/>
      <c r="AA35" s="671"/>
      <c r="AB35" s="672"/>
      <c r="AC35" s="426"/>
      <c r="AD35" s="425"/>
    </row>
    <row r="36" spans="3:30">
      <c r="C36" s="398"/>
      <c r="W36" s="673"/>
      <c r="X36" s="674"/>
      <c r="Y36" s="404"/>
      <c r="Z36" s="407"/>
      <c r="AA36" s="675"/>
      <c r="AB36" s="672"/>
      <c r="AC36" s="426"/>
      <c r="AD36" s="425"/>
    </row>
    <row r="37" spans="3:30" ht="12.75" customHeight="1">
      <c r="C37" s="398"/>
      <c r="W37" s="661"/>
      <c r="X37" s="662"/>
      <c r="Y37" s="404"/>
      <c r="Z37" s="407"/>
      <c r="AA37" s="676"/>
      <c r="AB37" s="677"/>
      <c r="AC37" s="422"/>
      <c r="AD37" s="421"/>
    </row>
    <row r="38" spans="3:30" ht="12.75" customHeight="1">
      <c r="C38" s="398"/>
      <c r="W38" s="661"/>
      <c r="X38" s="662"/>
      <c r="Y38" s="404"/>
      <c r="Z38" s="407"/>
      <c r="AA38" s="424"/>
      <c r="AB38" s="423"/>
      <c r="AC38" s="422"/>
      <c r="AD38" s="421"/>
    </row>
    <row r="39" spans="3:30" ht="12" customHeight="1">
      <c r="C39" s="398"/>
      <c r="W39" s="661"/>
      <c r="X39" s="662"/>
      <c r="Y39" s="404"/>
      <c r="Z39" s="409"/>
      <c r="AA39" s="663"/>
      <c r="AB39" s="664"/>
      <c r="AC39" s="422"/>
      <c r="AD39" s="421"/>
    </row>
    <row r="40" spans="3:30" ht="12" customHeight="1">
      <c r="C40" s="398"/>
      <c r="W40" s="665"/>
      <c r="X40" s="666"/>
      <c r="Y40" s="406"/>
      <c r="Z40" s="409"/>
      <c r="AA40" s="431"/>
      <c r="AB40" s="420"/>
      <c r="AC40" s="422"/>
      <c r="AD40" s="421"/>
    </row>
    <row r="41" spans="3:30" ht="12" customHeight="1">
      <c r="C41" s="398"/>
      <c r="W41" s="667"/>
      <c r="X41" s="668"/>
      <c r="Y41" s="410"/>
      <c r="Z41" s="411"/>
      <c r="AA41" s="663"/>
      <c r="AB41" s="664"/>
      <c r="AC41" s="422"/>
      <c r="AD41" s="421"/>
    </row>
    <row r="42" spans="3:30" ht="16.5" customHeight="1">
      <c r="C42" s="398"/>
      <c r="W42" s="657" t="s">
        <v>1626</v>
      </c>
      <c r="X42" s="657"/>
      <c r="Y42" s="657"/>
      <c r="Z42" s="657"/>
      <c r="AA42" s="657"/>
      <c r="AB42" s="657"/>
      <c r="AC42" s="657"/>
      <c r="AD42" s="658"/>
    </row>
    <row r="43" spans="3:30" ht="12" customHeight="1">
      <c r="C43" s="398"/>
      <c r="S43" s="495"/>
      <c r="T43" s="495"/>
      <c r="U43" s="495"/>
      <c r="V43" s="495"/>
      <c r="W43" s="659"/>
      <c r="X43" s="659"/>
      <c r="Y43" s="659"/>
      <c r="Z43" s="659"/>
      <c r="AA43" s="659"/>
      <c r="AB43" s="659"/>
      <c r="AC43" s="659"/>
      <c r="AD43" s="660"/>
    </row>
    <row r="44" spans="3:30">
      <c r="C44" s="413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4"/>
      <c r="S44" s="495"/>
      <c r="T44" s="414"/>
      <c r="U44" s="414"/>
      <c r="V44" s="412"/>
      <c r="W44" s="650" t="s">
        <v>1601</v>
      </c>
      <c r="X44" s="651"/>
      <c r="Y44" s="652"/>
      <c r="Z44" s="652"/>
      <c r="AA44" s="652"/>
      <c r="AB44" s="652"/>
      <c r="AC44" s="652"/>
      <c r="AD44" s="653"/>
    </row>
    <row r="45" spans="3:30">
      <c r="C45" s="413"/>
      <c r="D45" s="414"/>
      <c r="E45" s="414"/>
      <c r="F45" s="414"/>
      <c r="G45" s="414"/>
      <c r="H45" s="414"/>
      <c r="I45" s="414"/>
      <c r="J45" s="414"/>
      <c r="K45" s="414"/>
      <c r="L45" s="414"/>
      <c r="M45" s="414"/>
      <c r="N45" s="414"/>
      <c r="O45" s="414"/>
      <c r="P45" s="414"/>
      <c r="Q45" s="414"/>
      <c r="R45" s="414"/>
      <c r="S45" s="495"/>
      <c r="T45" s="414"/>
      <c r="U45" s="414"/>
      <c r="V45" s="412"/>
      <c r="W45" s="650" t="s">
        <v>1602</v>
      </c>
      <c r="X45" s="651"/>
      <c r="Y45" s="652">
        <v>1</v>
      </c>
      <c r="Z45" s="652"/>
      <c r="AA45" s="652"/>
      <c r="AB45" s="652" t="s">
        <v>1603</v>
      </c>
      <c r="AC45" s="652"/>
      <c r="AD45" s="428" t="s">
        <v>1604</v>
      </c>
    </row>
    <row r="46" spans="3:30">
      <c r="C46" s="413"/>
      <c r="D46" s="414"/>
      <c r="E46" s="414"/>
      <c r="F46" s="414"/>
      <c r="G46" s="414"/>
      <c r="H46" s="414"/>
      <c r="I46" s="414"/>
      <c r="J46" s="414"/>
      <c r="K46" s="414"/>
      <c r="L46" s="414"/>
      <c r="M46" s="414"/>
      <c r="N46" s="414"/>
      <c r="O46" s="414"/>
      <c r="P46" s="414"/>
      <c r="Q46" s="414"/>
      <c r="R46" s="414"/>
      <c r="S46" s="495"/>
      <c r="T46" s="414"/>
      <c r="U46" s="414"/>
      <c r="V46" s="412"/>
      <c r="W46" s="650" t="s">
        <v>1605</v>
      </c>
      <c r="X46" s="651"/>
      <c r="Y46" s="654"/>
      <c r="Z46" s="654"/>
      <c r="AA46" s="654"/>
      <c r="AB46" s="652" t="s">
        <v>1606</v>
      </c>
      <c r="AC46" s="652"/>
      <c r="AD46" s="393"/>
    </row>
    <row r="47" spans="3:30">
      <c r="C47" s="413"/>
      <c r="D47" s="414"/>
      <c r="E47" s="414"/>
      <c r="F47" s="414"/>
      <c r="G47" s="414"/>
      <c r="H47" s="414"/>
      <c r="I47" s="414"/>
      <c r="J47" s="414"/>
      <c r="K47" s="414"/>
      <c r="L47" s="414"/>
      <c r="M47" s="414"/>
      <c r="N47" s="414"/>
      <c r="O47" s="414"/>
      <c r="P47" s="414"/>
      <c r="Q47" s="414"/>
      <c r="R47" s="414"/>
      <c r="S47" s="495"/>
      <c r="T47" s="414"/>
      <c r="U47" s="414"/>
      <c r="V47" s="412"/>
      <c r="W47" s="655" t="s">
        <v>1607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413"/>
      <c r="D48" s="414"/>
      <c r="E48" s="414"/>
      <c r="F48" s="414"/>
      <c r="G48" s="414"/>
      <c r="H48" s="414"/>
      <c r="I48" s="414"/>
      <c r="J48" s="414"/>
      <c r="K48" s="414"/>
      <c r="L48" s="414"/>
      <c r="M48" s="414"/>
      <c r="N48" s="414"/>
      <c r="O48" s="414"/>
      <c r="P48" s="414"/>
      <c r="Q48" s="414"/>
      <c r="R48" s="414"/>
      <c r="S48" s="495"/>
      <c r="T48" s="414"/>
      <c r="U48" s="414"/>
      <c r="V48" s="412"/>
      <c r="W48" s="490" t="str">
        <f>RAB!G6</f>
        <v>ZAENAL ARIFIN</v>
      </c>
      <c r="X48" s="490"/>
      <c r="Y48" s="490"/>
      <c r="Z48" s="490"/>
      <c r="AA48" s="490"/>
      <c r="AB48" s="490"/>
      <c r="AC48" s="490"/>
      <c r="AD48" s="491"/>
    </row>
    <row r="49" spans="3:30">
      <c r="C49" s="413"/>
      <c r="D49" s="414"/>
      <c r="E49" s="414"/>
      <c r="F49" s="414"/>
      <c r="G49" s="414"/>
      <c r="H49" s="414"/>
      <c r="I49" s="414"/>
      <c r="J49" s="414"/>
      <c r="K49" s="414"/>
      <c r="L49" s="414"/>
      <c r="M49" s="414"/>
      <c r="N49" s="414"/>
      <c r="O49" s="414"/>
      <c r="P49" s="414"/>
      <c r="Q49" s="414"/>
      <c r="R49" s="414"/>
      <c r="S49" s="495"/>
      <c r="T49" s="414"/>
      <c r="U49" s="414"/>
      <c r="V49" s="415"/>
      <c r="W49" s="490" t="str">
        <f>RAB!G7</f>
        <v>DS.CANDISARI MRANGGEN</v>
      </c>
      <c r="X49" s="490"/>
      <c r="Y49" s="490"/>
      <c r="Z49" s="490"/>
      <c r="AA49" s="490"/>
      <c r="AB49" s="490"/>
      <c r="AC49" s="490"/>
      <c r="AD49" s="491"/>
    </row>
    <row r="50" spans="3:30" ht="12.75">
      <c r="C50" s="413"/>
      <c r="D50" s="414"/>
      <c r="E50" s="414"/>
      <c r="F50"/>
      <c r="G50" s="414"/>
      <c r="H50" s="414"/>
      <c r="I50" s="414"/>
      <c r="J50" s="414"/>
      <c r="K50" s="414"/>
      <c r="L50" s="414"/>
      <c r="M50" s="414"/>
      <c r="N50" s="414"/>
      <c r="O50" s="414"/>
      <c r="P50" s="414"/>
      <c r="Q50" s="414"/>
      <c r="R50" s="414"/>
      <c r="S50" s="495"/>
      <c r="T50" s="414"/>
      <c r="U50" s="414"/>
      <c r="V50" s="415"/>
      <c r="W50" s="490"/>
      <c r="X50" s="490"/>
      <c r="Y50" s="490"/>
      <c r="Z50" s="490"/>
      <c r="AA50" s="490"/>
      <c r="AB50" s="490"/>
      <c r="AC50" s="490"/>
      <c r="AD50" s="491"/>
    </row>
    <row r="51" spans="3:30" ht="19.5" customHeight="1">
      <c r="C51" s="413"/>
      <c r="D51" s="414"/>
      <c r="E51" s="414"/>
      <c r="F51" s="414"/>
      <c r="G51" s="414"/>
      <c r="H51" s="414"/>
      <c r="I51" s="414"/>
      <c r="J51" s="414"/>
      <c r="K51" s="414"/>
      <c r="L51" s="414"/>
      <c r="M51" s="414"/>
      <c r="N51" s="414"/>
      <c r="O51" s="414"/>
      <c r="P51" s="414"/>
      <c r="Q51" s="414"/>
      <c r="R51" s="414"/>
      <c r="S51" s="414"/>
      <c r="T51" s="414"/>
      <c r="U51" s="414"/>
      <c r="V51" s="415"/>
      <c r="W51" s="492"/>
      <c r="X51" s="492"/>
      <c r="Y51" s="492"/>
      <c r="Z51" s="492"/>
      <c r="AA51" s="492"/>
      <c r="AB51" s="492"/>
      <c r="AC51" s="492"/>
      <c r="AD51" s="493"/>
    </row>
    <row r="52" spans="3:30">
      <c r="C52" s="413"/>
      <c r="D52" s="414"/>
      <c r="E52" s="414"/>
      <c r="F52" s="414"/>
      <c r="G52" s="414"/>
      <c r="H52" s="414"/>
      <c r="I52" s="414"/>
      <c r="J52" s="414"/>
      <c r="K52" s="414"/>
      <c r="L52" s="414"/>
      <c r="M52" s="414"/>
      <c r="N52" s="414"/>
      <c r="O52" s="414"/>
      <c r="P52" s="414"/>
      <c r="Q52" s="414"/>
      <c r="R52" s="414"/>
      <c r="S52" s="414"/>
      <c r="T52" s="414"/>
      <c r="U52" s="414"/>
      <c r="V52" s="412"/>
      <c r="W52" s="650" t="s">
        <v>1608</v>
      </c>
      <c r="X52" s="651"/>
      <c r="Y52" s="652" t="s">
        <v>1609</v>
      </c>
      <c r="Z52" s="652"/>
      <c r="AA52" s="652"/>
      <c r="AB52" s="652"/>
      <c r="AC52" s="652"/>
      <c r="AD52" s="653"/>
    </row>
    <row r="53" spans="3:30">
      <c r="C53" s="413"/>
      <c r="D53" s="414"/>
      <c r="E53" s="414"/>
      <c r="F53" s="414"/>
      <c r="G53" s="414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4"/>
      <c r="S53" s="414"/>
      <c r="T53" s="414"/>
      <c r="V53" s="412"/>
      <c r="W53" s="650" t="s">
        <v>1610</v>
      </c>
      <c r="X53" s="651"/>
      <c r="Y53" s="652" t="s">
        <v>1619</v>
      </c>
      <c r="Z53" s="652"/>
      <c r="AA53" s="652"/>
      <c r="AB53" s="652"/>
      <c r="AC53" s="652"/>
      <c r="AD53" s="653"/>
    </row>
    <row r="54" spans="3:30">
      <c r="C54" s="413"/>
      <c r="D54" s="414"/>
      <c r="E54" s="414"/>
      <c r="F54" s="414"/>
      <c r="G54" s="414"/>
      <c r="H54" s="414"/>
      <c r="I54" s="414"/>
      <c r="J54" s="414"/>
      <c r="K54" s="414"/>
      <c r="L54" s="414"/>
      <c r="M54" s="414"/>
      <c r="N54" s="414"/>
      <c r="O54" s="414"/>
      <c r="P54" s="414"/>
      <c r="Q54" s="414"/>
      <c r="R54" s="414"/>
      <c r="S54" s="414"/>
      <c r="T54" s="414"/>
      <c r="V54" s="412"/>
      <c r="W54" s="650" t="s">
        <v>1611</v>
      </c>
      <c r="X54" s="651"/>
      <c r="Y54" s="652" t="s">
        <v>1612</v>
      </c>
      <c r="Z54" s="652"/>
      <c r="AA54" s="652"/>
      <c r="AB54" s="652"/>
      <c r="AC54" s="652"/>
      <c r="AD54" s="653"/>
    </row>
    <row r="55" spans="3:30" ht="12.75" thickBot="1">
      <c r="C55" s="416"/>
      <c r="D55" s="417"/>
      <c r="E55" s="417"/>
      <c r="F55" s="417"/>
      <c r="G55" s="417"/>
      <c r="H55" s="417"/>
      <c r="I55" s="417"/>
      <c r="J55" s="417"/>
      <c r="K55" s="417"/>
      <c r="L55" s="417"/>
      <c r="M55" s="417"/>
      <c r="N55" s="417"/>
      <c r="O55" s="417"/>
      <c r="P55" s="417"/>
      <c r="Q55" s="417"/>
      <c r="R55" s="417"/>
      <c r="S55" s="417"/>
      <c r="T55" s="417"/>
      <c r="U55" s="418"/>
      <c r="V55" s="419"/>
      <c r="W55" s="646" t="s">
        <v>1613</v>
      </c>
      <c r="X55" s="647"/>
      <c r="Y55" s="648" t="s">
        <v>1614</v>
      </c>
      <c r="Z55" s="648"/>
      <c r="AA55" s="648"/>
      <c r="AB55" s="648"/>
      <c r="AC55" s="648"/>
      <c r="AD55" s="649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42:AD43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80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view="pageBreakPreview" zoomScale="40" zoomScaleNormal="40" zoomScaleSheetLayoutView="40" workbookViewId="0">
      <selection activeCell="C6" sqref="C6:M7"/>
    </sheetView>
  </sheetViews>
  <sheetFormatPr defaultColWidth="9.140625" defaultRowHeight="12.75"/>
  <cols>
    <col min="1" max="1" width="1.7109375" style="473" customWidth="1"/>
    <col min="2" max="2" width="10.7109375" style="473" customWidth="1"/>
    <col min="3" max="3" width="2.42578125" style="473" customWidth="1"/>
    <col min="4" max="20" width="9.140625" style="473"/>
    <col min="21" max="21" width="14.42578125" style="473" customWidth="1"/>
    <col min="22" max="22" width="3.140625" style="473" customWidth="1"/>
    <col min="23" max="26" width="9.140625" style="473"/>
    <col min="27" max="27" width="2.85546875" style="473" customWidth="1"/>
    <col min="28" max="30" width="4.7109375" style="473" customWidth="1"/>
    <col min="31" max="31" width="1.7109375" style="473" customWidth="1"/>
    <col min="32" max="16384" width="9.140625" style="473"/>
  </cols>
  <sheetData>
    <row r="1" spans="1:29">
      <c r="A1" s="433"/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5"/>
    </row>
    <row r="2" spans="1:29">
      <c r="A2" s="436"/>
      <c r="W2" s="437"/>
    </row>
    <row r="3" spans="1:29" ht="12.75" customHeight="1">
      <c r="A3" s="436"/>
      <c r="C3" s="707" t="s">
        <v>1615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437"/>
      <c r="X3" s="484"/>
      <c r="Y3" s="484"/>
      <c r="Z3" s="484"/>
      <c r="AA3" s="484"/>
      <c r="AB3" s="484"/>
      <c r="AC3" s="474"/>
    </row>
    <row r="4" spans="1:29" ht="18.75" customHeight="1">
      <c r="A4" s="436"/>
      <c r="C4" s="707"/>
      <c r="D4" s="707"/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437"/>
      <c r="X4" s="484"/>
      <c r="Y4" s="484"/>
      <c r="Z4" s="484"/>
      <c r="AA4" s="484"/>
      <c r="AB4" s="484"/>
      <c r="AC4" s="474"/>
    </row>
    <row r="5" spans="1:29" ht="12.75" customHeight="1">
      <c r="A5" s="436"/>
      <c r="C5" s="475"/>
      <c r="W5" s="437"/>
    </row>
    <row r="6" spans="1:29" ht="12.75" customHeight="1">
      <c r="A6" s="436"/>
      <c r="C6" s="708" t="s">
        <v>1622</v>
      </c>
      <c r="D6" s="708"/>
      <c r="E6" s="708"/>
      <c r="F6" s="708"/>
      <c r="G6" s="708"/>
      <c r="H6" s="708"/>
      <c r="I6" s="708"/>
      <c r="J6" s="708"/>
      <c r="K6" s="708"/>
      <c r="L6" s="708"/>
      <c r="M6" s="708"/>
      <c r="W6" s="437"/>
      <c r="Y6" s="476"/>
      <c r="Z6" s="476"/>
      <c r="AA6" s="476"/>
      <c r="AB6" s="477"/>
      <c r="AC6" s="477"/>
    </row>
    <row r="7" spans="1:29" ht="18" customHeight="1">
      <c r="A7" s="436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W7" s="437"/>
      <c r="Y7" s="476"/>
      <c r="Z7" s="476"/>
      <c r="AA7" s="476"/>
      <c r="AB7" s="477"/>
      <c r="AC7" s="477"/>
    </row>
    <row r="8" spans="1:29">
      <c r="A8" s="436"/>
      <c r="W8" s="437"/>
    </row>
    <row r="9" spans="1:29">
      <c r="A9" s="436"/>
      <c r="D9"/>
      <c r="W9" s="437"/>
    </row>
    <row r="10" spans="1:29">
      <c r="A10" s="436"/>
      <c r="W10" s="437"/>
    </row>
    <row r="11" spans="1:29">
      <c r="A11" s="436"/>
      <c r="W11" s="437"/>
    </row>
    <row r="12" spans="1:29">
      <c r="A12" s="436"/>
      <c r="D12" s="478"/>
      <c r="W12" s="437"/>
    </row>
    <row r="13" spans="1:29">
      <c r="A13" s="436"/>
      <c r="W13" s="437"/>
    </row>
    <row r="14" spans="1:29">
      <c r="A14" s="436"/>
      <c r="W14" s="437"/>
    </row>
    <row r="15" spans="1:29">
      <c r="A15" s="436"/>
      <c r="W15" s="437"/>
    </row>
    <row r="16" spans="1:29">
      <c r="A16" s="436"/>
      <c r="W16" s="437"/>
    </row>
    <row r="17" spans="1:23">
      <c r="A17" s="436"/>
      <c r="W17" s="437"/>
    </row>
    <row r="18" spans="1:23">
      <c r="A18" s="436"/>
      <c r="W18" s="437"/>
    </row>
    <row r="19" spans="1:23">
      <c r="A19" s="436"/>
      <c r="W19" s="437"/>
    </row>
    <row r="20" spans="1:23">
      <c r="A20" s="436"/>
      <c r="W20" s="437"/>
    </row>
    <row r="21" spans="1:23">
      <c r="A21" s="436"/>
      <c r="W21" s="437"/>
    </row>
    <row r="22" spans="1:23">
      <c r="A22" s="436"/>
      <c r="W22" s="437"/>
    </row>
    <row r="23" spans="1:23">
      <c r="A23" s="436"/>
      <c r="W23" s="437"/>
    </row>
    <row r="24" spans="1:23">
      <c r="A24" s="436"/>
      <c r="W24" s="437"/>
    </row>
    <row r="25" spans="1:23">
      <c r="A25" s="436"/>
      <c r="W25" s="437"/>
    </row>
    <row r="26" spans="1:23">
      <c r="A26" s="436"/>
      <c r="W26" s="437"/>
    </row>
    <row r="27" spans="1:23">
      <c r="A27" s="436"/>
      <c r="W27" s="437"/>
    </row>
    <row r="28" spans="1:23">
      <c r="A28" s="436"/>
      <c r="W28" s="437"/>
    </row>
    <row r="29" spans="1:23">
      <c r="A29" s="436"/>
      <c r="W29" s="437"/>
    </row>
    <row r="30" spans="1:23">
      <c r="A30" s="436"/>
      <c r="W30" s="437"/>
    </row>
    <row r="31" spans="1:23">
      <c r="A31" s="436"/>
      <c r="W31" s="437"/>
    </row>
    <row r="32" spans="1:23">
      <c r="A32" s="436"/>
      <c r="W32" s="437"/>
    </row>
    <row r="33" spans="1:23">
      <c r="A33" s="436"/>
      <c r="W33" s="437"/>
    </row>
    <row r="34" spans="1:23">
      <c r="A34" s="436"/>
      <c r="W34" s="437"/>
    </row>
    <row r="35" spans="1:23">
      <c r="A35" s="436"/>
      <c r="W35" s="437"/>
    </row>
    <row r="36" spans="1:23">
      <c r="A36" s="436"/>
      <c r="W36" s="437"/>
    </row>
    <row r="37" spans="1:23">
      <c r="A37" s="436"/>
      <c r="W37" s="437"/>
    </row>
    <row r="38" spans="1:23">
      <c r="A38" s="436"/>
      <c r="W38" s="437"/>
    </row>
    <row r="39" spans="1:23">
      <c r="A39" s="436"/>
      <c r="W39" s="437"/>
    </row>
    <row r="40" spans="1:23">
      <c r="A40" s="436"/>
      <c r="W40" s="437"/>
    </row>
    <row r="41" spans="1:23">
      <c r="A41" s="436"/>
      <c r="W41" s="437"/>
    </row>
    <row r="42" spans="1:23">
      <c r="A42" s="436"/>
      <c r="W42" s="437"/>
    </row>
    <row r="43" spans="1:23">
      <c r="A43" s="436"/>
      <c r="W43" s="437"/>
    </row>
    <row r="44" spans="1:23">
      <c r="A44" s="436"/>
      <c r="W44" s="437"/>
    </row>
    <row r="45" spans="1:23">
      <c r="A45" s="436"/>
      <c r="W45" s="437"/>
    </row>
    <row r="46" spans="1:23">
      <c r="A46" s="436"/>
      <c r="W46" s="437"/>
    </row>
    <row r="47" spans="1:23">
      <c r="A47" s="436"/>
      <c r="W47" s="437"/>
    </row>
    <row r="48" spans="1:23">
      <c r="A48" s="436"/>
      <c r="W48" s="437"/>
    </row>
    <row r="49" spans="1:30">
      <c r="A49" s="436"/>
      <c r="W49" s="437"/>
    </row>
    <row r="50" spans="1:30">
      <c r="A50" s="436"/>
      <c r="W50" s="437"/>
    </row>
    <row r="51" spans="1:30">
      <c r="A51" s="436"/>
      <c r="W51" s="437"/>
    </row>
    <row r="52" spans="1:30">
      <c r="A52" s="436"/>
      <c r="W52" s="437"/>
    </row>
    <row r="53" spans="1:30">
      <c r="A53" s="436"/>
      <c r="W53" s="437"/>
    </row>
    <row r="54" spans="1:30">
      <c r="A54" s="436"/>
      <c r="R54" s="479"/>
      <c r="S54" s="479"/>
      <c r="T54" s="479"/>
      <c r="U54" s="480"/>
      <c r="V54" s="480"/>
      <c r="W54" s="438"/>
      <c r="X54" s="480"/>
      <c r="Y54" s="480"/>
      <c r="Z54" s="480"/>
      <c r="AA54" s="480"/>
      <c r="AB54" s="480"/>
      <c r="AC54" s="480"/>
      <c r="AD54" s="480"/>
    </row>
    <row r="55" spans="1:30" ht="13.5" thickBot="1">
      <c r="A55" s="439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440"/>
      <c r="P55" s="440"/>
      <c r="Q55" s="440"/>
      <c r="R55" s="485"/>
      <c r="S55" s="486"/>
      <c r="T55" s="486"/>
      <c r="U55" s="441"/>
      <c r="V55" s="442"/>
      <c r="W55" s="443"/>
      <c r="X55" s="480"/>
      <c r="Y55" s="480"/>
      <c r="Z55" s="480"/>
      <c r="AA55" s="481"/>
      <c r="AB55" s="481"/>
      <c r="AC55" s="481"/>
      <c r="AD55" s="481"/>
    </row>
    <row r="56" spans="1:30">
      <c r="U56" s="480"/>
      <c r="V56" s="481"/>
      <c r="W56" s="480"/>
      <c r="X56" s="480"/>
      <c r="Y56" s="480"/>
      <c r="Z56" s="480"/>
      <c r="AA56" s="481"/>
      <c r="AB56" s="480"/>
      <c r="AC56" s="480"/>
      <c r="AD56" s="480"/>
    </row>
    <row r="57" spans="1:30">
      <c r="U57" s="480"/>
      <c r="V57" s="481"/>
      <c r="W57" s="480"/>
      <c r="X57" s="480"/>
      <c r="Y57" s="480"/>
      <c r="Z57" s="480"/>
      <c r="AA57" s="480"/>
      <c r="AB57" s="480"/>
      <c r="AC57" s="480"/>
      <c r="AD57" s="480"/>
    </row>
    <row r="58" spans="1:30">
      <c r="U58" s="480"/>
      <c r="V58" s="481"/>
      <c r="W58" s="480"/>
      <c r="X58" s="480"/>
      <c r="Y58" s="480"/>
      <c r="Z58" s="480"/>
      <c r="AA58" s="480"/>
      <c r="AB58" s="480"/>
      <c r="AC58" s="480"/>
      <c r="AD58" s="480"/>
    </row>
    <row r="59" spans="1:30">
      <c r="U59" s="480"/>
      <c r="V59" s="481"/>
      <c r="W59" s="480"/>
      <c r="X59" s="480"/>
      <c r="Y59" s="480"/>
      <c r="Z59" s="480"/>
      <c r="AA59" s="480"/>
      <c r="AB59" s="480"/>
      <c r="AC59" s="480"/>
      <c r="AD59" s="480"/>
    </row>
    <row r="60" spans="1:30">
      <c r="U60" s="480"/>
      <c r="V60" s="481"/>
      <c r="W60" s="480"/>
      <c r="X60" s="480"/>
      <c r="Y60" s="480"/>
      <c r="Z60" s="480"/>
      <c r="AA60" s="481"/>
      <c r="AB60" s="480"/>
      <c r="AC60" s="480"/>
      <c r="AD60" s="480"/>
    </row>
    <row r="61" spans="1:30">
      <c r="U61" s="480"/>
      <c r="V61" s="481"/>
      <c r="W61" s="480"/>
      <c r="X61" s="480"/>
      <c r="Y61" s="480"/>
      <c r="Z61" s="480"/>
      <c r="AA61" s="480"/>
      <c r="AB61" s="480"/>
      <c r="AC61" s="480"/>
      <c r="AD61" s="480"/>
    </row>
    <row r="62" spans="1:30">
      <c r="U62" s="480"/>
      <c r="V62" s="481"/>
      <c r="W62" s="480"/>
      <c r="X62" s="480"/>
      <c r="Y62" s="480"/>
      <c r="Z62" s="480"/>
      <c r="AA62" s="480"/>
      <c r="AB62" s="480"/>
      <c r="AC62" s="480"/>
      <c r="AD62" s="480"/>
    </row>
    <row r="63" spans="1:30">
      <c r="U63" s="480"/>
      <c r="V63" s="481"/>
      <c r="W63" s="480"/>
      <c r="X63" s="480"/>
      <c r="Y63" s="480"/>
      <c r="Z63" s="480"/>
      <c r="AA63" s="480"/>
      <c r="AB63" s="480"/>
      <c r="AC63" s="480"/>
      <c r="AD63" s="480"/>
    </row>
    <row r="64" spans="1:30">
      <c r="U64" s="480"/>
      <c r="V64" s="481"/>
      <c r="W64" s="480"/>
      <c r="X64" s="480"/>
      <c r="Y64" s="480"/>
      <c r="Z64" s="480"/>
      <c r="AA64" s="480"/>
      <c r="AB64" s="480"/>
      <c r="AC64" s="480"/>
      <c r="AD64" s="480"/>
    </row>
    <row r="65" spans="5:30">
      <c r="U65" s="480"/>
      <c r="V65" s="481"/>
      <c r="W65" s="480"/>
      <c r="X65" s="480"/>
      <c r="Y65" s="480"/>
      <c r="Z65" s="480"/>
      <c r="AA65" s="480"/>
      <c r="AB65" s="480"/>
      <c r="AC65" s="480"/>
      <c r="AD65" s="480"/>
    </row>
    <row r="66" spans="5:30" ht="6" customHeight="1"/>
    <row r="73" spans="5:30">
      <c r="M73" s="482"/>
    </row>
    <row r="74" spans="5:30" ht="15" customHeight="1">
      <c r="E74" s="483"/>
      <c r="M74" s="482"/>
    </row>
    <row r="75" spans="5:30" ht="15" customHeight="1">
      <c r="E75" s="483"/>
      <c r="M75" s="482"/>
    </row>
    <row r="76" spans="5:30" ht="15" customHeight="1">
      <c r="E76" s="483"/>
      <c r="M76" s="482"/>
    </row>
    <row r="77" spans="5:30" ht="15" customHeight="1">
      <c r="E77" s="483"/>
      <c r="M77" s="482"/>
    </row>
    <row r="78" spans="5:30" ht="15" customHeight="1">
      <c r="E78" s="483"/>
      <c r="M78" s="482"/>
    </row>
    <row r="79" spans="5:30" ht="15" customHeight="1">
      <c r="E79" s="483"/>
      <c r="M79" s="482"/>
    </row>
    <row r="80" spans="5:30" ht="15" customHeight="1">
      <c r="E80" s="483"/>
      <c r="M80" s="482"/>
    </row>
    <row r="81" spans="5:13" ht="15" customHeight="1">
      <c r="E81" s="483"/>
      <c r="M81" s="482"/>
    </row>
    <row r="82" spans="5:13" ht="15" customHeight="1">
      <c r="E82" s="483"/>
      <c r="M82" s="482"/>
    </row>
    <row r="83" spans="5:13" ht="15" customHeight="1">
      <c r="E83" s="483"/>
      <c r="M83" s="482"/>
    </row>
    <row r="84" spans="5:13" ht="15" customHeight="1">
      <c r="E84" s="483"/>
      <c r="M84" s="482"/>
    </row>
    <row r="85" spans="5:13" ht="15" customHeight="1">
      <c r="E85" s="483"/>
      <c r="M85" s="482"/>
    </row>
    <row r="86" spans="5:13" ht="15" customHeight="1">
      <c r="E86" s="483"/>
      <c r="M86" s="482"/>
    </row>
    <row r="87" spans="5:13" ht="15" customHeight="1">
      <c r="E87" s="483"/>
      <c r="M87" s="482"/>
    </row>
    <row r="88" spans="5:13" ht="15" customHeight="1">
      <c r="E88" s="483"/>
      <c r="M88" s="482"/>
    </row>
    <row r="89" spans="5:13" ht="15" customHeight="1">
      <c r="E89" s="483"/>
      <c r="M89" s="482"/>
    </row>
    <row r="90" spans="5:13" ht="15" customHeight="1">
      <c r="E90" s="483"/>
      <c r="M90" s="482"/>
    </row>
    <row r="91" spans="5:13" ht="15" customHeight="1">
      <c r="E91" s="483"/>
      <c r="M91" s="482"/>
    </row>
    <row r="92" spans="5:13" ht="15" customHeight="1">
      <c r="E92" s="483"/>
      <c r="M92" s="482"/>
    </row>
    <row r="93" spans="5:13" ht="15" customHeight="1">
      <c r="E93" s="483"/>
      <c r="M93" s="482"/>
    </row>
    <row r="94" spans="5:13" ht="15" customHeight="1">
      <c r="E94" s="483"/>
      <c r="M94" s="482"/>
    </row>
    <row r="95" spans="5:13" ht="15" customHeight="1">
      <c r="E95" s="483"/>
      <c r="M95" s="482"/>
    </row>
    <row r="96" spans="5:13" ht="15" customHeight="1">
      <c r="E96" s="483"/>
    </row>
    <row r="97" spans="5:5" ht="15" customHeight="1">
      <c r="E97" s="483"/>
    </row>
    <row r="98" spans="5:5" ht="15" customHeight="1">
      <c r="E98" s="483"/>
    </row>
    <row r="99" spans="5:5" ht="15" customHeight="1">
      <c r="E99" s="483"/>
    </row>
    <row r="100" spans="5:5" ht="15" customHeight="1">
      <c r="E100" s="483"/>
    </row>
    <row r="101" spans="5:5" ht="15" customHeight="1">
      <c r="E101" s="483"/>
    </row>
    <row r="102" spans="5:5" ht="15" customHeight="1">
      <c r="E102" s="483"/>
    </row>
    <row r="103" spans="5:5" ht="15" customHeight="1">
      <c r="E103" s="483"/>
    </row>
    <row r="104" spans="5:5" ht="15" customHeight="1">
      <c r="E104" s="483"/>
    </row>
    <row r="105" spans="5:5" ht="15" customHeight="1">
      <c r="E105" s="483"/>
    </row>
    <row r="106" spans="5:5" ht="15" customHeight="1">
      <c r="E106" s="483"/>
    </row>
    <row r="107" spans="5:5" ht="15" customHeight="1">
      <c r="E107" s="483"/>
    </row>
    <row r="108" spans="5:5" ht="15" customHeight="1">
      <c r="E108" s="483"/>
    </row>
    <row r="109" spans="5:5" ht="15" customHeight="1">
      <c r="E109" s="483"/>
    </row>
    <row r="110" spans="5:5" ht="15" customHeight="1">
      <c r="E110" s="483"/>
    </row>
    <row r="111" spans="5:5" ht="15" customHeight="1">
      <c r="E111" s="483"/>
    </row>
    <row r="112" spans="5:5" ht="15" customHeight="1">
      <c r="E112" s="483"/>
    </row>
    <row r="113" spans="5:5" ht="15" customHeight="1">
      <c r="E113" s="483"/>
    </row>
    <row r="114" spans="5:5" ht="15" customHeight="1">
      <c r="E114" s="483"/>
    </row>
    <row r="115" spans="5:5" ht="15" customHeight="1">
      <c r="E115" s="483"/>
    </row>
    <row r="116" spans="5:5" ht="15" customHeight="1">
      <c r="E116" s="483"/>
    </row>
    <row r="117" spans="5:5" ht="15" customHeight="1">
      <c r="E117" s="483"/>
    </row>
    <row r="118" spans="5:5" ht="15" customHeight="1">
      <c r="E118" s="483"/>
    </row>
    <row r="119" spans="5:5" ht="15" customHeight="1">
      <c r="E119" s="483"/>
    </row>
    <row r="120" spans="5:5">
      <c r="E120" s="48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zoomScale="55" zoomScaleNormal="55" zoomScaleSheetLayoutView="55" workbookViewId="0">
      <selection activeCell="U22" sqref="U22"/>
    </sheetView>
  </sheetViews>
  <sheetFormatPr defaultColWidth="9.140625" defaultRowHeight="12.75"/>
  <cols>
    <col min="1" max="1" width="1.7109375" style="444" customWidth="1"/>
    <col min="2" max="2" width="1.42578125" style="444" customWidth="1"/>
    <col min="3" max="3" width="10.7109375" style="444" customWidth="1"/>
    <col min="4" max="4" width="2.42578125" style="444" customWidth="1"/>
    <col min="5" max="21" width="9.140625" style="444"/>
    <col min="22" max="22" width="14.42578125" style="444" customWidth="1"/>
    <col min="23" max="23" width="3.140625" style="444" customWidth="1"/>
    <col min="24" max="27" width="9.140625" style="444"/>
    <col min="28" max="28" width="2.85546875" style="444" customWidth="1"/>
    <col min="29" max="31" width="4.7109375" style="444" customWidth="1"/>
    <col min="32" max="32" width="1.7109375" style="444" customWidth="1"/>
    <col min="33" max="16384" width="9.140625" style="444"/>
  </cols>
  <sheetData>
    <row r="1" spans="2:32" ht="13.5" thickBot="1"/>
    <row r="2" spans="2:32" ht="6" customHeight="1" thickBot="1">
      <c r="B2" s="445"/>
      <c r="C2" s="446"/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7"/>
    </row>
    <row r="3" spans="2:32" ht="13.5" thickBot="1">
      <c r="B3" s="448"/>
      <c r="C3" s="445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446"/>
      <c r="Z3" s="446"/>
      <c r="AA3" s="446"/>
      <c r="AB3" s="446"/>
      <c r="AC3" s="446"/>
      <c r="AD3" s="446"/>
      <c r="AE3" s="447"/>
      <c r="AF3" s="449"/>
    </row>
    <row r="4" spans="2:32" ht="12.75" customHeight="1">
      <c r="B4" s="448"/>
      <c r="C4" s="448"/>
      <c r="D4" s="709" t="s">
        <v>1616</v>
      </c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0"/>
      <c r="AC4" s="711"/>
      <c r="AD4" s="450"/>
      <c r="AE4" s="449"/>
      <c r="AF4" s="449"/>
    </row>
    <row r="5" spans="2:32" ht="13.5" customHeight="1">
      <c r="B5" s="448"/>
      <c r="C5" s="448"/>
      <c r="D5" s="712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13"/>
      <c r="AD5" s="450"/>
      <c r="AE5" s="449"/>
      <c r="AF5" s="449"/>
    </row>
    <row r="6" spans="2:32" ht="12.75" customHeight="1">
      <c r="B6" s="448"/>
      <c r="C6" s="448"/>
      <c r="D6" s="712"/>
      <c r="E6" s="707"/>
      <c r="F6" s="707"/>
      <c r="G6" s="707"/>
      <c r="H6" s="707"/>
      <c r="I6" s="707"/>
      <c r="J6" s="707"/>
      <c r="K6" s="707"/>
      <c r="L6" s="707"/>
      <c r="M6" s="707"/>
      <c r="N6" s="707"/>
      <c r="O6" s="707"/>
      <c r="P6" s="707"/>
      <c r="Q6" s="707"/>
      <c r="R6" s="707"/>
      <c r="S6" s="707"/>
      <c r="T6" s="707"/>
      <c r="U6" s="707"/>
      <c r="V6" s="707"/>
      <c r="W6" s="707"/>
      <c r="X6" s="707"/>
      <c r="Y6" s="707"/>
      <c r="Z6" s="707"/>
      <c r="AA6" s="707"/>
      <c r="AB6" s="707"/>
      <c r="AC6" s="713"/>
      <c r="AE6" s="449"/>
      <c r="AF6" s="449"/>
    </row>
    <row r="7" spans="2:32" ht="12.75" customHeight="1" thickBot="1">
      <c r="B7" s="448"/>
      <c r="C7" s="448"/>
      <c r="D7" s="714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6"/>
      <c r="AD7" s="452"/>
      <c r="AE7" s="449"/>
      <c r="AF7" s="449"/>
    </row>
    <row r="8" spans="2:32" ht="12.75" customHeight="1">
      <c r="B8" s="448"/>
      <c r="C8" s="448"/>
      <c r="Z8" s="451"/>
      <c r="AA8" s="451"/>
      <c r="AB8" s="451"/>
      <c r="AC8" s="452"/>
      <c r="AD8" s="452"/>
      <c r="AE8" s="449"/>
      <c r="AF8" s="449"/>
    </row>
    <row r="9" spans="2:32" ht="12.75" customHeight="1">
      <c r="B9" s="448"/>
      <c r="C9" s="448"/>
      <c r="AE9" s="449"/>
      <c r="AF9" s="449"/>
    </row>
    <row r="10" spans="2:32" ht="12.75" customHeight="1">
      <c r="B10" s="448"/>
      <c r="C10" s="448"/>
      <c r="AE10" s="449"/>
      <c r="AF10" s="449"/>
    </row>
    <row r="11" spans="2:32">
      <c r="B11" s="448"/>
      <c r="C11" s="448"/>
      <c r="D11" s="454"/>
      <c r="AE11" s="449"/>
      <c r="AF11" s="449"/>
    </row>
    <row r="12" spans="2:32">
      <c r="B12" s="448"/>
      <c r="C12" s="448"/>
      <c r="AE12" s="449"/>
      <c r="AF12" s="449"/>
    </row>
    <row r="13" spans="2:32">
      <c r="B13" s="448"/>
      <c r="C13" s="448"/>
      <c r="AE13" s="449"/>
      <c r="AF13" s="449"/>
    </row>
    <row r="14" spans="2:32">
      <c r="B14" s="448"/>
      <c r="C14" s="448"/>
      <c r="AE14" s="449"/>
      <c r="AF14" s="449"/>
    </row>
    <row r="15" spans="2:32">
      <c r="B15" s="448"/>
      <c r="C15" s="448"/>
      <c r="E15" s="453"/>
      <c r="AE15" s="449"/>
      <c r="AF15" s="449"/>
    </row>
    <row r="16" spans="2:32">
      <c r="B16" s="448"/>
      <c r="C16" s="448"/>
      <c r="AE16" s="449"/>
      <c r="AF16" s="449"/>
    </row>
    <row r="17" spans="2:32">
      <c r="B17" s="448"/>
      <c r="C17" s="448"/>
      <c r="AE17" s="449"/>
      <c r="AF17" s="449"/>
    </row>
    <row r="18" spans="2:32">
      <c r="B18" s="448"/>
      <c r="C18" s="448"/>
      <c r="AE18" s="449"/>
      <c r="AF18" s="449"/>
    </row>
    <row r="19" spans="2:32">
      <c r="B19" s="448"/>
      <c r="C19" s="448"/>
      <c r="AE19" s="449"/>
      <c r="AF19" s="449"/>
    </row>
    <row r="20" spans="2:32">
      <c r="B20" s="448"/>
      <c r="C20" s="448"/>
      <c r="AE20" s="449"/>
      <c r="AF20" s="449"/>
    </row>
    <row r="21" spans="2:32">
      <c r="B21" s="448"/>
      <c r="C21" s="448"/>
      <c r="AE21" s="449"/>
      <c r="AF21" s="449"/>
    </row>
    <row r="22" spans="2:32">
      <c r="B22" s="448"/>
      <c r="C22" s="448"/>
      <c r="AE22" s="449"/>
      <c r="AF22" s="449"/>
    </row>
    <row r="23" spans="2:32">
      <c r="B23" s="448"/>
      <c r="C23" s="448"/>
      <c r="AE23" s="449"/>
      <c r="AF23" s="449"/>
    </row>
    <row r="24" spans="2:32">
      <c r="B24" s="448"/>
      <c r="C24" s="448"/>
      <c r="AE24" s="449"/>
      <c r="AF24" s="449"/>
    </row>
    <row r="25" spans="2:32">
      <c r="B25" s="448"/>
      <c r="C25" s="448"/>
      <c r="AE25" s="449"/>
      <c r="AF25" s="449"/>
    </row>
    <row r="26" spans="2:32">
      <c r="B26" s="448"/>
      <c r="C26" s="448"/>
      <c r="AE26" s="449"/>
      <c r="AF26" s="449"/>
    </row>
    <row r="27" spans="2:32">
      <c r="B27" s="448"/>
      <c r="C27" s="448"/>
      <c r="AE27" s="449"/>
      <c r="AF27" s="449"/>
    </row>
    <row r="28" spans="2:32">
      <c r="B28" s="448"/>
      <c r="C28" s="448"/>
      <c r="AE28" s="449"/>
      <c r="AF28" s="449"/>
    </row>
    <row r="29" spans="2:32">
      <c r="B29" s="448"/>
      <c r="C29" s="448"/>
      <c r="AE29" s="449"/>
      <c r="AF29" s="449"/>
    </row>
    <row r="30" spans="2:32">
      <c r="B30" s="448"/>
      <c r="C30" s="448"/>
      <c r="AE30" s="449"/>
      <c r="AF30" s="449"/>
    </row>
    <row r="31" spans="2:32">
      <c r="B31" s="448"/>
      <c r="C31" s="448"/>
      <c r="AE31" s="449"/>
      <c r="AF31" s="449"/>
    </row>
    <row r="32" spans="2:32">
      <c r="B32" s="448"/>
      <c r="C32" s="448"/>
      <c r="AE32" s="449"/>
      <c r="AF32" s="449"/>
    </row>
    <row r="33" spans="2:32">
      <c r="B33" s="448"/>
      <c r="C33" s="448"/>
      <c r="AE33" s="449"/>
      <c r="AF33" s="449"/>
    </row>
    <row r="34" spans="2:32">
      <c r="B34" s="448"/>
      <c r="C34" s="448"/>
      <c r="AE34" s="449"/>
      <c r="AF34" s="449"/>
    </row>
    <row r="35" spans="2:32">
      <c r="B35" s="448"/>
      <c r="C35" s="448"/>
      <c r="AE35" s="449"/>
      <c r="AF35" s="449"/>
    </row>
    <row r="36" spans="2:32">
      <c r="B36" s="448"/>
      <c r="C36" s="448"/>
      <c r="AE36" s="449"/>
      <c r="AF36" s="449"/>
    </row>
    <row r="37" spans="2:32">
      <c r="B37" s="448"/>
      <c r="C37" s="448"/>
      <c r="AE37" s="449"/>
      <c r="AF37" s="449"/>
    </row>
    <row r="38" spans="2:32">
      <c r="B38" s="448"/>
      <c r="C38" s="448"/>
      <c r="AE38" s="449"/>
      <c r="AF38" s="449"/>
    </row>
    <row r="39" spans="2:32">
      <c r="B39" s="448"/>
      <c r="C39" s="448"/>
      <c r="AE39" s="449"/>
      <c r="AF39" s="449"/>
    </row>
    <row r="40" spans="2:32">
      <c r="B40" s="448"/>
      <c r="C40" s="448"/>
      <c r="AE40" s="449"/>
      <c r="AF40" s="449"/>
    </row>
    <row r="41" spans="2:32">
      <c r="B41" s="448"/>
      <c r="C41" s="448"/>
      <c r="AE41" s="449"/>
      <c r="AF41" s="449"/>
    </row>
    <row r="42" spans="2:32">
      <c r="B42" s="448"/>
      <c r="C42" s="448"/>
      <c r="AE42" s="449"/>
      <c r="AF42" s="449"/>
    </row>
    <row r="43" spans="2:32">
      <c r="B43" s="448"/>
      <c r="C43" s="448"/>
      <c r="AE43" s="449"/>
      <c r="AF43" s="449"/>
    </row>
    <row r="44" spans="2:32">
      <c r="B44" s="448"/>
      <c r="C44" s="448"/>
      <c r="AE44" s="449"/>
      <c r="AF44" s="449"/>
    </row>
    <row r="45" spans="2:32">
      <c r="B45" s="448"/>
      <c r="C45" s="448"/>
      <c r="AE45" s="449"/>
      <c r="AF45" s="449"/>
    </row>
    <row r="46" spans="2:32">
      <c r="B46" s="448"/>
      <c r="C46" s="448"/>
      <c r="AE46" s="449"/>
      <c r="AF46" s="449"/>
    </row>
    <row r="47" spans="2:32">
      <c r="B47" s="448"/>
      <c r="C47" s="448"/>
      <c r="AE47" s="449"/>
      <c r="AF47" s="449"/>
    </row>
    <row r="48" spans="2:32">
      <c r="B48" s="448"/>
      <c r="C48" s="448"/>
      <c r="AE48" s="449"/>
      <c r="AF48" s="449"/>
    </row>
    <row r="49" spans="2:32">
      <c r="B49" s="448"/>
      <c r="C49" s="448"/>
      <c r="AE49" s="449"/>
      <c r="AF49" s="449"/>
    </row>
    <row r="50" spans="2:32">
      <c r="B50" s="448"/>
      <c r="C50" s="448"/>
      <c r="AE50" s="449"/>
      <c r="AF50" s="449"/>
    </row>
    <row r="51" spans="2:32">
      <c r="B51" s="448"/>
      <c r="C51" s="448"/>
      <c r="AE51" s="449"/>
      <c r="AF51" s="449"/>
    </row>
    <row r="52" spans="2:32">
      <c r="B52" s="448"/>
      <c r="C52" s="448"/>
      <c r="AE52" s="449"/>
      <c r="AF52" s="449"/>
    </row>
    <row r="53" spans="2:32">
      <c r="B53" s="448"/>
      <c r="C53" s="448"/>
      <c r="AE53" s="449"/>
      <c r="AF53" s="449"/>
    </row>
    <row r="54" spans="2:32">
      <c r="B54" s="448"/>
      <c r="C54" s="448"/>
      <c r="AE54" s="449"/>
      <c r="AF54" s="449"/>
    </row>
    <row r="55" spans="2:32">
      <c r="B55" s="448"/>
      <c r="C55" s="448"/>
      <c r="AE55" s="449"/>
      <c r="AF55" s="449"/>
    </row>
    <row r="56" spans="2:32">
      <c r="B56" s="448"/>
      <c r="C56" s="448"/>
      <c r="AE56" s="449"/>
      <c r="AF56" s="449"/>
    </row>
    <row r="57" spans="2:32">
      <c r="B57" s="448"/>
      <c r="C57" s="448"/>
      <c r="S57" s="454"/>
      <c r="T57" s="454"/>
      <c r="U57" s="454"/>
      <c r="V57" s="455"/>
      <c r="W57" s="455"/>
      <c r="X57" s="455"/>
      <c r="Y57" s="455"/>
      <c r="Z57" s="455"/>
      <c r="AA57" s="455"/>
      <c r="AB57" s="455"/>
      <c r="AC57" s="455"/>
      <c r="AD57" s="455"/>
      <c r="AE57" s="456"/>
      <c r="AF57" s="449"/>
    </row>
    <row r="58" spans="2:32">
      <c r="B58" s="448"/>
      <c r="C58" s="448"/>
      <c r="S58" s="457"/>
      <c r="T58" s="454"/>
      <c r="U58" s="454"/>
      <c r="V58" s="455"/>
      <c r="W58" s="458"/>
      <c r="X58" s="455"/>
      <c r="Y58" s="455"/>
      <c r="Z58" s="455"/>
      <c r="AA58" s="455"/>
      <c r="AB58" s="458"/>
      <c r="AC58" s="458"/>
      <c r="AD58" s="458"/>
      <c r="AE58" s="459"/>
      <c r="AF58" s="449"/>
    </row>
    <row r="59" spans="2:32">
      <c r="B59" s="448"/>
      <c r="C59" s="448"/>
      <c r="V59" s="455"/>
      <c r="W59" s="458"/>
      <c r="X59" s="455"/>
      <c r="Y59" s="455"/>
      <c r="Z59" s="455"/>
      <c r="AA59" s="455"/>
      <c r="AB59" s="458"/>
      <c r="AC59" s="455"/>
      <c r="AD59" s="455"/>
      <c r="AE59" s="456"/>
      <c r="AF59" s="449"/>
    </row>
    <row r="60" spans="2:32">
      <c r="B60" s="448"/>
      <c r="C60" s="448"/>
      <c r="V60" s="455"/>
      <c r="W60" s="458"/>
      <c r="X60" s="455"/>
      <c r="Y60" s="455"/>
      <c r="Z60" s="455"/>
      <c r="AA60" s="455"/>
      <c r="AB60" s="455"/>
      <c r="AC60" s="455"/>
      <c r="AD60" s="455"/>
      <c r="AE60" s="456"/>
      <c r="AF60" s="449"/>
    </row>
    <row r="61" spans="2:32">
      <c r="B61" s="448"/>
      <c r="C61" s="448"/>
      <c r="V61" s="460"/>
      <c r="W61" s="460"/>
      <c r="X61" s="460"/>
      <c r="Y61" s="460"/>
      <c r="Z61" s="460"/>
      <c r="AA61" s="460"/>
      <c r="AB61" s="460"/>
      <c r="AC61" s="460"/>
      <c r="AD61" s="460"/>
      <c r="AE61" s="461"/>
      <c r="AF61" s="449"/>
    </row>
    <row r="62" spans="2:32">
      <c r="B62" s="448"/>
      <c r="C62" s="448"/>
      <c r="V62" s="455"/>
      <c r="W62" s="455"/>
      <c r="X62" s="455"/>
      <c r="Y62" s="455"/>
      <c r="Z62" s="455"/>
      <c r="AA62" s="455"/>
      <c r="AB62" s="455"/>
      <c r="AC62" s="455"/>
      <c r="AD62" s="455"/>
      <c r="AE62" s="456"/>
      <c r="AF62" s="449"/>
    </row>
    <row r="63" spans="2:32">
      <c r="B63" s="448"/>
      <c r="C63" s="448"/>
      <c r="V63" s="455"/>
      <c r="W63" s="458"/>
      <c r="X63" s="455"/>
      <c r="Y63" s="455"/>
      <c r="Z63" s="455"/>
      <c r="AA63" s="455"/>
      <c r="AB63" s="455"/>
      <c r="AC63" s="455"/>
      <c r="AD63" s="455"/>
      <c r="AE63" s="456"/>
      <c r="AF63" s="449"/>
    </row>
    <row r="64" spans="2:32">
      <c r="B64" s="448"/>
      <c r="C64" s="448"/>
      <c r="V64" s="455"/>
      <c r="W64" s="458"/>
      <c r="X64" s="455"/>
      <c r="Y64" s="455"/>
      <c r="Z64" s="455"/>
      <c r="AA64" s="455"/>
      <c r="AB64" s="455"/>
      <c r="AC64" s="455"/>
      <c r="AD64" s="455"/>
      <c r="AE64" s="456"/>
      <c r="AF64" s="449"/>
    </row>
    <row r="65" spans="2:32">
      <c r="B65" s="448"/>
      <c r="C65" s="448"/>
      <c r="V65" s="455"/>
      <c r="W65" s="458"/>
      <c r="X65" s="455"/>
      <c r="Y65" s="455"/>
      <c r="Z65" s="455"/>
      <c r="AA65" s="455"/>
      <c r="AB65" s="455"/>
      <c r="AC65" s="455"/>
      <c r="AD65" s="455"/>
      <c r="AE65" s="456"/>
      <c r="AF65" s="449"/>
    </row>
    <row r="66" spans="2:32">
      <c r="B66" s="448"/>
      <c r="C66" s="448"/>
      <c r="V66" s="455"/>
      <c r="W66" s="458"/>
      <c r="X66" s="455"/>
      <c r="Y66" s="455"/>
      <c r="Z66" s="455"/>
      <c r="AA66" s="455"/>
      <c r="AB66" s="455"/>
      <c r="AC66" s="455"/>
      <c r="AD66" s="455"/>
      <c r="AE66" s="456"/>
      <c r="AF66" s="449"/>
    </row>
    <row r="67" spans="2:32" ht="13.5" thickBot="1">
      <c r="B67" s="448"/>
      <c r="C67" s="462"/>
      <c r="D67" s="463"/>
      <c r="E67" s="463"/>
      <c r="F67" s="463"/>
      <c r="G67" s="463"/>
      <c r="H67" s="463"/>
      <c r="I67" s="463"/>
      <c r="J67" s="463"/>
      <c r="K67" s="463"/>
      <c r="L67" s="463"/>
      <c r="M67" s="463"/>
      <c r="N67" s="463"/>
      <c r="O67" s="463"/>
      <c r="P67" s="463"/>
      <c r="Q67" s="463"/>
      <c r="R67" s="463"/>
      <c r="S67" s="463"/>
      <c r="T67" s="463"/>
      <c r="U67" s="463"/>
      <c r="V67" s="464"/>
      <c r="W67" s="465"/>
      <c r="X67" s="464"/>
      <c r="Y67" s="464"/>
      <c r="Z67" s="464"/>
      <c r="AA67" s="464"/>
      <c r="AB67" s="464"/>
      <c r="AC67" s="464"/>
      <c r="AD67" s="464"/>
      <c r="AE67" s="466"/>
      <c r="AF67" s="449"/>
    </row>
    <row r="68" spans="2:32" ht="6" customHeight="1" thickBot="1">
      <c r="B68" s="462"/>
      <c r="C68" s="463"/>
      <c r="D68" s="463"/>
      <c r="E68" s="463"/>
      <c r="F68" s="463"/>
      <c r="G68" s="463"/>
      <c r="H68" s="463"/>
      <c r="I68" s="463"/>
      <c r="J68" s="463"/>
      <c r="K68" s="463"/>
      <c r="L68" s="463"/>
      <c r="M68" s="46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7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2">
        <v>1</v>
      </c>
    </row>
    <row r="2" spans="1:11" ht="48" customHeight="1">
      <c r="A2" s="362">
        <v>3</v>
      </c>
    </row>
    <row r="4" spans="1:11" ht="48" customHeight="1">
      <c r="C4" s="362">
        <v>1</v>
      </c>
    </row>
    <row r="5" spans="1:11" ht="48" customHeight="1">
      <c r="C5" s="362">
        <v>3</v>
      </c>
    </row>
    <row r="7" spans="1:11" ht="48" customHeight="1">
      <c r="E7" s="362">
        <v>1</v>
      </c>
    </row>
    <row r="8" spans="1:11" ht="48" customHeight="1">
      <c r="E8" s="362">
        <v>3</v>
      </c>
    </row>
    <row r="10" spans="1:11" ht="48" customHeight="1">
      <c r="G10" s="362">
        <v>3</v>
      </c>
    </row>
    <row r="11" spans="1:11" ht="48" customHeight="1">
      <c r="G11" s="362">
        <v>1</v>
      </c>
    </row>
    <row r="13" spans="1:11" ht="48" customHeight="1">
      <c r="I13" s="362">
        <v>3</v>
      </c>
    </row>
    <row r="14" spans="1:11" ht="48" customHeight="1">
      <c r="I14" s="362">
        <v>1</v>
      </c>
    </row>
    <row r="16" spans="1:11" ht="48" customHeight="1">
      <c r="K16" s="362">
        <v>3</v>
      </c>
    </row>
    <row r="17" spans="11:21" ht="48" customHeight="1">
      <c r="K17" s="362">
        <v>1</v>
      </c>
    </row>
    <row r="19" spans="11:21" ht="48" customHeight="1">
      <c r="M19" s="362">
        <v>3</v>
      </c>
    </row>
    <row r="20" spans="11:21" ht="48" customHeight="1">
      <c r="M20" s="362">
        <v>1</v>
      </c>
    </row>
    <row r="22" spans="11:21" ht="48" customHeight="1">
      <c r="O22" s="362">
        <v>3</v>
      </c>
    </row>
    <row r="23" spans="11:21" ht="48" customHeight="1">
      <c r="O23" s="362">
        <v>1</v>
      </c>
    </row>
    <row r="25" spans="11:21" ht="57" customHeight="1">
      <c r="Q25" s="362">
        <v>3</v>
      </c>
    </row>
    <row r="26" spans="11:21" ht="57" customHeight="1">
      <c r="Q26" s="362">
        <v>1</v>
      </c>
    </row>
    <row r="28" spans="11:21" ht="57" customHeight="1">
      <c r="S28" s="362">
        <v>3</v>
      </c>
    </row>
    <row r="29" spans="11:21" ht="57" customHeight="1">
      <c r="S29" s="362">
        <v>1</v>
      </c>
    </row>
    <row r="31" spans="11:21" ht="57" customHeight="1">
      <c r="U31" s="362">
        <v>3</v>
      </c>
    </row>
    <row r="32" spans="11:21" ht="57" customHeight="1">
      <c r="U32" s="36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 SAPTOHARJO</cp:lastModifiedBy>
  <cp:lastPrinted>2024-03-15T07:28:40Z</cp:lastPrinted>
  <dcterms:created xsi:type="dcterms:W3CDTF">2011-02-06T11:57:38Z</dcterms:created>
  <dcterms:modified xsi:type="dcterms:W3CDTF">2024-03-15T07:31:39Z</dcterms:modified>
</cp:coreProperties>
</file>