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08B98EA4-7C15-409B-976B-347C56BD76A5}" xr6:coauthVersionLast="47" xr6:coauthVersionMax="47" xr10:uidLastSave="{00000000-0000-0000-0000-000000000000}"/>
  <bookViews>
    <workbookView xWindow="-120" yWindow="-120" windowWidth="15600" windowHeight="1116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89" i="11" l="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G74" i="11"/>
  <c r="D74" i="11"/>
  <c r="I74" i="11" s="1"/>
  <c r="E74" i="11"/>
  <c r="J74" i="11" l="1"/>
  <c r="H74" i="11"/>
  <c r="K74" i="11" l="1"/>
  <c r="G75" i="11" l="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D73" i="11"/>
  <c r="E73" i="11"/>
  <c r="D75" i="11"/>
  <c r="I75" i="11" s="1"/>
  <c r="E75" i="11"/>
  <c r="D76" i="11"/>
  <c r="H76" i="11" s="1"/>
  <c r="E76" i="11"/>
  <c r="D77" i="11"/>
  <c r="I77" i="11" s="1"/>
  <c r="E77" i="11"/>
  <c r="D78" i="11"/>
  <c r="H78" i="11" s="1"/>
  <c r="E78" i="11"/>
  <c r="D79" i="11"/>
  <c r="I79" i="11" s="1"/>
  <c r="E79" i="11"/>
  <c r="D80" i="11"/>
  <c r="H80" i="11" s="1"/>
  <c r="E80" i="11"/>
  <c r="D81" i="11"/>
  <c r="I81" i="11" s="1"/>
  <c r="E81" i="11"/>
  <c r="D82" i="11"/>
  <c r="H82" i="11" s="1"/>
  <c r="E82" i="11"/>
  <c r="D83" i="11"/>
  <c r="I83" i="11" s="1"/>
  <c r="E83" i="11"/>
  <c r="D84" i="11"/>
  <c r="H84" i="11" s="1"/>
  <c r="E84" i="11"/>
  <c r="D85" i="11"/>
  <c r="I85" i="11" s="1"/>
  <c r="E85" i="11"/>
  <c r="D86" i="11"/>
  <c r="H86" i="11" s="1"/>
  <c r="E86" i="11"/>
  <c r="D87" i="11"/>
  <c r="E87" i="11"/>
  <c r="D88" i="11"/>
  <c r="H88" i="11" s="1"/>
  <c r="E88" i="11"/>
  <c r="D89" i="11"/>
  <c r="I89" i="11" s="1"/>
  <c r="E89" i="11"/>
  <c r="G16" i="11"/>
  <c r="G17" i="11"/>
  <c r="D16" i="11"/>
  <c r="I16" i="11" s="1"/>
  <c r="E16" i="11"/>
  <c r="D17" i="11"/>
  <c r="H17" i="11" s="1"/>
  <c r="E17" i="11"/>
  <c r="D25" i="11"/>
  <c r="F73" i="11"/>
  <c r="F72" i="11"/>
  <c r="F71" i="11"/>
  <c r="F70" i="11"/>
  <c r="G68" i="11"/>
  <c r="G69" i="11"/>
  <c r="G70" i="11"/>
  <c r="G71" i="11"/>
  <c r="G72" i="11"/>
  <c r="G73" i="11"/>
  <c r="D68" i="11"/>
  <c r="H68" i="11" s="1"/>
  <c r="E68" i="11"/>
  <c r="D69" i="11"/>
  <c r="J69" i="11" s="1"/>
  <c r="E69" i="11"/>
  <c r="D70" i="11"/>
  <c r="E70" i="11"/>
  <c r="D71" i="11"/>
  <c r="H71" i="11" s="1"/>
  <c r="E71" i="11"/>
  <c r="D72" i="11"/>
  <c r="H72" i="11" s="1"/>
  <c r="E72" i="11"/>
  <c r="F67" i="11"/>
  <c r="F66" i="11"/>
  <c r="F65" i="11"/>
  <c r="F64" i="11"/>
  <c r="F61" i="11"/>
  <c r="F60" i="11"/>
  <c r="F59" i="11"/>
  <c r="F58" i="11"/>
  <c r="F57" i="11"/>
  <c r="F56" i="11"/>
  <c r="F53" i="11"/>
  <c r="F52" i="11"/>
  <c r="F51" i="11"/>
  <c r="F50" i="11"/>
  <c r="F47" i="11"/>
  <c r="F46" i="11"/>
  <c r="F45" i="11"/>
  <c r="F44" i="11"/>
  <c r="F43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J46" i="11" s="1"/>
  <c r="E46" i="11"/>
  <c r="D47" i="11"/>
  <c r="I47" i="11" s="1"/>
  <c r="E47" i="11"/>
  <c r="D48" i="11"/>
  <c r="H48" i="11" s="1"/>
  <c r="E48" i="11"/>
  <c r="D49" i="11"/>
  <c r="H49" i="11" s="1"/>
  <c r="E49" i="11"/>
  <c r="D50" i="11"/>
  <c r="J50" i="11" s="1"/>
  <c r="E50" i="11"/>
  <c r="D51" i="11"/>
  <c r="E51" i="11"/>
  <c r="D52" i="11"/>
  <c r="H52" i="11" s="1"/>
  <c r="E52" i="11"/>
  <c r="D53" i="11"/>
  <c r="H53" i="11" s="1"/>
  <c r="E53" i="11"/>
  <c r="D54" i="11"/>
  <c r="J54" i="11" s="1"/>
  <c r="E54" i="11"/>
  <c r="D55" i="11"/>
  <c r="I55" i="11" s="1"/>
  <c r="E55" i="11"/>
  <c r="D56" i="11"/>
  <c r="H56" i="11" s="1"/>
  <c r="E56" i="11"/>
  <c r="D57" i="11"/>
  <c r="H57" i="11" s="1"/>
  <c r="E57" i="11"/>
  <c r="D58" i="11"/>
  <c r="J58" i="11" s="1"/>
  <c r="E58" i="11"/>
  <c r="D59" i="11"/>
  <c r="E59" i="11"/>
  <c r="D60" i="11"/>
  <c r="H60" i="11" s="1"/>
  <c r="E60" i="11"/>
  <c r="D61" i="11"/>
  <c r="H61" i="11" s="1"/>
  <c r="E61" i="11"/>
  <c r="D62" i="11"/>
  <c r="J62" i="11" s="1"/>
  <c r="E62" i="11"/>
  <c r="D63" i="11"/>
  <c r="I63" i="11" s="1"/>
  <c r="E63" i="11"/>
  <c r="D64" i="11"/>
  <c r="H64" i="11" s="1"/>
  <c r="E64" i="11"/>
  <c r="D65" i="11"/>
  <c r="H65" i="11" s="1"/>
  <c r="E65" i="11"/>
  <c r="D66" i="11"/>
  <c r="J66" i="11" s="1"/>
  <c r="E66" i="11"/>
  <c r="D67" i="11"/>
  <c r="I67" i="11" s="1"/>
  <c r="E67" i="11"/>
  <c r="I87" i="11" l="1"/>
  <c r="J89" i="11"/>
  <c r="H89" i="11"/>
  <c r="I88" i="11"/>
  <c r="J87" i="11"/>
  <c r="H87" i="11"/>
  <c r="I86" i="11"/>
  <c r="J85" i="11"/>
  <c r="H85" i="11"/>
  <c r="I84" i="11"/>
  <c r="J83" i="11"/>
  <c r="H83" i="11"/>
  <c r="I82" i="11"/>
  <c r="J81" i="11"/>
  <c r="H81" i="11"/>
  <c r="I80" i="11"/>
  <c r="J79" i="11"/>
  <c r="H79" i="11"/>
  <c r="I78" i="11"/>
  <c r="J77" i="11"/>
  <c r="H77" i="11"/>
  <c r="I76" i="11"/>
  <c r="J75" i="11"/>
  <c r="H75" i="11"/>
  <c r="J88" i="11"/>
  <c r="J86" i="11"/>
  <c r="J84" i="11"/>
  <c r="J82" i="11"/>
  <c r="J80" i="11"/>
  <c r="J78" i="11"/>
  <c r="J76" i="11"/>
  <c r="I17" i="11"/>
  <c r="J16" i="11"/>
  <c r="H16" i="11"/>
  <c r="J17" i="11"/>
  <c r="I69" i="11"/>
  <c r="I70" i="11"/>
  <c r="J73" i="11"/>
  <c r="I73" i="11"/>
  <c r="J71" i="11"/>
  <c r="H69" i="11"/>
  <c r="H73" i="11"/>
  <c r="J72" i="11"/>
  <c r="H70" i="11"/>
  <c r="J68" i="11"/>
  <c r="I72" i="11"/>
  <c r="I68" i="11"/>
  <c r="I71" i="11"/>
  <c r="K71" i="11" s="1"/>
  <c r="J70" i="11"/>
  <c r="I59" i="11"/>
  <c r="I51" i="11"/>
  <c r="I43" i="11"/>
  <c r="I46" i="11"/>
  <c r="I42" i="11"/>
  <c r="I54" i="11"/>
  <c r="I50" i="11"/>
  <c r="H67" i="11"/>
  <c r="I66" i="11"/>
  <c r="J65" i="11"/>
  <c r="H63" i="11"/>
  <c r="I62" i="11"/>
  <c r="J61" i="11"/>
  <c r="H59" i="11"/>
  <c r="I58" i="11"/>
  <c r="J57" i="11"/>
  <c r="H55" i="11"/>
  <c r="J53" i="11"/>
  <c r="H51" i="11"/>
  <c r="J49" i="11"/>
  <c r="H47" i="11"/>
  <c r="J45" i="11"/>
  <c r="H43" i="11"/>
  <c r="J41" i="11"/>
  <c r="H66" i="11"/>
  <c r="I65" i="11"/>
  <c r="J64" i="11"/>
  <c r="H62" i="11"/>
  <c r="I61" i="11"/>
  <c r="J60" i="11"/>
  <c r="H58" i="11"/>
  <c r="I57" i="11"/>
  <c r="J56" i="11"/>
  <c r="H54" i="11"/>
  <c r="I53" i="11"/>
  <c r="J52" i="11"/>
  <c r="H50" i="11"/>
  <c r="I49" i="11"/>
  <c r="J48" i="11"/>
  <c r="H46" i="11"/>
  <c r="I45" i="11"/>
  <c r="J44" i="11"/>
  <c r="H42" i="11"/>
  <c r="I41" i="11"/>
  <c r="J67" i="11"/>
  <c r="I64" i="11"/>
  <c r="J63" i="11"/>
  <c r="I60" i="11"/>
  <c r="J59" i="11"/>
  <c r="I56" i="11"/>
  <c r="J55" i="11"/>
  <c r="I52" i="11"/>
  <c r="J51" i="11"/>
  <c r="I48" i="11"/>
  <c r="J47" i="11"/>
  <c r="I44" i="11"/>
  <c r="J43" i="11"/>
  <c r="K78" i="11" l="1"/>
  <c r="K81" i="11"/>
  <c r="K82" i="11"/>
  <c r="K85" i="11"/>
  <c r="K89" i="11"/>
  <c r="K86" i="11"/>
  <c r="K75" i="11"/>
  <c r="K76" i="11"/>
  <c r="K79" i="11"/>
  <c r="K80" i="11"/>
  <c r="K83" i="11"/>
  <c r="K84" i="11"/>
  <c r="K87" i="11"/>
  <c r="K88" i="11"/>
  <c r="K77" i="11"/>
  <c r="K16" i="11"/>
  <c r="K17" i="11"/>
  <c r="K69" i="11"/>
  <c r="K72" i="11"/>
  <c r="K42" i="11"/>
  <c r="K73" i="11"/>
  <c r="K44" i="11"/>
  <c r="K60" i="11"/>
  <c r="K45" i="11"/>
  <c r="K50" i="11"/>
  <c r="K70" i="11"/>
  <c r="K68" i="11"/>
  <c r="K53" i="11"/>
  <c r="K48" i="11"/>
  <c r="K64" i="11"/>
  <c r="K61" i="11"/>
  <c r="K66" i="11"/>
  <c r="K46" i="11"/>
  <c r="K58" i="11"/>
  <c r="K52" i="11"/>
  <c r="K54" i="11"/>
  <c r="K65" i="11"/>
  <c r="K56" i="11"/>
  <c r="K41" i="11"/>
  <c r="K57" i="11"/>
  <c r="K62" i="11"/>
  <c r="K49" i="11"/>
  <c r="K47" i="11"/>
  <c r="K55" i="11"/>
  <c r="K67" i="11"/>
  <c r="K43" i="11"/>
  <c r="K51" i="11"/>
  <c r="K63" i="11"/>
  <c r="K59" i="11"/>
  <c r="G130" i="11" l="1"/>
  <c r="G131" i="11"/>
  <c r="G132" i="11"/>
  <c r="G133" i="11"/>
  <c r="G134" i="11"/>
  <c r="F134" i="11"/>
  <c r="F132" i="11"/>
  <c r="F131" i="11"/>
  <c r="F130" i="11"/>
  <c r="D18" i="11"/>
  <c r="F141" i="11" l="1"/>
  <c r="F140" i="11"/>
  <c r="F139" i="11"/>
  <c r="F138" i="11"/>
  <c r="F137" i="11"/>
  <c r="D134" i="11"/>
  <c r="H134" i="11" s="1"/>
  <c r="E134" i="11"/>
  <c r="G128" i="11"/>
  <c r="G129" i="11"/>
  <c r="G135" i="11"/>
  <c r="G136" i="11"/>
  <c r="G137" i="11"/>
  <c r="G138" i="11"/>
  <c r="G139" i="11"/>
  <c r="G140" i="11"/>
  <c r="G141" i="11"/>
  <c r="G142" i="11"/>
  <c r="D128" i="11"/>
  <c r="H128" i="11" s="1"/>
  <c r="E128" i="11"/>
  <c r="D129" i="11"/>
  <c r="J129" i="11" s="1"/>
  <c r="E129" i="11"/>
  <c r="D130" i="11"/>
  <c r="I130" i="11" s="1"/>
  <c r="E130" i="11"/>
  <c r="D131" i="11"/>
  <c r="E131" i="11"/>
  <c r="D132" i="11"/>
  <c r="E132" i="11"/>
  <c r="D133" i="11"/>
  <c r="E133" i="11"/>
  <c r="D135" i="11"/>
  <c r="I135" i="11" s="1"/>
  <c r="E135" i="11"/>
  <c r="D136" i="11"/>
  <c r="H136" i="11" s="1"/>
  <c r="E136" i="11"/>
  <c r="D137" i="11"/>
  <c r="H137" i="11" s="1"/>
  <c r="E137" i="11"/>
  <c r="D138" i="11"/>
  <c r="J138" i="11" s="1"/>
  <c r="E138" i="11"/>
  <c r="D139" i="11"/>
  <c r="I139" i="11" s="1"/>
  <c r="E139" i="11"/>
  <c r="D140" i="11"/>
  <c r="H140" i="11" s="1"/>
  <c r="E140" i="11"/>
  <c r="D141" i="11"/>
  <c r="H141" i="11" s="1"/>
  <c r="E141" i="11"/>
  <c r="D142" i="11"/>
  <c r="J142" i="11" s="1"/>
  <c r="E142" i="11"/>
  <c r="F100" i="11"/>
  <c r="F99" i="11"/>
  <c r="F98" i="11"/>
  <c r="F97" i="11"/>
  <c r="F96" i="11"/>
  <c r="F95" i="11"/>
  <c r="F94" i="11"/>
  <c r="F93" i="11"/>
  <c r="F9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G15" i="11"/>
  <c r="G18" i="11"/>
  <c r="G19" i="11"/>
  <c r="J134" i="11" l="1"/>
  <c r="I134" i="11"/>
  <c r="H132" i="11"/>
  <c r="J133" i="11"/>
  <c r="H131" i="11"/>
  <c r="J137" i="11"/>
  <c r="H135" i="11"/>
  <c r="H129" i="11"/>
  <c r="I138" i="11"/>
  <c r="J132" i="11"/>
  <c r="H130" i="11"/>
  <c r="H138" i="11"/>
  <c r="J136" i="11"/>
  <c r="I133" i="11"/>
  <c r="J128" i="11"/>
  <c r="H139" i="11"/>
  <c r="H133" i="11"/>
  <c r="J131" i="11"/>
  <c r="I129" i="11"/>
  <c r="I142" i="11"/>
  <c r="J141" i="11"/>
  <c r="H142" i="11"/>
  <c r="I141" i="11"/>
  <c r="J140" i="11"/>
  <c r="I137" i="11"/>
  <c r="I132" i="11"/>
  <c r="I128" i="11"/>
  <c r="I140" i="11"/>
  <c r="K140" i="11" s="1"/>
  <c r="J139" i="11"/>
  <c r="I136" i="11"/>
  <c r="J135" i="11"/>
  <c r="I131" i="11"/>
  <c r="J130" i="11"/>
  <c r="K137" i="11" l="1"/>
  <c r="K134" i="11"/>
  <c r="K133" i="11"/>
  <c r="K131" i="11"/>
  <c r="K141" i="11"/>
  <c r="K139" i="11"/>
  <c r="K138" i="11"/>
  <c r="K136" i="11"/>
  <c r="K132" i="11"/>
  <c r="K130" i="11"/>
  <c r="K135" i="11"/>
  <c r="K128" i="11"/>
  <c r="K142" i="11"/>
  <c r="K129" i="11"/>
  <c r="D8" i="59" l="1"/>
  <c r="G125" i="11"/>
  <c r="G126" i="11"/>
  <c r="D125" i="11"/>
  <c r="H125" i="11" s="1"/>
  <c r="E125" i="11"/>
  <c r="D126" i="11"/>
  <c r="E126" i="11"/>
  <c r="E18" i="11"/>
  <c r="E19" i="11"/>
  <c r="G90" i="11"/>
  <c r="G91" i="11"/>
  <c r="G92" i="11"/>
  <c r="G93" i="11"/>
  <c r="G94" i="11"/>
  <c r="G95" i="11"/>
  <c r="G96" i="11"/>
  <c r="G97" i="11"/>
  <c r="G98" i="11"/>
  <c r="G99" i="11"/>
  <c r="D90" i="11"/>
  <c r="J90" i="11" s="1"/>
  <c r="E90" i="11"/>
  <c r="D91" i="11"/>
  <c r="E91" i="11"/>
  <c r="D92" i="11"/>
  <c r="H92" i="11" s="1"/>
  <c r="E92" i="11"/>
  <c r="D93" i="11"/>
  <c r="H93" i="11" s="1"/>
  <c r="E93" i="11"/>
  <c r="D94" i="11"/>
  <c r="E94" i="11"/>
  <c r="D95" i="11"/>
  <c r="E95" i="11"/>
  <c r="D96" i="11"/>
  <c r="H96" i="11" s="1"/>
  <c r="E96" i="11"/>
  <c r="D97" i="11"/>
  <c r="H97" i="11" s="1"/>
  <c r="E97" i="11"/>
  <c r="D98" i="11"/>
  <c r="J98" i="11" s="1"/>
  <c r="E98" i="11"/>
  <c r="D99" i="11"/>
  <c r="E99" i="11"/>
  <c r="I99" i="11" l="1"/>
  <c r="I95" i="11"/>
  <c r="H18" i="11"/>
  <c r="I18" i="11"/>
  <c r="J18" i="11"/>
  <c r="J126" i="11"/>
  <c r="I126" i="11"/>
  <c r="J125" i="11"/>
  <c r="H126" i="11"/>
  <c r="I125" i="11"/>
  <c r="J94" i="11"/>
  <c r="I91" i="11"/>
  <c r="H99" i="11"/>
  <c r="I98" i="11"/>
  <c r="J97" i="11"/>
  <c r="H95" i="11"/>
  <c r="I94" i="11"/>
  <c r="J93" i="11"/>
  <c r="H91" i="11"/>
  <c r="I90" i="11"/>
  <c r="H98" i="11"/>
  <c r="I97" i="11"/>
  <c r="J96" i="11"/>
  <c r="H94" i="11"/>
  <c r="I93" i="11"/>
  <c r="J92" i="11"/>
  <c r="H90" i="11"/>
  <c r="J99" i="11"/>
  <c r="I96" i="11"/>
  <c r="J95" i="11"/>
  <c r="I92" i="11"/>
  <c r="J91" i="11"/>
  <c r="K96" i="11" l="1"/>
  <c r="K18" i="11"/>
  <c r="K126" i="11"/>
  <c r="K93" i="11"/>
  <c r="K98" i="11"/>
  <c r="K125" i="11"/>
  <c r="K97" i="11"/>
  <c r="K94" i="11"/>
  <c r="K92" i="11"/>
  <c r="K90" i="11"/>
  <c r="K99" i="11"/>
  <c r="K95" i="11"/>
  <c r="K91" i="11"/>
  <c r="D127" i="11" l="1"/>
  <c r="H127" i="11" s="1"/>
  <c r="D143" i="11"/>
  <c r="J143" i="11" s="1"/>
  <c r="G127" i="11"/>
  <c r="D15" i="11"/>
  <c r="D19" i="11"/>
  <c r="D20" i="11"/>
  <c r="H20" i="11" s="1"/>
  <c r="D21" i="11"/>
  <c r="H21" i="11" s="1"/>
  <c r="G20" i="11"/>
  <c r="G21" i="11"/>
  <c r="G22" i="11"/>
  <c r="K6" i="60"/>
  <c r="M144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0" i="11"/>
  <c r="H30" i="11" s="1"/>
  <c r="E30" i="11"/>
  <c r="D31" i="11"/>
  <c r="H31" i="11" s="1"/>
  <c r="E31" i="11"/>
  <c r="O217" i="10"/>
  <c r="P217" i="10"/>
  <c r="K217" i="10"/>
  <c r="M217" i="10"/>
  <c r="J217" i="10"/>
  <c r="I217" i="10"/>
  <c r="G121" i="11"/>
  <c r="E121" i="11"/>
  <c r="D121" i="11"/>
  <c r="G120" i="11"/>
  <c r="E120" i="11"/>
  <c r="D120" i="11"/>
  <c r="H120" i="11" s="1"/>
  <c r="G119" i="11"/>
  <c r="E119" i="11"/>
  <c r="D119" i="11"/>
  <c r="G118" i="11"/>
  <c r="E118" i="11"/>
  <c r="D118" i="11"/>
  <c r="J118" i="11" s="1"/>
  <c r="G117" i="11"/>
  <c r="E117" i="11"/>
  <c r="D117" i="11"/>
  <c r="I117" i="11" s="1"/>
  <c r="G116" i="11"/>
  <c r="E116" i="11"/>
  <c r="D116" i="11"/>
  <c r="G115" i="11"/>
  <c r="E115" i="11"/>
  <c r="D115" i="11"/>
  <c r="H115" i="11" s="1"/>
  <c r="G114" i="11"/>
  <c r="E114" i="11"/>
  <c r="D114" i="11"/>
  <c r="G113" i="11"/>
  <c r="E113" i="11"/>
  <c r="D113" i="11"/>
  <c r="G112" i="11"/>
  <c r="E112" i="11"/>
  <c r="D112" i="11"/>
  <c r="G111" i="11"/>
  <c r="E111" i="11"/>
  <c r="D111" i="11"/>
  <c r="J111" i="11" s="1"/>
  <c r="G110" i="11"/>
  <c r="E110" i="11"/>
  <c r="D110" i="11"/>
  <c r="J110" i="11" s="1"/>
  <c r="G109" i="11"/>
  <c r="E109" i="11"/>
  <c r="D109" i="11"/>
  <c r="G108" i="11"/>
  <c r="E108" i="11"/>
  <c r="D108" i="11"/>
  <c r="G107" i="11"/>
  <c r="E107" i="11"/>
  <c r="D107" i="11"/>
  <c r="G106" i="11"/>
  <c r="E106" i="11"/>
  <c r="D106" i="11"/>
  <c r="G105" i="11"/>
  <c r="E105" i="11"/>
  <c r="D105" i="11"/>
  <c r="J105" i="11" s="1"/>
  <c r="G104" i="11"/>
  <c r="E104" i="11"/>
  <c r="D104" i="11"/>
  <c r="G103" i="11"/>
  <c r="E103" i="11"/>
  <c r="D103" i="11"/>
  <c r="G102" i="11"/>
  <c r="E102" i="11"/>
  <c r="D102" i="11"/>
  <c r="G101" i="11"/>
  <c r="E101" i="11"/>
  <c r="D101" i="11"/>
  <c r="G100" i="11"/>
  <c r="E100" i="11"/>
  <c r="D100" i="11"/>
  <c r="M24" i="11"/>
  <c r="M100" i="11"/>
  <c r="D14" i="59"/>
  <c r="D5" i="60" s="1"/>
  <c r="K5" i="60" s="1"/>
  <c r="E40" i="11"/>
  <c r="D40" i="11"/>
  <c r="E39" i="11"/>
  <c r="D39" i="11"/>
  <c r="E38" i="11"/>
  <c r="D38" i="11"/>
  <c r="H38" i="11" s="1"/>
  <c r="E37" i="11"/>
  <c r="D37" i="11"/>
  <c r="J37" i="11" s="1"/>
  <c r="E36" i="11"/>
  <c r="D36" i="11"/>
  <c r="H36" i="11" s="1"/>
  <c r="G35" i="11"/>
  <c r="E35" i="11"/>
  <c r="D35" i="11"/>
  <c r="H35" i="11" s="1"/>
  <c r="G34" i="11"/>
  <c r="E34" i="11"/>
  <c r="D34" i="11"/>
  <c r="J34" i="11" s="1"/>
  <c r="E33" i="11"/>
  <c r="D33" i="11"/>
  <c r="E32" i="11"/>
  <c r="D32" i="11"/>
  <c r="J32" i="11" s="1"/>
  <c r="G30" i="11"/>
  <c r="E29" i="11"/>
  <c r="D29" i="11"/>
  <c r="J29" i="11" s="1"/>
  <c r="E28" i="11"/>
  <c r="D28" i="11"/>
  <c r="J28" i="11" s="1"/>
  <c r="E27" i="11"/>
  <c r="D27" i="11"/>
  <c r="E26" i="11"/>
  <c r="D26" i="11"/>
  <c r="G25" i="11"/>
  <c r="E25" i="11"/>
  <c r="E24" i="11"/>
  <c r="D24" i="11"/>
  <c r="J24" i="11" s="1"/>
  <c r="G23" i="11"/>
  <c r="E23" i="11"/>
  <c r="D23" i="11"/>
  <c r="I23" i="11" s="1"/>
  <c r="E22" i="11"/>
  <c r="E21" i="11"/>
  <c r="E20" i="11"/>
  <c r="E15" i="11"/>
  <c r="A15" i="11"/>
  <c r="D19" i="59"/>
  <c r="D18" i="59"/>
  <c r="M16" i="11"/>
  <c r="E127" i="11"/>
  <c r="D122" i="11"/>
  <c r="E122" i="11"/>
  <c r="D123" i="11"/>
  <c r="E123" i="11"/>
  <c r="M127" i="11"/>
  <c r="D124" i="11"/>
  <c r="E124" i="11"/>
  <c r="E143" i="11"/>
  <c r="G143" i="11"/>
  <c r="D14" i="11"/>
  <c r="H14" i="11" s="1"/>
  <c r="E14" i="11"/>
  <c r="G14" i="11"/>
  <c r="K19" i="60"/>
  <c r="D19" i="60"/>
  <c r="M14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4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44" i="11"/>
  <c r="D145" i="11"/>
  <c r="E14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4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6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3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8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7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24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6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1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9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23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44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52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9" i="11"/>
  <c r="G32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7" i="11"/>
  <c r="G24" i="11"/>
  <c r="G28" i="11"/>
  <c r="G40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22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36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101" i="11" l="1"/>
  <c r="H27" i="11"/>
  <c r="J39" i="11"/>
  <c r="H15" i="11"/>
  <c r="I15" i="11"/>
  <c r="J15" i="11"/>
  <c r="H19" i="11"/>
  <c r="I19" i="11"/>
  <c r="J19" i="11"/>
  <c r="H124" i="11"/>
  <c r="D312" i="29"/>
  <c r="E312" i="29" s="1"/>
  <c r="D802" i="41"/>
  <c r="E802" i="41" s="1"/>
  <c r="D22" i="59"/>
  <c r="K8" i="60" s="1"/>
  <c r="D21" i="59"/>
  <c r="M13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38" i="11"/>
  <c r="M139" i="11"/>
  <c r="M141" i="11"/>
  <c r="M140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0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1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8" i="11"/>
  <c r="I26" i="11"/>
  <c r="H28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8" i="11"/>
  <c r="F866" i="41"/>
  <c r="E1029" i="41"/>
  <c r="E784" i="41"/>
  <c r="E973" i="41"/>
  <c r="F315" i="29"/>
  <c r="F322" i="29"/>
  <c r="F250" i="29"/>
  <c r="E273" i="29"/>
  <c r="I31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9" i="11"/>
  <c r="H23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24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22" i="11"/>
  <c r="I122" i="11"/>
  <c r="F806" i="41"/>
  <c r="E1081" i="41"/>
  <c r="E1027" i="41"/>
  <c r="F861" i="41"/>
  <c r="E861" i="41"/>
  <c r="E230" i="29"/>
  <c r="E346" i="29"/>
  <c r="E274" i="29"/>
  <c r="F274" i="29"/>
  <c r="H145" i="11"/>
  <c r="J145" i="11"/>
  <c r="I38" i="11"/>
  <c r="J36" i="11"/>
  <c r="J124" i="11"/>
  <c r="H34" i="11"/>
  <c r="I35" i="11"/>
  <c r="E340" i="29"/>
  <c r="H29" i="11"/>
  <c r="I34" i="11"/>
  <c r="I105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7" i="11"/>
  <c r="J14" i="11"/>
  <c r="J27" i="11"/>
  <c r="H37" i="11"/>
  <c r="E1149" i="41"/>
  <c r="F833" i="41"/>
  <c r="H105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4" i="11"/>
  <c r="J35" i="11"/>
  <c r="I21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2" i="11"/>
  <c r="J22" i="11"/>
  <c r="H22" i="11"/>
  <c r="H33" i="11"/>
  <c r="J33" i="11"/>
  <c r="I30" i="11"/>
  <c r="E287" i="29"/>
  <c r="F287" i="29"/>
  <c r="J123" i="11"/>
  <c r="I123" i="11"/>
  <c r="E348" i="29"/>
  <c r="E59" i="39"/>
  <c r="E290" i="29"/>
  <c r="I29" i="11"/>
  <c r="F323" i="29"/>
  <c r="E260" i="29"/>
  <c r="E236" i="29"/>
  <c r="E73" i="39"/>
  <c r="E341" i="29"/>
  <c r="F341" i="29"/>
  <c r="F299" i="29"/>
  <c r="H40" i="11"/>
  <c r="J40" i="11"/>
  <c r="J121" i="11"/>
  <c r="H121" i="11"/>
  <c r="I121" i="11"/>
  <c r="F300" i="29"/>
  <c r="E284" i="29"/>
  <c r="M99" i="11"/>
  <c r="J20" i="11"/>
  <c r="F233" i="29"/>
  <c r="E58" i="39"/>
  <c r="F319" i="29"/>
  <c r="F310" i="29"/>
  <c r="I40" i="11"/>
  <c r="I37" i="11"/>
  <c r="I32" i="11"/>
  <c r="H123" i="11"/>
  <c r="I36" i="11"/>
  <c r="H122" i="11"/>
  <c r="J23" i="11"/>
  <c r="J21" i="11"/>
  <c r="M135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100" i="11"/>
  <c r="H100" i="11"/>
  <c r="H104" i="11"/>
  <c r="J104" i="11"/>
  <c r="I104" i="11"/>
  <c r="J108" i="11"/>
  <c r="I108" i="11"/>
  <c r="H108" i="11"/>
  <c r="J112" i="11"/>
  <c r="H112" i="11"/>
  <c r="I116" i="11"/>
  <c r="J116" i="11"/>
  <c r="H116" i="11"/>
  <c r="J26" i="11"/>
  <c r="H26" i="11"/>
  <c r="I100" i="11"/>
  <c r="I103" i="11"/>
  <c r="H103" i="11"/>
  <c r="J103" i="11"/>
  <c r="I107" i="11"/>
  <c r="J107" i="11"/>
  <c r="H107" i="11"/>
  <c r="H111" i="11"/>
  <c r="I111" i="11"/>
  <c r="I115" i="11"/>
  <c r="J115" i="11"/>
  <c r="I119" i="11"/>
  <c r="H119" i="11"/>
  <c r="J119" i="11"/>
  <c r="I145" i="11"/>
  <c r="I33" i="11"/>
  <c r="J25" i="11"/>
  <c r="H25" i="11"/>
  <c r="I25" i="11"/>
  <c r="J102" i="11"/>
  <c r="H102" i="11"/>
  <c r="I102" i="11"/>
  <c r="J106" i="11"/>
  <c r="H106" i="11"/>
  <c r="I106" i="11"/>
  <c r="I110" i="11"/>
  <c r="H110" i="11"/>
  <c r="J114" i="11"/>
  <c r="H114" i="11"/>
  <c r="I114" i="11"/>
  <c r="H118" i="11"/>
  <c r="I118" i="11"/>
  <c r="I112" i="11"/>
  <c r="H101" i="11"/>
  <c r="J101" i="11"/>
  <c r="I109" i="11"/>
  <c r="H109" i="11"/>
  <c r="J109" i="11"/>
  <c r="J113" i="11"/>
  <c r="H113" i="11"/>
  <c r="I113" i="11"/>
  <c r="J117" i="11"/>
  <c r="H117" i="11"/>
  <c r="I120" i="11"/>
  <c r="I143" i="11"/>
  <c r="J127" i="11"/>
  <c r="H32" i="11"/>
  <c r="J120" i="11"/>
  <c r="I20" i="11"/>
  <c r="H143" i="11"/>
  <c r="I127" i="11"/>
  <c r="H39" i="11"/>
  <c r="I24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28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F817" i="41"/>
  <c r="F822" i="41"/>
  <c r="F332" i="29"/>
  <c r="F804" i="41"/>
  <c r="F314" i="29"/>
  <c r="K19" i="11"/>
  <c r="M19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8" i="11"/>
  <c r="M28" i="11" s="1"/>
  <c r="F60" i="39"/>
  <c r="D9" i="59"/>
  <c r="K7" i="54" s="1"/>
  <c r="C7" i="54"/>
  <c r="C8" i="54"/>
  <c r="K14" i="11"/>
  <c r="M14" i="11" s="1"/>
  <c r="K127" i="11"/>
  <c r="K34" i="11"/>
  <c r="M34" i="11" s="1"/>
  <c r="K36" i="11"/>
  <c r="M36" i="11" s="1"/>
  <c r="K38" i="11"/>
  <c r="M38" i="11" s="1"/>
  <c r="K30" i="11"/>
  <c r="M30" i="11" s="1"/>
  <c r="K31" i="11"/>
  <c r="M31" i="11" s="1"/>
  <c r="K39" i="11"/>
  <c r="M39" i="11" s="1"/>
  <c r="K115" i="11"/>
  <c r="M115" i="11" s="1"/>
  <c r="K105" i="11"/>
  <c r="M105" i="11" s="1"/>
  <c r="K124" i="11"/>
  <c r="M124" i="11" s="1"/>
  <c r="K23" i="11"/>
  <c r="M23" i="11" s="1"/>
  <c r="K37" i="11"/>
  <c r="M37" i="11" s="1"/>
  <c r="K35" i="11"/>
  <c r="M35" i="11" s="1"/>
  <c r="K21" i="11"/>
  <c r="K27" i="11"/>
  <c r="M27" i="11" s="1"/>
  <c r="K20" i="11"/>
  <c r="M20" i="11" s="1"/>
  <c r="K26" i="11"/>
  <c r="M26" i="11" s="1"/>
  <c r="K29" i="11"/>
  <c r="M29" i="11" s="1"/>
  <c r="M142" i="11"/>
  <c r="K145" i="11"/>
  <c r="K121" i="11"/>
  <c r="M121" i="11" s="1"/>
  <c r="K40" i="11"/>
  <c r="M40" i="11" s="1"/>
  <c r="K122" i="11"/>
  <c r="M122" i="11" s="1"/>
  <c r="K24" i="11"/>
  <c r="F350" i="29"/>
  <c r="K118" i="11"/>
  <c r="M118" i="11" s="1"/>
  <c r="K120" i="11"/>
  <c r="M120" i="11" s="1"/>
  <c r="K101" i="11"/>
  <c r="M101" i="11" s="1"/>
  <c r="K33" i="11"/>
  <c r="M33" i="11" s="1"/>
  <c r="K111" i="11"/>
  <c r="M111" i="11" s="1"/>
  <c r="K104" i="11"/>
  <c r="M104" i="11" s="1"/>
  <c r="K22" i="11"/>
  <c r="M22" i="11" s="1"/>
  <c r="K32" i="11"/>
  <c r="M32" i="11" s="1"/>
  <c r="K109" i="11"/>
  <c r="M109" i="11" s="1"/>
  <c r="K123" i="11"/>
  <c r="M123" i="11" s="1"/>
  <c r="K143" i="11"/>
  <c r="K106" i="11"/>
  <c r="M106" i="11" s="1"/>
  <c r="K25" i="11"/>
  <c r="M25" i="11" s="1"/>
  <c r="H144" i="11"/>
  <c r="H147" i="11" s="1"/>
  <c r="F312" i="29"/>
  <c r="F339" i="29"/>
  <c r="F226" i="29"/>
  <c r="F345" i="29"/>
  <c r="F239" i="29"/>
  <c r="I144" i="11"/>
  <c r="I147" i="11" s="1"/>
  <c r="J144" i="11"/>
  <c r="J147" i="11" s="1"/>
  <c r="K110" i="11"/>
  <c r="M110" i="11" s="1"/>
  <c r="K119" i="11"/>
  <c r="M119" i="11" s="1"/>
  <c r="K112" i="11"/>
  <c r="M112" i="11" s="1"/>
  <c r="K100" i="11"/>
  <c r="K113" i="11"/>
  <c r="M113" i="11" s="1"/>
  <c r="K116" i="11"/>
  <c r="M116" i="11" s="1"/>
  <c r="K117" i="11"/>
  <c r="M117" i="11" s="1"/>
  <c r="K114" i="11"/>
  <c r="M114" i="11" s="1"/>
  <c r="K102" i="11"/>
  <c r="M102" i="11" s="1"/>
  <c r="K107" i="11"/>
  <c r="M107" i="11" s="1"/>
  <c r="K103" i="11"/>
  <c r="M103" i="11" s="1"/>
  <c r="K108" i="11"/>
  <c r="M108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48" i="11"/>
  <c r="J149" i="11" s="1"/>
  <c r="H148" i="11"/>
  <c r="H149" i="11" s="1"/>
  <c r="I148" i="11"/>
  <c r="I149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106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44" i="11"/>
  <c r="K147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6" i="39" l="1"/>
  <c r="G23" i="39"/>
  <c r="G21" i="39"/>
  <c r="G26" i="39"/>
  <c r="B23" i="39"/>
  <c r="E23" i="39" s="1"/>
  <c r="D28" i="39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I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48" i="11"/>
  <c r="K149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29" i="39" l="1"/>
  <c r="H143" i="29"/>
  <c r="K143" i="29" s="1"/>
  <c r="J85" i="29"/>
  <c r="I124" i="29"/>
  <c r="H148" i="29"/>
  <c r="J132" i="29"/>
  <c r="H33" i="39"/>
  <c r="H92" i="29"/>
  <c r="J21" i="39"/>
  <c r="H21" i="39"/>
  <c r="J148" i="29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K132" i="29" s="1"/>
  <c r="J33" i="39"/>
  <c r="K33" i="39" s="1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50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2" i="29" l="1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<sst xmlns="http://schemas.openxmlformats.org/spreadsheetml/2006/main" count="4829" uniqueCount="1653">
  <si>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</si>
  <si>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</si>
  <si>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</si>
  <si>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</si>
  <si>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</si>
  <si>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</si>
  <si>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</si>
  <si>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</si>
  <si>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</si>
  <si>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</si>
  <si>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</si>
  <si>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</si>
  <si>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</si>
  <si>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</si>
  <si>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</si>
  <si>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</si>
  <si>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</si>
  <si>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</si>
  <si>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</si>
  <si>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</si>
  <si>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</si>
  <si>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</si>
  <si>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</si>
  <si>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</si>
  <si>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</si>
  <si>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</si>
  <si>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</si>
  <si>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</si>
  <si>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</si>
  <si>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</si>
  <si>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</si>
  <si>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</si>
  <si>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</si>
  <si>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</si>
  <si>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</si>
  <si>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</si>
  <si>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</si>
  <si>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</si>
  <si>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</si>
  <si>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</si>
  <si>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</si>
  <si>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</si>
  <si>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</si>
  <si>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</si>
  <si>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</si>
  <si>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</si>
  <si>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</si>
  <si>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</si>
  <si>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</si>
  <si>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</si>
  <si>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</si>
  <si>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</si>
  <si>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</si>
  <si>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</si>
  <si>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</si>
  <si>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</si>
  <si>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</si>
  <si>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</si>
  <si>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</si>
  <si>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</si>
  <si>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</si>
  <si>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</si>
  <si>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</si>
  <si>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</si>
  <si>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</si>
  <si>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</si>
  <si>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</si>
  <si>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</si>
  <si>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</si>
  <si>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</si>
  <si>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</si>
  <si>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</si>
  <si>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</si>
  <si>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</si>
  <si>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</si>
  <si>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</si>
  <si>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</si>
  <si>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</si>
  <si>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</si>
  <si>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</si>
  <si>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</si>
  <si>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</si>
  <si>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</si>
  <si>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</si>
  <si>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</si>
  <si>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</si>
  <si>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</si>
  <si>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</si>
  <si>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</si>
  <si>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</si>
  <si>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</si>
  <si>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</si>
  <si>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</si>
  <si>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</si>
  <si>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</si>
  <si>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</si>
  <si>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</si>
  <si>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</si>
  <si>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</si>
  <si>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</si>
  <si>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</si>
  <si>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</si>
  <si>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</si>
  <si>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</si>
  <si>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</si>
  <si>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</si>
  <si>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</si>
  <si>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</si>
  <si>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</si>
  <si>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</si>
  <si>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</si>
  <si>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</si>
  <si>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</si>
  <si>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</si>
  <si>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</si>
  <si>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</si>
  <si>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</si>
  <si>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</si>
  <si>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</si>
  <si>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</si>
  <si>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</si>
  <si>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</si>
  <si>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</si>
  <si>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</si>
  <si>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</si>
  <si>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</si>
  <si>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</si>
  <si>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</si>
  <si>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</si>
  <si>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</si>
  <si>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</si>
  <si>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</si>
  <si>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</si>
  <si>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</si>
  <si>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</si>
  <si>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</si>
  <si>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</si>
  <si>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</si>
  <si>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</si>
  <si>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</si>
  <si>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</si>
  <si>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</si>
  <si>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</si>
  <si>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</si>
  <si>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</si>
  <si>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</si>
  <si>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</si>
  <si>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</si>
  <si>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</si>
  <si>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</si>
  <si>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</si>
  <si>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</si>
  <si>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</si>
  <si>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</si>
  <si>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</si>
  <si>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</si>
  <si>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</si>
  <si>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</si>
  <si>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</si>
  <si>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</si>
  <si>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</si>
  <si>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</si>
  <si>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</si>
  <si>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</si>
  <si>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</si>
  <si>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</si>
  <si>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</si>
  <si>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</si>
  <si>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</si>
  <si>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</si>
  <si>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</si>
  <si>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</si>
  <si>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</si>
  <si>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</si>
  <si>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</si>
  <si>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</si>
  <si>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</si>
  <si>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</si>
  <si>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</si>
  <si>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</si>
  <si>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</si>
  <si>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</si>
  <si>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</si>
  <si>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</si>
  <si>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</si>
  <si>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</si>
  <si>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</si>
  <si>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</si>
  <si>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</si>
  <si>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</si>
  <si>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</si>
  <si>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</si>
  <si>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</si>
  <si>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</si>
  <si>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</si>
  <si>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</si>
  <si>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</si>
  <si>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</si>
  <si>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</si>
  <si>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</si>
  <si>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</si>
  <si>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</si>
  <si>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</si>
  <si>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</si>
  <si>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</si>
  <si>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</si>
  <si>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</si>
  <si>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</si>
  <si>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</si>
  <si>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</si>
  <si>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</si>
  <si>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</si>
  <si>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</si>
  <si>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</si>
  <si>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</si>
  <si>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</si>
  <si>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</si>
  <si>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</si>
  <si>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</si>
  <si>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</si>
  <si>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</si>
  <si>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</si>
  <si>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</si>
  <si>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</si>
  <si>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</si>
  <si>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</si>
  <si>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</si>
  <si>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</si>
  <si>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</si>
  <si>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</si>
  <si>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</si>
  <si>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</si>
  <si>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</si>
  <si>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</si>
  <si>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</si>
  <si>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</si>
  <si>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</si>
  <si>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</si>
  <si>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</si>
  <si>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</si>
  <si>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</si>
  <si>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</si>
  <si>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</si>
  <si>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</si>
  <si>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</si>
  <si>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</si>
  <si>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</si>
  <si>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</si>
  <si>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</si>
  <si>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</si>
  <si>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</si>
  <si>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</si>
  <si>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</si>
  <si>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</si>
  <si>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</si>
  <si>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</si>
  <si>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</si>
  <si>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</si>
  <si>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</si>
  <si>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</si>
  <si>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</si>
  <si>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</si>
  <si>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</si>
  <si>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</si>
  <si>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</si>
  <si>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</si>
  <si>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</si>
  <si>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</si>
  <si>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</si>
  <si>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</si>
  <si>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</si>
  <si>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</si>
  <si>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</si>
  <si>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</si>
  <si>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</si>
  <si>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</si>
  <si>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</si>
  <si>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</si>
  <si>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</si>
  <si>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</si>
  <si>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</si>
  <si>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</si>
  <si>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</si>
  <si>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</si>
  <si>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</si>
  <si>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</si>
  <si>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</si>
  <si>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</si>
  <si>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</si>
  <si>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</si>
  <si>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</si>
  <si>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</si>
  <si>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</si>
  <si>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</si>
  <si>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</si>
  <si>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</si>
  <si>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</si>
  <si>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</si>
  <si>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</si>
  <si>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</si>
  <si>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</si>
  <si>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</si>
  <si>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</si>
  <si>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</si>
  <si>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</si>
  <si>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</si>
  <si>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</si>
  <si>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</si>
  <si>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</si>
  <si>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</si>
  <si>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</si>
  <si>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</si>
  <si>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</si>
  <si>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</si>
  <si>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</si>
  <si>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</si>
  <si>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</si>
  <si>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</si>
  <si>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</si>
  <si>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</si>
  <si>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</si>
  <si>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</si>
  <si>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</si>
  <si>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</si>
  <si>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</si>
  <si>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</si>
  <si>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</si>
  <si>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</si>
  <si>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</si>
  <si>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</si>
  <si>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</si>
  <si>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</si>
  <si>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</si>
  <si>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</si>
  <si>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</si>
  <si>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</si>
  <si>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</si>
  <si>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</si>
  <si>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</si>
  <si>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</si>
  <si>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</si>
  <si>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</si>
  <si>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</si>
  <si>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</si>
  <si>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</si>
  <si>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</si>
  <si>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</si>
  <si>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</si>
  <si>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</si>
  <si>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</si>
  <si>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</si>
  <si>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</si>
  <si>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</si>
  <si>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</si>
  <si>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</si>
  <si>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</si>
  <si>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</si>
  <si>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</si>
  <si>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</si>
  <si>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</si>
  <si>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</si>
  <si>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</si>
  <si>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</si>
  <si>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</si>
  <si>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</si>
  <si>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</si>
  <si>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</si>
  <si>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</si>
  <si>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</si>
  <si>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</si>
  <si>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</si>
  <si>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</si>
  <si>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</si>
  <si>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</si>
  <si>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</si>
  <si>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</si>
  <si>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</si>
  <si>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</si>
  <si>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</si>
  <si>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</si>
  <si>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</si>
  <si>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</si>
  <si>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</si>
  <si>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</si>
  <si>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</si>
  <si>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</si>
  <si>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</si>
  <si>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</si>
  <si>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</si>
  <si>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</si>
  <si>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</si>
  <si>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</si>
  <si>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</si>
  <si>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</si>
  <si>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</si>
  <si>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</si>
  <si>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</si>
  <si>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</si>
  <si>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</si>
  <si>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</si>
  <si>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</si>
  <si>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</si>
  <si>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</si>
  <si>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</si>
  <si>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</si>
  <si>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</si>
  <si>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</si>
  <si>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</si>
  <si>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</si>
  <si>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</si>
  <si>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</si>
  <si>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</si>
  <si>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</si>
  <si>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</si>
  <si>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</si>
  <si>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</si>
  <si>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</si>
  <si>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</si>
  <si>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</si>
  <si>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</si>
  <si>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</si>
  <si>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</si>
  <si>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</si>
  <si>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</si>
  <si>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</si>
  <si>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</si>
  <si>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</si>
  <si>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</si>
  <si>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</si>
  <si>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</si>
  <si>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</si>
  <si>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</si>
  <si>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</si>
  <si>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</si>
  <si>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</si>
  <si>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</si>
  <si>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</si>
  <si>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</si>
  <si>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</si>
  <si>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</si>
  <si>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</si>
  <si>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</si>
  <si>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</si>
  <si>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</si>
  <si>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</si>
  <si>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</si>
  <si>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</si>
  <si>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</si>
  <si>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</si>
  <si>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</si>
  <si>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</si>
  <si>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</si>
  <si>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</si>
  <si>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</si>
  <si>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</si>
  <si>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</si>
  <si>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</si>
  <si>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</si>
  <si>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</si>
  <si>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</si>
  <si>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</si>
  <si>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</si>
  <si>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</si>
  <si>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</si>
  <si>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</si>
  <si>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</si>
  <si>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</si>
  <si>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</si>
  <si>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</si>
  <si>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</si>
  <si>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</si>
  <si>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</si>
  <si>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</si>
  <si>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</si>
  <si>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</si>
  <si>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</si>
  <si>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</si>
  <si>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</si>
  <si>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</si>
  <si>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</si>
  <si>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</si>
  <si>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</si>
  <si>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</si>
  <si>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</si>
  <si>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</si>
  <si>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</si>
  <si>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</si>
  <si>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</si>
  <si>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</si>
  <si>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</si>
  <si>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</si>
  <si>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</si>
  <si>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</si>
  <si>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</si>
  <si>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</si>
  <si>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</si>
  <si>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</si>
  <si>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</si>
  <si>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</si>
  <si>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</si>
  <si>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</si>
  <si>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</si>
  <si>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</si>
  <si>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</si>
  <si>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</si>
  <si>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</si>
  <si>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</si>
  <si>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</si>
  <si>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</si>
  <si>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</si>
  <si>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</si>
  <si>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</si>
  <si>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</si>
  <si>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</si>
  <si>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</si>
  <si>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</si>
  <si>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</si>
  <si>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</si>
  <si>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</si>
  <si>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</si>
  <si>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</si>
  <si>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</si>
  <si>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</si>
  <si>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</si>
  <si>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</si>
  <si>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</si>
  <si>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</si>
  <si>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</si>
  <si>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</si>
  <si>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</si>
  <si>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</si>
  <si>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</si>
  <si>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</si>
  <si>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</si>
  <si>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</si>
  <si>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</si>
  <si>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</si>
  <si>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</si>
  <si>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</si>
  <si>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</si>
  <si>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</si>
  <si>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</si>
  <si>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</si>
  <si>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</si>
  <si>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</si>
  <si>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</si>
  <si>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</si>
  <si>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</si>
  <si>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</si>
  <si>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</si>
  <si>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</si>
  <si>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</si>
  <si>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</si>
  <si>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</si>
  <si>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</si>
  <si>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</si>
  <si>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</si>
  <si>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</si>
  <si>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</si>
  <si>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</si>
  <si>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</si>
  <si>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</si>
  <si>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</si>
  <si>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</si>
  <si>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</si>
  <si>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</si>
  <si>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</si>
  <si>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</si>
  <si>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</si>
  <si>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</si>
  <si>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</si>
  <si>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</si>
  <si>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</si>
  <si>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</si>
  <si>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</si>
  <si>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</si>
  <si>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</si>
  <si>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</si>
  <si>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</si>
  <si>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</si>
  <si>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</si>
  <si>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</si>
  <si>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</si>
  <si>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</si>
  <si>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</si>
  <si>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</si>
  <si>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</si>
  <si>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</si>
  <si>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</si>
  <si>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</si>
  <si>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</si>
  <si>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</si>
  <si>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</si>
  <si>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</si>
  <si>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</si>
  <si>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</si>
  <si>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</si>
  <si>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</si>
  <si>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</si>
  <si>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</si>
  <si>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</si>
  <si>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</si>
  <si>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</si>
  <si>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</si>
  <si>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</si>
  <si>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</si>
  <si>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</si>
  <si>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</si>
  <si>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</si>
  <si>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</si>
  <si>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</si>
  <si>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</si>
  <si>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</si>
  <si>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</si>
  <si>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</si>
  <si>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</si>
  <si>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</si>
  <si>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</si>
  <si>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</si>
  <si>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</si>
  <si>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</si>
  <si>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</si>
  <si>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</si>
  <si>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</si>
  <si>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</si>
  <si>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</si>
  <si>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</si>
  <si>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</si>
  <si>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</si>
  <si>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</si>
  <si>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</si>
  <si>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</si>
  <si>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</si>
  <si>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</si>
  <si>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</si>
  <si>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</si>
  <si>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</si>
  <si>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</si>
  <si>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</si>
  <si>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</si>
  <si>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</si>
  <si>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</si>
  <si>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</si>
  <si>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</si>
  <si>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</si>
  <si>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</si>
  <si>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</si>
  <si>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</si>
  <si>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</si>
  <si>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</si>
  <si>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</si>
  <si>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</si>
  <si>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</si>
  <si>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</si>
  <si>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</si>
  <si>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</si>
  <si>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</si>
  <si>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</si>
  <si>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</si>
  <si>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</si>
  <si>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</si>
  <si>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</si>
  <si>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</si>
  <si>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</si>
  <si>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</si>
  <si>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</si>
  <si>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</si>
  <si>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</si>
  <si>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</si>
  <si>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</si>
  <si>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</si>
  <si>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</si>
  <si>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</si>
  <si>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</si>
  <si>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</si>
  <si>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</si>
  <si>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</si>
  <si>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</si>
  <si>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</si>
  <si>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</si>
  <si>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</si>
  <si>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</si>
  <si>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</si>
  <si>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</si>
  <si>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</si>
  <si>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</si>
  <si>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</si>
  <si>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</si>
  <si>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</si>
  <si>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</si>
  <si>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</si>
  <si>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</si>
  <si>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</si>
  <si>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</si>
  <si>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</si>
  <si>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</si>
  <si>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</si>
  <si>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</si>
  <si>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</si>
  <si>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</si>
  <si>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</si>
  <si>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</si>
  <si>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</si>
  <si>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</si>
  <si>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</si>
  <si>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</si>
  <si>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</si>
  <si>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</si>
  <si>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</si>
  <si>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</si>
  <si>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</si>
  <si>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</si>
  <si>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</si>
  <si>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</si>
  <si>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</si>
  <si>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</si>
  <si>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</si>
  <si>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</si>
  <si>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</si>
  <si>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</si>
  <si>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</si>
  <si>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</si>
  <si>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</si>
  <si>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</si>
  <si>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</si>
  <si>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</si>
  <si>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</si>
  <si>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</si>
  <si>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</si>
  <si>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</si>
  <si>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</si>
  <si>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</si>
  <si>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</si>
  <si>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</si>
  <si>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</si>
  <si>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</si>
  <si>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</si>
  <si>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</si>
  <si>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</si>
  <si>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</si>
  <si>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</si>
  <si>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</si>
  <si>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</si>
  <si>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</si>
  <si>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</si>
  <si>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</si>
  <si>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</si>
  <si>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</si>
  <si>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</si>
  <si>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</si>
  <si>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</si>
  <si>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</si>
  <si>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</si>
  <si>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</si>
  <si>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</si>
  <si>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</si>
  <si>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</si>
  <si>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</si>
  <si>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</si>
  <si>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</si>
  <si>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</si>
  <si>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</si>
  <si>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</si>
  <si>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</si>
  <si>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</si>
  <si>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</si>
  <si>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</si>
  <si>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</si>
  <si>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</si>
  <si>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</si>
  <si>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</si>
  <si>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</si>
  <si>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</si>
  <si>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</si>
  <si>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</si>
  <si>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</si>
  <si>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</si>
  <si>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</si>
  <si>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</si>
  <si>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</si>
  <si>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</si>
  <si>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</si>
  <si>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</si>
  <si>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</si>
  <si>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</si>
  <si>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</si>
  <si>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</si>
  <si>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</si>
  <si>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</si>
  <si>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</si>
  <si>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</si>
  <si>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</si>
  <si>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</si>
  <si>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</si>
  <si>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</si>
  <si>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</si>
  <si>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</si>
  <si>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</si>
  <si>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</si>
  <si>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</si>
  <si>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</si>
  <si>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</si>
  <si>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</si>
  <si>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</si>
  <si>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</si>
  <si>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</si>
  <si>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</si>
  <si>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</si>
  <si>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</si>
  <si>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</si>
  <si>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</si>
  <si>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</si>
  <si>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</si>
  <si>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</si>
  <si>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</si>
  <si>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</si>
  <si>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</si>
  <si>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</si>
  <si>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</si>
  <si>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</si>
  <si>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</si>
  <si>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</si>
  <si>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</si>
  <si>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</si>
  <si>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</si>
  <si>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</si>
  <si>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</si>
  <si>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</si>
  <si>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</si>
  <si>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</si>
  <si>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</si>
  <si>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</si>
  <si>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</si>
  <si>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</si>
  <si>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</si>
  <si>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</si>
  <si>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</si>
  <si>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</si>
  <si>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</si>
  <si>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</si>
  <si>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</si>
  <si>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</si>
  <si>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</si>
  <si>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</si>
  <si>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</si>
  <si>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</si>
  <si>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</si>
  <si>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</si>
  <si>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</si>
  <si>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</si>
  <si>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</si>
  <si>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</si>
  <si>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</si>
  <si>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</si>
  <si>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</si>
  <si>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</si>
  <si>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</si>
  <si>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</si>
  <si>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</si>
  <si>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</si>
  <si>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</si>
  <si>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</si>
  <si>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</si>
  <si>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</si>
  <si>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</si>
  <si>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</si>
  <si>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</si>
  <si>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</si>
  <si>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</si>
  <si>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</si>
  <si>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</si>
  <si>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</si>
  <si>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</si>
  <si>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</si>
  <si>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</si>
  <si>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</si>
  <si>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</si>
  <si>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</si>
  <si>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</si>
  <si>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</si>
  <si>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</si>
  <si>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</si>
  <si>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</si>
  <si>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</si>
  <si>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</si>
  <si>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</si>
  <si>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</si>
  <si>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</si>
  <si>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</si>
  <si>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</si>
  <si>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</si>
  <si>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</si>
  <si>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</si>
  <si>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</si>
  <si>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</si>
  <si>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</si>
  <si>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</si>
  <si>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</si>
  <si>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</si>
  <si>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</si>
  <si>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</si>
  <si>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</si>
  <si>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</si>
  <si>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</si>
  <si>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</si>
  <si>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</si>
  <si>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</si>
  <si>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</si>
  <si>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</si>
  <si>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</si>
  <si>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</si>
  <si>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</si>
  <si>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</si>
  <si>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</si>
  <si>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</si>
  <si>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</si>
  <si>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</si>
  <si>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</si>
  <si>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</si>
  <si>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</si>
  <si>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</si>
  <si>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</si>
  <si>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</si>
  <si>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</si>
  <si>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</si>
  <si>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</si>
  <si>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</si>
  <si>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</si>
  <si>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</si>
  <si>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</si>
  <si>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</si>
  <si>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</si>
  <si>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</si>
  <si>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</si>
  <si>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</si>
  <si>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</si>
  <si>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</si>
  <si>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</si>
  <si>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</si>
  <si>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</si>
  <si>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</si>
  <si>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</si>
  <si>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</si>
  <si>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</si>
  <si>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</si>
  <si>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</si>
  <si>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</si>
  <si>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</si>
  <si>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</si>
  <si>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</si>
  <si>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</si>
  <si>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</si>
  <si>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</si>
  <si>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</si>
  <si>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</si>
  <si>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</si>
  <si>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</si>
  <si>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</si>
  <si>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</si>
  <si>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</si>
  <si>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</si>
  <si>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</si>
  <si>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</si>
  <si>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</si>
  <si>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</si>
  <si>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</si>
  <si>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</si>
  <si>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</si>
  <si>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</si>
  <si>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</si>
  <si>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</si>
  <si>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</si>
  <si>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</si>
  <si>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</si>
  <si>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</si>
  <si>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</si>
  <si>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</si>
  <si>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</si>
  <si>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</si>
  <si>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</si>
  <si>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</si>
  <si>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</si>
  <si>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</si>
  <si>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</si>
  <si>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</si>
  <si>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</si>
  <si>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</si>
  <si>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</si>
  <si>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</si>
  <si>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</si>
  <si>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</si>
  <si>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</si>
  <si>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</si>
  <si>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</si>
  <si>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</si>
  <si>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</si>
  <si>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</si>
  <si>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</si>
  <si>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</si>
  <si>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</si>
  <si>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</si>
  <si>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</si>
  <si>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</si>
  <si>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</si>
  <si>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</si>
  <si>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</si>
  <si>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</si>
  <si>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</si>
  <si>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</si>
  <si>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</si>
  <si>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</si>
  <si>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</si>
  <si>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</si>
  <si>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</si>
  <si>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</si>
  <si>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</si>
  <si>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</si>
  <si>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</si>
  <si>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</si>
  <si>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</si>
  <si>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</si>
  <si>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</si>
  <si>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</si>
  <si>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</si>
  <si>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</si>
  <si>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</si>
  <si>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</si>
  <si>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</si>
  <si>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</si>
  <si>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</si>
  <si>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</si>
  <si>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</si>
  <si>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</si>
  <si>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</si>
  <si>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</si>
  <si>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</si>
  <si>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</si>
  <si>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</si>
  <si>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</si>
  <si>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</si>
  <si>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</si>
  <si>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</si>
  <si>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</si>
  <si>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</si>
  <si>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</si>
  <si>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</si>
  <si>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</si>
  <si>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</si>
  <si>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</si>
  <si>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</si>
  <si>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</si>
  <si>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</si>
  <si>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</si>
  <si>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</si>
  <si>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</si>
  <si>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</si>
  <si>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</si>
  <si>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</si>
  <si>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</si>
  <si>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</si>
  <si>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</si>
  <si>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</si>
  <si>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</si>
  <si>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</si>
  <si>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</si>
  <si>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</si>
  <si>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</si>
  <si>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</si>
  <si>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</si>
  <si>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</si>
  <si>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</si>
  <si>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</si>
  <si>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</si>
  <si>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</si>
  <si>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</si>
  <si>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</si>
  <si>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</si>
  <si>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</si>
  <si>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</si>
  <si>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</si>
  <si>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</si>
  <si>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</si>
  <si>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</si>
  <si>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</si>
  <si>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</si>
  <si>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</si>
  <si>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</si>
  <si>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</si>
  <si>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</si>
  <si>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</si>
  <si>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</si>
  <si>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</si>
  <si>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</si>
  <si>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</si>
  <si>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</si>
  <si>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</si>
  <si>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</si>
  <si>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</si>
  <si>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</si>
  <si>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</si>
  <si>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</si>
  <si>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</si>
  <si>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</si>
  <si>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</si>
  <si>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</si>
  <si>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</si>
  <si>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</si>
  <si>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</si>
  <si>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</si>
  <si>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</si>
  <si>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</si>
  <si>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</si>
  <si>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</si>
  <si>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</si>
  <si>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</si>
  <si>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</si>
  <si>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</si>
  <si>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</si>
  <si>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</si>
  <si>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</si>
  <si>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</si>
  <si>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</si>
  <si>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</si>
  <si>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</si>
  <si>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</si>
  <si>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</si>
  <si>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</si>
  <si>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</si>
  <si>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</si>
  <si>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</si>
  <si>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</si>
  <si>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</si>
  <si>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</si>
  <si>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</si>
  <si>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</si>
  <si>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</si>
  <si>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</si>
  <si>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</si>
  <si>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</si>
  <si>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</si>
  <si>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</si>
  <si>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</si>
  <si>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</si>
  <si>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</si>
  <si>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</si>
  <si>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</si>
  <si>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</si>
  <si>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</si>
  <si>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</si>
  <si>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</si>
  <si>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</si>
  <si>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</si>
  <si>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</si>
  <si>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</si>
  <si>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</si>
  <si>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</si>
  <si>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</si>
  <si>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</si>
  <si>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</si>
  <si>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</si>
  <si>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</si>
  <si>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</si>
  <si>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</si>
  <si>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</si>
  <si>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</si>
  <si>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</si>
  <si>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</si>
  <si>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</si>
  <si>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</si>
  <si>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</si>
  <si>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</si>
  <si>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</si>
  <si>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</si>
  <si>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</si>
  <si>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</si>
  <si>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</si>
  <si>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</si>
  <si>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</si>
  <si>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</si>
  <si>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</si>
  <si>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</si>
  <si>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</si>
  <si>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</si>
  <si>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</si>
  <si>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</si>
  <si>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</si>
  <si>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</si>
  <si>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</si>
  <si>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</si>
  <si>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</si>
  <si>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</si>
  <si>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</si>
  <si>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</si>
  <si>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</si>
  <si>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</si>
  <si>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</si>
  <si>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</si>
  <si>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</si>
  <si>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</si>
  <si>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</si>
  <si>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</si>
  <si>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</si>
  <si>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</si>
  <si>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</si>
  <si>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</si>
  <si>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</si>
  <si>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</si>
  <si>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</si>
  <si>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</si>
  <si>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</si>
  <si>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</si>
  <si>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</si>
  <si>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</si>
  <si>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</si>
  <si>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</si>
  <si>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</si>
  <si>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</si>
  <si>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</si>
  <si>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</si>
  <si>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</si>
  <si>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</si>
  <si>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</si>
  <si>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</si>
  <si>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</si>
  <si>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</si>
  <si>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</si>
  <si>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</si>
  <si>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</si>
  <si>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</si>
  <si>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</si>
  <si>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</si>
  <si>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</si>
  <si>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</si>
  <si>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</si>
  <si>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</si>
  <si>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</si>
  <si>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</si>
  <si>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</si>
  <si>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</si>
  <si>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</si>
  <si>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</si>
  <si>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</si>
  <si>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</si>
  <si>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</si>
  <si>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</si>
  <si>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</si>
  <si>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</si>
  <si>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</si>
  <si>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</si>
  <si>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</si>
  <si>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</si>
  <si>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</si>
  <si>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</si>
  <si>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</si>
  <si>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</si>
  <si>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</si>
  <si>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</si>
  <si>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</si>
  <si>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</si>
  <si>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</si>
  <si>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</si>
  <si>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</si>
  <si>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</si>
  <si>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</si>
  <si>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</si>
  <si>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</si>
  <si>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</si>
  <si>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</si>
  <si>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</si>
  <si>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</si>
  <si>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</si>
  <si>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</si>
  <si>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</si>
  <si>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</si>
  <si>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</si>
  <si>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</si>
  <si>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</si>
  <si>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</si>
  <si>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</si>
  <si>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</si>
  <si>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</si>
  <si>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</si>
  <si>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</si>
  <si>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</si>
  <si>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</si>
  <si>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</si>
  <si>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</si>
  <si>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</si>
  <si>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</si>
  <si>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</si>
  <si>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</si>
  <si>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</si>
  <si>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</si>
  <si>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</si>
  <si>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</si>
  <si>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</si>
  <si>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</si>
  <si>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</si>
  <si>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</si>
  <si>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</si>
  <si>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</si>
  <si>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</si>
  <si>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</si>
  <si>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</si>
  <si>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</si>
  <si>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</si>
  <si>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</si>
  <si>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</si>
  <si>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</si>
  <si>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</si>
  <si>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</si>
  <si>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</si>
  <si>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</si>
  <si>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</si>
  <si>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</si>
  <si>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</si>
  <si>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</si>
  <si>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</si>
  <si>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</si>
  <si>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</si>
  <si>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</si>
  <si>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</si>
  <si>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</si>
  <si>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</si>
  <si>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</si>
  <si>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</si>
  <si>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</si>
  <si>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</si>
  <si>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</si>
  <si>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</si>
  <si>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</si>
  <si>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</si>
  <si>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</si>
  <si>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</si>
  <si>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</si>
  <si>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</si>
  <si>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</si>
  <si>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</si>
  <si>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</si>
  <si>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</si>
  <si>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</si>
  <si>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</si>
  <si>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</si>
  <si>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</si>
  <si>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</si>
  <si>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</si>
  <si>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</si>
  <si>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</si>
  <si>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</si>
  <si>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</si>
  <si>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</si>
  <si>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</si>
  <si>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</si>
  <si>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</si>
  <si>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</si>
  <si>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</si>
  <si>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</si>
  <si>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</si>
  <si>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</si>
  <si>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</si>
  <si>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</si>
  <si>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</si>
  <si>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</si>
  <si>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</si>
  <si>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</si>
  <si>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</si>
  <si>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</si>
  <si>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</si>
  <si>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</si>
  <si>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</si>
  <si>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</si>
  <si>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</si>
  <si>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</si>
  <si>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</si>
  <si>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</si>
  <si>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</si>
  <si>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</si>
  <si>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</si>
  <si>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</si>
  <si>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</si>
  <si>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</si>
  <si>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</si>
  <si>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</si>
  <si>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</si>
  <si>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</si>
  <si>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</si>
  <si>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</si>
  <si>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</si>
  <si>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</si>
  <si>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</si>
  <si>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</si>
  <si>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</si>
  <si>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</si>
  <si>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</si>
  <si>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</si>
  <si>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</si>
  <si>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</si>
  <si>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</si>
  <si>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</si>
  <si>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</si>
  <si>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</si>
  <si>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</si>
  <si>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</si>
  <si>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</si>
  <si>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</si>
  <si>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</si>
  <si>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</si>
  <si>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</si>
  <si>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</si>
  <si>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</si>
  <si>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</si>
  <si>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</si>
  <si>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</si>
  <si>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</si>
  <si>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</si>
  <si>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</si>
  <si>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</si>
  <si>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</si>
  <si>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</si>
  <si>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</si>
  <si>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</si>
  <si>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</si>
  <si>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</si>
  <si>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</si>
  <si>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</si>
  <si>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</si>
  <si>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</si>
  <si>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</si>
  <si>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</si>
  <si>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</si>
  <si>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</si>
  <si>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</si>
  <si>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</si>
  <si>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</si>
  <si>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</si>
  <si>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</si>
  <si>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</si>
  <si>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</si>
  <si>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</si>
  <si>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</si>
  <si>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</si>
  <si>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</si>
  <si>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</si>
  <si>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</si>
  <si>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</si>
  <si>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</si>
  <si>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</si>
  <si>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</si>
  <si>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</si>
  <si>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</si>
  <si>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</si>
  <si>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</si>
  <si>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</si>
  <si>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</si>
  <si>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</si>
  <si>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</si>
  <si>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</si>
  <si>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</si>
  <si>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</si>
  <si>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</si>
  <si>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</si>
  <si>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</si>
  <si>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</si>
  <si>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</si>
  <si>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</si>
  <si>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</si>
  <si>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</si>
  <si>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</si>
  <si>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</si>
  <si>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</si>
  <si>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</si>
  <si>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</si>
  <si>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</si>
  <si>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</si>
  <si>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</si>
  <si>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</si>
  <si>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</si>
  <si>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</si>
  <si>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</si>
  <si>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</si>
  <si>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</si>
  <si>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</si>
  <si>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</si>
  <si>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</si>
  <si>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</si>
  <si>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</si>
  <si>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</si>
  <si>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</si>
  <si>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</si>
  <si>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</si>
  <si>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</si>
  <si>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</si>
  <si>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</si>
  <si>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</si>
  <si>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</si>
  <si>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</si>
  <si>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</si>
  <si>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</si>
  <si>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</si>
  <si>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</si>
  <si>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</si>
  <si>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</si>
  <si>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</si>
  <si>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</si>
  <si>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</si>
  <si>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</si>
  <si>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</si>
  <si>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</si>
  <si>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</si>
  <si>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</si>
  <si>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</si>
  <si>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</si>
  <si>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</si>
  <si>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</si>
  <si>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</si>
  <si>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</si>
  <si>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</si>
  <si>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</si>
  <si>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</si>
  <si>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</si>
  <si>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</si>
  <si>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</si>
  <si>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</si>
  <si>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</si>
  <si>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</si>
  <si>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</si>
  <si>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</si>
  <si>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</si>
  <si>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</si>
  <si>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</si>
  <si>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</si>
  <si>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</si>
  <si>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</si>
  <si>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</si>
  <si>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</si>
  <si>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</si>
  <si>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</si>
  <si>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</si>
  <si>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</si>
  <si>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</si>
  <si>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</si>
  <si>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</si>
  <si>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</si>
  <si>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</si>
  <si>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</si>
  <si>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</si>
  <si>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</si>
  <si>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</si>
  <si>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</si>
  <si>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</si>
  <si>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</si>
  <si>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</si>
  <si>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</si>
  <si>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</si>
  <si>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</si>
  <si>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</si>
  <si>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</si>
  <si>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</si>
  <si>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</si>
  <si>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</si>
  <si>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</si>
  <si>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</si>
  <si>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</si>
  <si>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</si>
  <si>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</si>
  <si>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</si>
  <si>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</si>
  <si>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</si>
  <si>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</si>
  <si>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</si>
  <si>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</si>
  <si>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</si>
  <si>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</si>
  <si>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</si>
  <si>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</si>
  <si>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</si>
  <si>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</si>
  <si>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</si>
  <si>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</si>
  <si>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</si>
  <si>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</si>
  <si>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</si>
  <si>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</si>
  <si>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</si>
  <si>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</si>
  <si>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</si>
  <si>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</si>
  <si>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</si>
  <si>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</si>
  <si>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</si>
  <si>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</si>
  <si>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</si>
  <si>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</si>
  <si>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</si>
  <si>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</si>
  <si>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</si>
  <si>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</si>
  <si>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</si>
  <si>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</si>
  <si>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</si>
  <si>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</si>
  <si>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</si>
  <si>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</si>
  <si>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</si>
  <si>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</si>
  <si>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</si>
  <si>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</si>
  <si>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</si>
  <si>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</si>
  <si>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</si>
  <si>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</si>
  <si>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</si>
  <si>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</si>
  <si>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</si>
  <si>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</si>
  <si>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</si>
  <si>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</si>
  <si>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</si>
  <si>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</si>
  <si>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</si>
  <si>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</si>
  <si>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</si>
  <si>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</si>
  <si>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</si>
  <si>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</si>
  <si>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</si>
  <si>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</si>
  <si>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</si>
  <si>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</si>
  <si>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</si>
  <si>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</si>
  <si>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</si>
  <si>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</si>
  <si>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</si>
  <si>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>CJ6-T</t>
  </si>
  <si>
    <t>BTG</t>
  </si>
  <si>
    <t>CM2-12</t>
  </si>
  <si>
    <t>CE1-2</t>
  </si>
  <si>
    <t>F1-2</t>
  </si>
  <si>
    <t>CM2-12A</t>
  </si>
  <si>
    <t>APP 23KVA</t>
  </si>
  <si>
    <t>LVTC 3X70+70</t>
  </si>
  <si>
    <t>MTR</t>
  </si>
  <si>
    <t>LVTC 3X35+35</t>
  </si>
  <si>
    <t>PB DENNY AFIYANTO 23KVA</t>
  </si>
  <si>
    <t xml:space="preserve">-7.075702, 110.886209 </t>
  </si>
  <si>
    <t>C12-200</t>
  </si>
  <si>
    <t>DENNY AFIYANTO</t>
  </si>
  <si>
    <t>DS KURIPAN</t>
  </si>
  <si>
    <t>CC1-A</t>
  </si>
  <si>
    <t>PWI06-33A</t>
  </si>
  <si>
    <t>PWI06</t>
  </si>
  <si>
    <t>ATB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</si>
</sst>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31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45" fillId="48" borderId="21" xfId="1614" applyFont="1" applyFill="1" applyBorder="1" applyAlignment="1">
      <alignment horizontal="center" vertical="center" wrapText="1"/>
    </xf>
    <xf numFmtId="0" fontId="3" fillId="48" borderId="21" xfId="1652" applyFont="1" applyFill="1" applyBorder="1" applyAlignment="1">
      <alignment vertical="center" wrapText="1"/>
    </xf>
    <xf numFmtId="0" fontId="152" fillId="48" borderId="21" xfId="1614" applyFont="1" applyFill="1" applyBorder="1" applyAlignment="1">
      <alignment horizontal="center" vertical="center"/>
    </xf>
    <xf numFmtId="0" fontId="8" fillId="48" borderId="21" xfId="1614" applyFont="1" applyFill="1" applyBorder="1" applyAlignment="1">
      <alignment horizontal="center" vertical="center"/>
    </xf>
    <xf numFmtId="3" fontId="152" fillId="48" borderId="21" xfId="1614" applyNumberFormat="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284629</xdr:colOff>
      <xdr:row>14</xdr:row>
      <xdr:rowOff>0</xdr:rowOff>
    </xdr:from>
    <xdr:to>
      <xdr:col>11</xdr:col>
      <xdr:colOff>95249</xdr:colOff>
      <xdr:row>29</xdr:row>
      <xdr:rowOff>21170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613521" y="3132108"/>
          <a:ext cx="2243670" cy="19162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217359</xdr:colOff>
      <xdr:row>25</xdr:row>
      <xdr:rowOff>146769</xdr:rowOff>
    </xdr:from>
    <xdr:to>
      <xdr:col>14</xdr:col>
      <xdr:colOff>361911</xdr:colOff>
      <xdr:row>26</xdr:row>
      <xdr:rowOff>143202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096276" y="3882686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351707</xdr:colOff>
      <xdr:row>25</xdr:row>
      <xdr:rowOff>141237</xdr:rowOff>
    </xdr:from>
    <xdr:to>
      <xdr:col>7</xdr:col>
      <xdr:colOff>115259</xdr:colOff>
      <xdr:row>26</xdr:row>
      <xdr:rowOff>137670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2182624" y="3877154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226322</xdr:colOff>
      <xdr:row>11</xdr:row>
      <xdr:rowOff>59404</xdr:rowOff>
    </xdr:from>
    <xdr:to>
      <xdr:col>14</xdr:col>
      <xdr:colOff>295664</xdr:colOff>
      <xdr:row>17</xdr:row>
      <xdr:rowOff>2338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337651" y="1715992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285750</xdr:colOff>
      <xdr:row>26</xdr:row>
      <xdr:rowOff>137584</xdr:rowOff>
    </xdr:from>
    <xdr:to>
      <xdr:col>15</xdr:col>
      <xdr:colOff>243416</xdr:colOff>
      <xdr:row>27</xdr:row>
      <xdr:rowOff>0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1735667" y="4021667"/>
          <a:ext cx="3767666" cy="105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231122</xdr:colOff>
      <xdr:row>15</xdr:row>
      <xdr:rowOff>78391</xdr:rowOff>
    </xdr:from>
    <xdr:to>
      <xdr:col>13</xdr:col>
      <xdr:colOff>15857</xdr:colOff>
      <xdr:row>16</xdr:row>
      <xdr:rowOff>78390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348039" y="2332641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205612</xdr:colOff>
      <xdr:row>16</xdr:row>
      <xdr:rowOff>85116</xdr:rowOff>
    </xdr:from>
    <xdr:to>
      <xdr:col>11</xdr:col>
      <xdr:colOff>175027</xdr:colOff>
      <xdr:row>25</xdr:row>
      <xdr:rowOff>136330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213" idx="5"/>
        </xdr:cNvCxnSpPr>
      </xdr:nvCxnSpPr>
      <xdr:spPr bwMode="auto">
        <a:xfrm flipH="1" flipV="1">
          <a:off x="3560529" y="2487533"/>
          <a:ext cx="350415" cy="13847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228661</xdr:colOff>
      <xdr:row>25</xdr:row>
      <xdr:rowOff>12714</xdr:rowOff>
    </xdr:from>
    <xdr:to>
      <xdr:col>12</xdr:col>
      <xdr:colOff>78664</xdr:colOff>
      <xdr:row>25</xdr:row>
      <xdr:rowOff>96985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964578" y="3748631"/>
          <a:ext cx="231003" cy="8427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168220</xdr:colOff>
      <xdr:row>24</xdr:row>
      <xdr:rowOff>8937</xdr:rowOff>
    </xdr:from>
    <xdr:to>
      <xdr:col>13</xdr:col>
      <xdr:colOff>187630</xdr:colOff>
      <xdr:row>25</xdr:row>
      <xdr:rowOff>50371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904137" y="3596687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82229</xdr:colOff>
      <xdr:row>15</xdr:row>
      <xdr:rowOff>109860</xdr:rowOff>
    </xdr:from>
    <xdr:to>
      <xdr:col>10</xdr:col>
      <xdr:colOff>226781</xdr:colOff>
      <xdr:row>16</xdr:row>
      <xdr:rowOff>106292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437146" y="2364110"/>
          <a:ext cx="144552" cy="144599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151848</xdr:colOff>
      <xdr:row>14</xdr:row>
      <xdr:rowOff>46015</xdr:rowOff>
    </xdr:from>
    <xdr:to>
      <xdr:col>10</xdr:col>
      <xdr:colOff>168414</xdr:colOff>
      <xdr:row>15</xdr:row>
      <xdr:rowOff>103994</xdr:rowOff>
    </xdr:to>
    <xdr:cxnSp macro="">
      <xdr:nvCxnSpPr>
        <xdr:cNvPr id="216" name="Straight Arrow Connector 166">
          <a:extLst>
            <a:ext uri="{FF2B5EF4-FFF2-40B4-BE49-F238E27FC236}">
              <a16:creationId xmlns:a16="http://schemas.microsoft.com/office/drawing/2014/main" id="{63113D6E-426B-4074-8029-2E82FB406EE9}"/>
            </a:ext>
          </a:extLst>
        </xdr:cNvPr>
        <xdr:cNvCxnSpPr>
          <a:cxnSpLocks/>
        </xdr:cNvCxnSpPr>
      </xdr:nvCxnSpPr>
      <xdr:spPr>
        <a:xfrm flipH="1" flipV="1">
          <a:off x="3506765" y="2152098"/>
          <a:ext cx="16566" cy="2061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311058</xdr:colOff>
      <xdr:row>20</xdr:row>
      <xdr:rowOff>112276</xdr:rowOff>
    </xdr:from>
    <xdr:to>
      <xdr:col>11</xdr:col>
      <xdr:colOff>69193</xdr:colOff>
      <xdr:row>21</xdr:row>
      <xdr:rowOff>26634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5E49A05A-BD8E-403B-8A72-39288FA4D64A}"/>
            </a:ext>
          </a:extLst>
        </xdr:cNvPr>
        <xdr:cNvGrpSpPr/>
      </xdr:nvGrpSpPr>
      <xdr:grpSpPr>
        <a:xfrm>
          <a:off x="3665975" y="3107359"/>
          <a:ext cx="139135" cy="62525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745CAC9D-D9E1-4FF7-866E-5840D550CC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145C02FD-1D10-3B04-1512-C35978DDCF3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1D66DD96-2DD0-E6D9-4E85-9EC9ED62372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A47DD96F-6E2E-95FD-4803-685D2531AAB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210746</xdr:colOff>
      <xdr:row>25</xdr:row>
      <xdr:rowOff>123779</xdr:rowOff>
    </xdr:from>
    <xdr:to>
      <xdr:col>15</xdr:col>
      <xdr:colOff>370416</xdr:colOff>
      <xdr:row>26</xdr:row>
      <xdr:rowOff>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>
          <a:off x="1660663" y="3859696"/>
          <a:ext cx="3969670" cy="24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208906</xdr:colOff>
      <xdr:row>16</xdr:row>
      <xdr:rowOff>4307</xdr:rowOff>
    </xdr:from>
    <xdr:to>
      <xdr:col>12</xdr:col>
      <xdr:colOff>231122</xdr:colOff>
      <xdr:row>16</xdr:row>
      <xdr:rowOff>21166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stCxn id="202" idx="1"/>
        </xdr:cNvCxnSpPr>
      </xdr:nvCxnSpPr>
      <xdr:spPr bwMode="auto">
        <a:xfrm flipH="1">
          <a:off x="3563823" y="2406724"/>
          <a:ext cx="784216" cy="1685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197056</xdr:colOff>
      <xdr:row>15</xdr:row>
      <xdr:rowOff>78572</xdr:rowOff>
    </xdr:from>
    <xdr:to>
      <xdr:col>11</xdr:col>
      <xdr:colOff>260501</xdr:colOff>
      <xdr:row>16</xdr:row>
      <xdr:rowOff>69540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 rot="5146563">
          <a:off x="3895128" y="2370667"/>
          <a:ext cx="139135" cy="63445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344187</xdr:colOff>
      <xdr:row>11</xdr:row>
      <xdr:rowOff>75924</xdr:rowOff>
    </xdr:from>
    <xdr:to>
      <xdr:col>15</xdr:col>
      <xdr:colOff>58437</xdr:colOff>
      <xdr:row>14</xdr:row>
      <xdr:rowOff>26789</xdr:rowOff>
    </xdr:to>
    <xdr:sp macro="" textlink="">
      <xdr:nvSpPr>
        <xdr:cNvPr id="240" name="TextBox 157">
          <a:extLst>
            <a:ext uri="{FF2B5EF4-FFF2-40B4-BE49-F238E27FC236}">
              <a16:creationId xmlns:a16="http://schemas.microsoft.com/office/drawing/2014/main" id="{E0CB0D68-F677-45F3-9ADF-42A5A5BA4162}"/>
            </a:ext>
          </a:extLst>
        </xdr:cNvPr>
        <xdr:cNvSpPr txBox="1"/>
      </xdr:nvSpPr>
      <xdr:spPr>
        <a:xfrm>
          <a:off x="4080104" y="1726924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43714</xdr:colOff>
      <xdr:row>12</xdr:row>
      <xdr:rowOff>81446</xdr:rowOff>
    </xdr:from>
    <xdr:to>
      <xdr:col>10</xdr:col>
      <xdr:colOff>32284</xdr:colOff>
      <xdr:row>18</xdr:row>
      <xdr:rowOff>7180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2255631" y="1880613"/>
          <a:ext cx="1131570" cy="8253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47427</xdr:colOff>
      <xdr:row>17</xdr:row>
      <xdr:rowOff>132490</xdr:rowOff>
    </xdr:from>
    <xdr:to>
      <xdr:col>11</xdr:col>
      <xdr:colOff>237948</xdr:colOff>
      <xdr:row>23</xdr:row>
      <xdr:rowOff>14316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4014197">
          <a:off x="3493192" y="2973225"/>
          <a:ext cx="770826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137583</xdr:colOff>
      <xdr:row>27</xdr:row>
      <xdr:rowOff>137583</xdr:rowOff>
    </xdr:from>
    <xdr:to>
      <xdr:col>16</xdr:col>
      <xdr:colOff>137582</xdr:colOff>
      <xdr:row>29</xdr:row>
      <xdr:rowOff>106395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D9F542F-B392-4A55-83BF-F3747844142A}"/>
            </a:ext>
          </a:extLst>
        </xdr:cNvPr>
        <xdr:cNvSpPr txBox="1"/>
      </xdr:nvSpPr>
      <xdr:spPr>
        <a:xfrm>
          <a:off x="825500" y="4169833"/>
          <a:ext cx="4952999" cy="26514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127000</xdr:colOff>
      <xdr:row>26</xdr:row>
      <xdr:rowOff>1</xdr:rowOff>
    </xdr:from>
    <xdr:to>
      <xdr:col>11</xdr:col>
      <xdr:colOff>284278</xdr:colOff>
      <xdr:row>26</xdr:row>
      <xdr:rowOff>136942</xdr:rowOff>
    </xdr:to>
    <xdr:grpSp>
      <xdr:nvGrpSpPr>
        <xdr:cNvPr id="198" name="Group 13">
          <a:extLst>
            <a:ext uri="{FF2B5EF4-FFF2-40B4-BE49-F238E27FC236}">
              <a16:creationId xmlns:a16="http://schemas.microsoft.com/office/drawing/2014/main" id="{54875C95-4BF2-43B8-B7AC-3B8A2794308A}"/>
            </a:ext>
          </a:extLst>
        </xdr:cNvPr>
        <xdr:cNvGrpSpPr/>
      </xdr:nvGrpSpPr>
      <xdr:grpSpPr>
        <a:xfrm>
          <a:off x="3862917" y="3884084"/>
          <a:ext cx="157278" cy="136941"/>
          <a:chOff x="9937028" y="802652"/>
          <a:chExt cx="83991" cy="77961"/>
        </a:xfrm>
      </xdr:grpSpPr>
      <xdr:sp macro="" textlink="">
        <xdr:nvSpPr>
          <xdr:cNvPr id="199" name="Oval 1">
            <a:extLst>
              <a:ext uri="{FF2B5EF4-FFF2-40B4-BE49-F238E27FC236}">
                <a16:creationId xmlns:a16="http://schemas.microsoft.com/office/drawing/2014/main" id="{3F724432-C314-FC26-4D2B-EEDD58D823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0" name="Straight Connector 3">
            <a:extLst>
              <a:ext uri="{FF2B5EF4-FFF2-40B4-BE49-F238E27FC236}">
                <a16:creationId xmlns:a16="http://schemas.microsoft.com/office/drawing/2014/main" id="{A9D4E40E-BE8A-872F-E780-6ED491F8A82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">
            <a:extLst>
              <a:ext uri="{FF2B5EF4-FFF2-40B4-BE49-F238E27FC236}">
                <a16:creationId xmlns:a16="http://schemas.microsoft.com/office/drawing/2014/main" id="{6CFCB669-A019-862D-CD17-66BA3D695D7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317500</xdr:colOff>
      <xdr:row>27</xdr:row>
      <xdr:rowOff>95250</xdr:rowOff>
    </xdr:from>
    <xdr:to>
      <xdr:col>12</xdr:col>
      <xdr:colOff>306070</xdr:colOff>
      <xdr:row>33</xdr:row>
      <xdr:rowOff>105190</xdr:rowOff>
    </xdr:to>
    <xdr:sp macro="" textlink="">
      <xdr:nvSpPr>
        <xdr:cNvPr id="190" name="TextBox 157">
          <a:extLst>
            <a:ext uri="{FF2B5EF4-FFF2-40B4-BE49-F238E27FC236}">
              <a16:creationId xmlns:a16="http://schemas.microsoft.com/office/drawing/2014/main" id="{C3B01C1E-5F1D-465F-84B3-C69BE2BC5184}"/>
            </a:ext>
          </a:extLst>
        </xdr:cNvPr>
        <xdr:cNvSpPr txBox="1"/>
      </xdr:nvSpPr>
      <xdr:spPr>
        <a:xfrm>
          <a:off x="3291417" y="4127500"/>
          <a:ext cx="1131570" cy="8989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PWI06-33A 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303990</xdr:colOff>
      <xdr:row>57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C961BE-D835-6007-A135-8F9033D9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591490" cy="84306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8</xdr:row>
      <xdr:rowOff>0</xdr:rowOff>
    </xdr:from>
    <xdr:to>
      <xdr:col>29</xdr:col>
      <xdr:colOff>22151</xdr:colOff>
      <xdr:row>63</xdr:row>
      <xdr:rowOff>110755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F6F958-35B0-3218-F55B-C435F2496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218314"/>
          <a:ext cx="14730523" cy="86389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2" t="s">
        <v>1133</v>
      </c>
      <c r="C4" s="532"/>
      <c r="D4" s="532"/>
      <c r="E4" s="532"/>
      <c r="F4" s="532"/>
      <c r="G4" s="532"/>
      <c r="H4" s="53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3" t="s">
        <v>0</v>
      </c>
      <c r="C7" s="533" t="s">
        <v>1</v>
      </c>
      <c r="D7" s="534" t="s">
        <v>42</v>
      </c>
      <c r="E7" s="534" t="s">
        <v>43</v>
      </c>
      <c r="F7" s="534" t="s">
        <v>1134</v>
      </c>
      <c r="G7" s="535" t="s">
        <v>41</v>
      </c>
      <c r="H7" s="531" t="s">
        <v>1042</v>
      </c>
      <c r="I7" s="531" t="s">
        <v>1136</v>
      </c>
      <c r="J7" s="531" t="s">
        <v>1026</v>
      </c>
      <c r="K7" s="525" t="s">
        <v>1024</v>
      </c>
      <c r="L7" s="526"/>
    </row>
    <row r="8" spans="1:12" ht="15" customHeight="1">
      <c r="B8" s="533"/>
      <c r="C8" s="533"/>
      <c r="D8" s="534"/>
      <c r="E8" s="534"/>
      <c r="F8" s="534"/>
      <c r="G8" s="535"/>
      <c r="H8" s="531"/>
      <c r="I8" s="531"/>
      <c r="J8" s="531"/>
      <c r="K8" s="527"/>
      <c r="L8" s="528"/>
    </row>
    <row r="9" spans="1:12" ht="15" customHeight="1">
      <c r="B9" s="533"/>
      <c r="C9" s="533"/>
      <c r="D9" s="534"/>
      <c r="E9" s="534"/>
      <c r="F9" s="534"/>
      <c r="G9" s="535"/>
      <c r="H9" s="531"/>
      <c r="I9" s="531"/>
      <c r="J9" s="531"/>
      <c r="K9" s="529"/>
      <c r="L9" s="53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9</v>
      </c>
      <c r="G19" s="41">
        <f ca="1">IF(ISERROR(OFFSET('HARGA SATUAN'!$I$6,MATCH(C19,'HARGA SATUAN'!$C$7:$C$1495,0),0)),"",OFFSET('HARGA SATUAN'!$I$6,MATCH(C19,'HARGA SATUAN'!$C$7:$C$1495,0),0))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3x35+1x35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45</v>
      </c>
      <c r="G20" s="41">
        <f ca="1">IF(ISERROR(OFFSET('HARGA SATUAN'!$I$6,MATCH(C20,'HARGA SATUAN'!$C$7:$C$1495,0),0)),"",OFFSET('HARGA SATUAN'!$I$6,MATCH(C20,'HARGA SATUAN'!$C$7:$C$1495,0),0))</f>
        <v>30400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38">
        <f t="shared" ca="1" si="2"/>
        <v>60</v>
      </c>
      <c r="G21" s="41">
        <f ca="1">IF(ISERROR(OFFSET('HARGA SATUAN'!$I$6,MATCH(C21,'HARGA SATUAN'!$C$7:$C$1495,0),0)),"",OFFSET('HARGA SATUAN'!$I$6,MATCH(C21,'HARGA SATUAN'!$C$7:$C$1495,0),0))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SATUAN'!$C$7:$C$1495,0),0)),"",OFFSET('HARGA SATUAN'!$D$6,MATCH(C22,'HARGA SATUAN'!$C$7:$C$1495,0),0))</f>
        <v>HDW</v>
      </c>
      <c r="E22" s="101" t="str">
        <f ca="1">IF(B22="+","Unit",IF(ISERROR(OFFSET('HARGA SATUAN'!$E$6,MATCH(C22,'HARGA SATUAN'!$C$7:$C$1495,0),0)),"",OFFSET('HARGA SATUAN'!$E$6,MATCH(C22,'HARGA SATUAN'!$C$7:$C$1495,0),0)))</f>
        <v>Unit</v>
      </c>
      <c r="F22" s="138">
        <f t="shared" ca="1" si="2"/>
        <v>1</v>
      </c>
      <c r="G22" s="41">
        <f ca="1">IF(ISERROR(OFFSET('HARGA SATUAN'!$I$6,MATCH(C22,'HARGA SATUAN'!$C$7:$C$1495,0),0)),"",OFFSET('HARGA SATUAN'!$I$6,MATCH(C22,'HARGA SATUAN'!$C$7:$C$1495,0),0))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SUMIFS(RAB!$F$14:$F$143,RAB!$C$14:$C$143,C718)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SUMIFS(RAB!$F$14:$F$143,RAB!$C$14:$C$143,C720)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SUMIFS(RAB!$F$14:$F$143,RAB!$C$14:$C$143,C780)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SUMIFS(RAB!$F$14:$F$143,RAB!$C$14:$C$143,C786)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SUMIFS(RAB!$F$14:$F$143,RAB!$C$14:$C$143,C802)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SUMIFS(RAB!$F$14:$F$143,RAB!$C$14:$C$143,C803)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SUMIFS(RAB!$F$14:$F$143,RAB!$C$14:$C$143,C804)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SUMIFS(RAB!$F$14:$F$143,RAB!$C$14:$C$143,C817)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SUMIFS(RAB!$F$14:$F$143,RAB!$C$14:$C$143,C822)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SUMIFS(RAB!$F$14:$F$143,RAB!$C$14:$C$143,C824)</f>
        <v>2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SUMIFS(RAB!$F$14:$F$143,RAB!$C$14:$C$143,C825)</f>
        <v>1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SUMIFS(RAB!$F$14:$F$143,RAB!$C$14:$C$143,C828)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SUMIFS(RAB!$F$14:$F$143,RAB!$C$14:$C$143,C829)</f>
        <v>9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SUMIFS(RAB!$F$14:$F$143,RAB!$C$14:$C$143,C836)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SUMIFS(RAB!$F$14:$F$143,RAB!$C$14:$C$143,C837)</f>
        <v>45</v>
      </c>
      <c r="E837" s="26">
        <f t="shared" ca="1" si="34"/>
        <v>1</v>
      </c>
      <c r="F837" s="26">
        <f ca="1">IF(D837=0,0,SUM($E$713:E837))</f>
        <v>9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SUMIFS(RAB!$F$14:$F$143,RAB!$C$14:$C$143,C838)</f>
        <v>60</v>
      </c>
      <c r="E838" s="26">
        <f t="shared" ca="1" si="34"/>
        <v>1</v>
      </c>
      <c r="F838" s="26">
        <f ca="1">IF(D838=0,0,SUM($E$713:E838))</f>
        <v>10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SUMIFS(RAB!$F$14:$F$143,RAB!$C$14:$C$143,C852)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SUMIFS(RAB!$F$14:$F$143,RAB!$C$14:$C$143,C854)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1127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0" t="str">
        <f>RAB!G6</f>
        <v>DENNY AFIYANTO</v>
      </c>
      <c r="H6" s="560"/>
      <c r="I6" s="560"/>
      <c r="J6" s="560"/>
      <c r="K6" s="56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KURIPAN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4" t="s">
        <v>41</v>
      </c>
      <c r="H11" s="542" t="s">
        <v>3</v>
      </c>
      <c r="I11" s="542"/>
      <c r="J11" s="542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43"/>
      <c r="E12" s="543"/>
      <c r="F12" s="543"/>
      <c r="G12" s="545"/>
      <c r="H12" s="551" t="s">
        <v>46</v>
      </c>
      <c r="I12" s="551" t="s">
        <v>5</v>
      </c>
      <c r="J12" s="543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43"/>
      <c r="E13" s="543"/>
      <c r="F13" s="543"/>
      <c r="G13" s="546"/>
      <c r="H13" s="552"/>
      <c r="I13" s="552"/>
      <c r="J13" s="543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1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1" t="s">
        <v>1008</v>
      </c>
      <c r="D38" s="561"/>
      <c r="E38" s="561"/>
      <c r="F38" s="561"/>
      <c r="G38" s="77" t="s">
        <v>9</v>
      </c>
      <c r="H38" s="55">
        <f ca="1">SUM(H14:H37)</f>
        <v>0</v>
      </c>
      <c r="I38" s="55">
        <f ca="1">SUM(I14:I37)</f>
        <v>11874400</v>
      </c>
      <c r="J38" s="55">
        <f ca="1">SUM(J14:J37)</f>
        <v>0</v>
      </c>
      <c r="K38" s="55">
        <f ca="1">SUM(K14:K37)</f>
        <v>11874400</v>
      </c>
      <c r="L38" s="44"/>
      <c r="R38" s="99"/>
      <c r="S38" s="99"/>
      <c r="T38" s="99"/>
    </row>
    <row r="39" spans="1:20" s="36" customFormat="1">
      <c r="A39" s="30"/>
      <c r="B39" s="56"/>
      <c r="C39" s="562" t="s">
        <v>462</v>
      </c>
      <c r="D39" s="562"/>
      <c r="E39" s="562"/>
      <c r="F39" s="562"/>
      <c r="G39" s="59" t="s">
        <v>9</v>
      </c>
      <c r="H39" s="60">
        <f ca="1">H38*0.1</f>
        <v>0</v>
      </c>
      <c r="I39" s="60">
        <f ca="1">I38*0.1</f>
        <v>1187440</v>
      </c>
      <c r="J39" s="60">
        <f ca="1">J38*0.1</f>
        <v>0</v>
      </c>
      <c r="K39" s="60">
        <f ca="1">K38*0.1</f>
        <v>1187440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3" t="s">
        <v>463</v>
      </c>
      <c r="D40" s="553"/>
      <c r="E40" s="553"/>
      <c r="F40" s="553"/>
      <c r="G40" s="61" t="s">
        <v>9</v>
      </c>
      <c r="H40" s="78">
        <f ca="1">SUM(H38:H39)</f>
        <v>0</v>
      </c>
      <c r="I40" s="78">
        <f ca="1">SUM(I38:I39)</f>
        <v>13061840</v>
      </c>
      <c r="J40" s="61">
        <f ca="1">SUM(J38:J39)</f>
        <v>0</v>
      </c>
      <c r="K40" s="61">
        <f ca="1">SUM(K38:K39)</f>
        <v>13061840</v>
      </c>
      <c r="L40" s="44"/>
      <c r="R40" s="99"/>
      <c r="S40" s="99"/>
      <c r="T40" s="99"/>
    </row>
    <row r="41" spans="1:20" s="36" customFormat="1">
      <c r="A41" s="30"/>
      <c r="B41" s="554" t="e">
        <f ca="1">"Terbilang : ( "&amp;L42&amp;" Rupiah )"</f>
        <v>#NAME?</v>
      </c>
      <c r="C41" s="555"/>
      <c r="D41" s="555"/>
      <c r="E41" s="555"/>
      <c r="F41" s="555"/>
      <c r="G41" s="555"/>
      <c r="H41" s="555"/>
      <c r="I41" s="555"/>
      <c r="J41" s="555"/>
      <c r="K41" s="556"/>
      <c r="L41" s="44"/>
      <c r="R41" s="58"/>
      <c r="S41" s="58"/>
      <c r="T41" s="58"/>
    </row>
    <row r="42" spans="1:20" s="36" customFormat="1">
      <c r="A42" s="30"/>
      <c r="B42" s="557"/>
      <c r="C42" s="558"/>
      <c r="D42" s="558"/>
      <c r="E42" s="558"/>
      <c r="F42" s="558"/>
      <c r="G42" s="558"/>
      <c r="H42" s="558"/>
      <c r="I42" s="558"/>
      <c r="J42" s="558"/>
      <c r="K42" s="55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8"/>
      <c r="I45" s="548"/>
      <c r="J45" s="549"/>
      <c r="K45" s="54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8"/>
      <c r="I46" s="548"/>
      <c r="J46" s="549"/>
      <c r="K46" s="54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8"/>
      <c r="I47" s="548"/>
      <c r="J47" s="549"/>
      <c r="K47" s="54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8"/>
      <c r="I52" s="548"/>
      <c r="J52" s="549"/>
      <c r="K52" s="54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SUMIFS(RAB!$F$14:$F$143,RAB!$C$14:$C$143,'REKAP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SUMIFS(RAB!$F$14:$F$143,RAB!$C$14:$C$143,'REKAP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1034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0" t="str">
        <f>RAB!G6</f>
        <v>DENNY AFIYANTO</v>
      </c>
      <c r="H6" s="560"/>
      <c r="I6" s="560"/>
      <c r="J6" s="560"/>
      <c r="K6" s="56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KURIPAN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4" t="s">
        <v>41</v>
      </c>
      <c r="H11" s="542" t="s">
        <v>3</v>
      </c>
      <c r="I11" s="542"/>
      <c r="J11" s="542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43"/>
      <c r="E12" s="543"/>
      <c r="F12" s="543"/>
      <c r="G12" s="545"/>
      <c r="H12" s="551" t="s">
        <v>46</v>
      </c>
      <c r="I12" s="551" t="s">
        <v>5</v>
      </c>
      <c r="J12" s="543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43"/>
      <c r="E13" s="543"/>
      <c r="F13" s="543"/>
      <c r="G13" s="546"/>
      <c r="H13" s="552"/>
      <c r="I13" s="552"/>
      <c r="J13" s="543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471800</v>
      </c>
      <c r="I21" s="42">
        <f t="shared" ca="1" si="2"/>
        <v>0</v>
      </c>
      <c r="J21" s="42">
        <f t="shared" ca="1" si="3"/>
        <v>0</v>
      </c>
      <c r="K21" s="43">
        <f t="shared" ca="1" si="0"/>
        <v>471800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176900</v>
      </c>
      <c r="I22" s="42">
        <f t="shared" ca="1" si="2"/>
        <v>0</v>
      </c>
      <c r="J22" s="42">
        <f t="shared" ca="1" si="3"/>
        <v>0</v>
      </c>
      <c r="K22" s="43">
        <f t="shared" ca="1" si="0"/>
        <v>176900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9</v>
      </c>
      <c r="G23" s="41">
        <f ca="1">IF(ISERROR(OFFSET('HARGA SATUAN'!$I$6,MATCH(C23,'HARGA SATUAN'!$C$7:$C$1495,0),0)),"",OFFSET('HARGA SATUAN'!$I$6,MATCH(C23,'HARGA SATUAN'!$C$7:$C$1495,0),0))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3x35+1x35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45</v>
      </c>
      <c r="G24" s="41">
        <f ca="1">IF(ISERROR(OFFSET('HARGA SATUAN'!$I$6,MATCH(C24,'HARGA SATUAN'!$C$7:$C$1495,0),0)),"",OFFSET('HARGA SATUAN'!$I$6,MATCH(C24,'HARGA SATUAN'!$C$7:$C$1495,0),0))</f>
        <v>30400</v>
      </c>
      <c r="H24" s="42">
        <f t="shared" ca="1" si="1"/>
        <v>1368000</v>
      </c>
      <c r="I24" s="42">
        <f t="shared" ca="1" si="2"/>
        <v>0</v>
      </c>
      <c r="J24" s="42">
        <f t="shared" ca="1" si="3"/>
        <v>0</v>
      </c>
      <c r="K24" s="43">
        <f t="shared" ca="1" si="0"/>
        <v>1368000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SATUAN'!$C$7:$C$1495,0),0)),"",OFFSET('HARGA SATUAN'!$D$6,MATCH(C25,'HARGA SATUAN'!$C$7:$C$1495,0),0))</f>
        <v>MDU-KD</v>
      </c>
      <c r="E25" s="101" t="str">
        <f ca="1">IF(B25="+","Unit",IF(ISERROR(OFFSET('HARGA SATUAN'!$E$6,MATCH(C25,'HARGA SATUAN'!$C$7:$C$1495,0),0)),"",OFFSET('HARGA SATUAN'!$E$6,MATCH(C25,'HARGA SATUAN'!$C$7:$C$1495,0),0)))</f>
        <v>Mtr</v>
      </c>
      <c r="F25" s="101">
        <f t="shared" ca="1" si="6"/>
        <v>60</v>
      </c>
      <c r="G25" s="41">
        <f ca="1">IF(ISERROR(OFFSET('HARGA SATUAN'!$I$6,MATCH(C25,'HARGA SATUAN'!$C$7:$C$1495,0),0)),"",OFFSET('HARGA SATUAN'!$I$6,MATCH(C25,'HARGA SATUAN'!$C$7:$C$1495,0),0))</f>
        <v>54500</v>
      </c>
      <c r="H25" s="42">
        <f t="shared" ca="1" si="1"/>
        <v>3270000</v>
      </c>
      <c r="I25" s="42">
        <f t="shared" ca="1" si="2"/>
        <v>0</v>
      </c>
      <c r="J25" s="42">
        <f t="shared" ca="1" si="3"/>
        <v>0</v>
      </c>
      <c r="K25" s="43">
        <f t="shared" ca="1" si="0"/>
        <v>3270000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1" t="s">
        <v>1008</v>
      </c>
      <c r="D168" s="561"/>
      <c r="E168" s="561"/>
      <c r="F168" s="561"/>
      <c r="G168" s="77" t="s">
        <v>9</v>
      </c>
      <c r="H168" s="55">
        <f ca="1">SUM(H14:H167)</f>
        <v>57886450</v>
      </c>
      <c r="I168" s="55">
        <f ca="1">SUM(I14:I167)</f>
        <v>0</v>
      </c>
      <c r="J168" s="55">
        <f ca="1">SUM(J14:J167)</f>
        <v>0</v>
      </c>
      <c r="K168" s="55">
        <f ca="1">SUM(K14:K167)</f>
        <v>57886450</v>
      </c>
      <c r="L168" s="44"/>
      <c r="R168" s="99"/>
      <c r="S168" s="99"/>
      <c r="T168" s="99"/>
    </row>
    <row r="169" spans="1:20" s="36" customFormat="1">
      <c r="A169" s="30"/>
      <c r="B169" s="56"/>
      <c r="C169" s="562" t="s">
        <v>462</v>
      </c>
      <c r="D169" s="562"/>
      <c r="E169" s="562"/>
      <c r="F169" s="562"/>
      <c r="G169" s="59" t="s">
        <v>9</v>
      </c>
      <c r="H169" s="60">
        <f ca="1">H168*0.1</f>
        <v>5788645</v>
      </c>
      <c r="I169" s="60">
        <f ca="1">I168*0.1</f>
        <v>0</v>
      </c>
      <c r="J169" s="60">
        <f ca="1">J168*0.1</f>
        <v>0</v>
      </c>
      <c r="K169" s="60">
        <f ca="1">K168*0.1</f>
        <v>5788645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3" t="s">
        <v>463</v>
      </c>
      <c r="D170" s="553"/>
      <c r="E170" s="553"/>
      <c r="F170" s="553"/>
      <c r="G170" s="61" t="s">
        <v>9</v>
      </c>
      <c r="H170" s="78">
        <f ca="1">SUM(H168:H169)</f>
        <v>63675095</v>
      </c>
      <c r="I170" s="78">
        <f ca="1">SUM(I168:I169)</f>
        <v>0</v>
      </c>
      <c r="J170" s="61">
        <f ca="1">SUM(J168:J169)</f>
        <v>0</v>
      </c>
      <c r="K170" s="61">
        <f ca="1">SUM(K168:K169)</f>
        <v>63675095</v>
      </c>
      <c r="L170" s="44"/>
      <c r="R170" s="99"/>
      <c r="S170" s="99"/>
      <c r="T170" s="99"/>
    </row>
    <row r="171" spans="1:20" s="36" customFormat="1">
      <c r="A171" s="30"/>
      <c r="B171" s="554" t="e">
        <f ca="1">"Terbilang : ( "&amp;L172&amp;" Rupiah )"</f>
        <v>#NAME?</v>
      </c>
      <c r="C171" s="555"/>
      <c r="D171" s="555"/>
      <c r="E171" s="555"/>
      <c r="F171" s="555"/>
      <c r="G171" s="555"/>
      <c r="H171" s="555"/>
      <c r="I171" s="555"/>
      <c r="J171" s="555"/>
      <c r="K171" s="556"/>
      <c r="L171" s="44"/>
      <c r="R171" s="58"/>
      <c r="S171" s="58"/>
      <c r="T171" s="58"/>
    </row>
    <row r="172" spans="1:20" s="36" customFormat="1">
      <c r="A172" s="30"/>
      <c r="B172" s="557"/>
      <c r="C172" s="558"/>
      <c r="D172" s="558"/>
      <c r="E172" s="558"/>
      <c r="F172" s="558"/>
      <c r="G172" s="558"/>
      <c r="H172" s="558"/>
      <c r="I172" s="558"/>
      <c r="J172" s="558"/>
      <c r="K172" s="55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8"/>
      <c r="I175" s="548"/>
      <c r="J175" s="549"/>
      <c r="K175" s="54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8"/>
      <c r="I176" s="548"/>
      <c r="J176" s="549"/>
      <c r="K176" s="54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8"/>
      <c r="I177" s="548"/>
      <c r="J177" s="549"/>
      <c r="K177" s="54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8"/>
      <c r="I182" s="548"/>
      <c r="J182" s="549"/>
      <c r="K182" s="54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SUMIFS(RAB!$F$14:$F$143,RAB!$C$14:$C$143,C228)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SUMIFS(RAB!$F$14:$F$143,RAB!$C$14:$C$143,C230)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SUMIFS(RAB!$F$14:$F$143,RAB!$C$14:$C$143,C290)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SUMIFS(RAB!$F$14:$F$143,RAB!$C$14:$C$143,C296)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SUMIFS(RAB!$F$14:$F$143,RAB!$C$14:$C$143,C312)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SUMIFS(RAB!$F$14:$F$143,RAB!$C$14:$C$143,C313)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SUMIFS(RAB!$F$14:$F$143,RAB!$C$14:$C$143,C314)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SUMIFS(RAB!$F$14:$F$143,RAB!$C$14:$C$143,C327)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SUMIFS(RAB!$F$14:$F$143,RAB!$C$14:$C$143,C332)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SUMIFS(RAB!$F$14:$F$143,RAB!$C$14:$C$143,C334)</f>
        <v>2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SUMIFS(RAB!$F$14:$F$143,RAB!$C$14:$C$143,C335)</f>
        <v>1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SUMIFS(RAB!$F$14:$F$143,RAB!$C$14:$C$143,C338)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SUMIFS(RAB!$F$14:$F$143,RAB!$C$14:$C$143,C339)</f>
        <v>9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SUMIFS(RAB!$F$14:$F$143,RAB!$C$14:$C$143,C346)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SUMIFS(RAB!$F$14:$F$143,RAB!$C$14:$C$143,C347)</f>
        <v>45</v>
      </c>
      <c r="E347" s="24">
        <f t="shared" ca="1" si="22"/>
        <v>1</v>
      </c>
      <c r="F347" s="24">
        <f ca="1">IF(D347=0,0,SUM($E$223:E347))</f>
        <v>9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SUMIFS(RAB!$F$14:$F$143,RAB!$C$14:$C$143,C348)</f>
        <v>60</v>
      </c>
      <c r="E348" s="24">
        <f t="shared" ca="1" si="22"/>
        <v>1</v>
      </c>
      <c r="F348" s="24">
        <f ca="1">IF(D348=0,0,SUM($E$223:E348))</f>
        <v>10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97" activePane="bottomRight" state="frozen"/>
      <selection activeCell="D209" sqref="D209"/>
      <selection pane="topRight" activeCell="D209" sqref="D209"/>
      <selection pane="bottomLeft" activeCell="D209" sqref="D209"/>
      <selection pane="bottomRight" activeCell="C207" sqref="C20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4" t="s">
        <v>41</v>
      </c>
      <c r="C2" s="56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5" t="s">
        <v>23</v>
      </c>
      <c r="C4" s="566" t="s">
        <v>1012</v>
      </c>
      <c r="D4" s="566" t="s">
        <v>42</v>
      </c>
      <c r="E4" s="565" t="s">
        <v>43</v>
      </c>
      <c r="F4" s="108" t="s">
        <v>1599</v>
      </c>
      <c r="G4" s="108" t="s">
        <v>1598</v>
      </c>
      <c r="H4" s="563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5"/>
      <c r="C5" s="566"/>
      <c r="D5" s="566"/>
      <c r="E5" s="565"/>
      <c r="F5" s="93"/>
      <c r="G5" s="93"/>
      <c r="H5" s="563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0" priority="4" operator="equal">
      <formula>0</formula>
    </cfRule>
  </conditionalFormatting>
  <conditionalFormatting sqref="B217 D217:G217">
    <cfRule type="cellIs" dxfId="39" priority="11" operator="equal">
      <formula>0</formula>
    </cfRule>
  </conditionalFormatting>
  <conditionalFormatting sqref="B8:C135">
    <cfRule type="cellIs" dxfId="38" priority="66" operator="equal">
      <formula>0</formula>
    </cfRule>
  </conditionalFormatting>
  <conditionalFormatting sqref="B216:G216">
    <cfRule type="cellIs" dxfId="37" priority="16" operator="equal">
      <formula>0</formula>
    </cfRule>
  </conditionalFormatting>
  <conditionalFormatting sqref="B218:G1496">
    <cfRule type="cellIs" dxfId="36" priority="1" operator="equal">
      <formula>0</formula>
    </cfRule>
  </conditionalFormatting>
  <conditionalFormatting sqref="C143:G149">
    <cfRule type="cellIs" dxfId="35" priority="20" operator="equal">
      <formula>0</formula>
    </cfRule>
  </conditionalFormatting>
  <conditionalFormatting sqref="D9:G142">
    <cfRule type="cellIs" dxfId="34" priority="26" operator="equal">
      <formula>0</formula>
    </cfRule>
  </conditionalFormatting>
  <conditionalFormatting sqref="D1:IV5 A1:C7 D6:K6 H1458:IV1460 H1461:XFD1488 H1489:H1496 I1489:XFD1497 A1497:H1497 A1498:XFD65539">
    <cfRule type="cellIs" dxfId="33" priority="178" operator="equal">
      <formula>0</formula>
    </cfRule>
  </conditionalFormatting>
  <conditionalFormatting sqref="D7:IV8 C136:C142 B136:B149 B150:G213 B214:B215 D214:G215">
    <cfRule type="cellIs" dxfId="32" priority="77" operator="equal">
      <formula>0</formula>
    </cfRule>
  </conditionalFormatting>
  <conditionalFormatting sqref="H9:H1421">
    <cfRule type="cellIs" dxfId="31" priority="3" operator="equal">
      <formula>0</formula>
    </cfRule>
  </conditionalFormatting>
  <conditionalFormatting sqref="H1422:I1457">
    <cfRule type="cellIs" dxfId="30" priority="143" operator="equal">
      <formula>0</formula>
    </cfRule>
  </conditionalFormatting>
  <conditionalFormatting sqref="I108:I1421">
    <cfRule type="cellIs" dxfId="29" priority="2" operator="equal">
      <formula>0</formula>
    </cfRule>
  </conditionalFormatting>
  <conditionalFormatting sqref="I9:IV107">
    <cfRule type="cellIs" dxfId="28" priority="153" operator="equal">
      <formula>0</formula>
    </cfRule>
  </conditionalFormatting>
  <conditionalFormatting sqref="J108:IV1457">
    <cfRule type="cellIs" dxfId="27" priority="5" operator="equal">
      <formula>0</formula>
    </cfRule>
  </conditionalFormatting>
  <conditionalFormatting sqref="M6:IV6">
    <cfRule type="cellIs" dxfId="2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8" t="s">
        <v>1453</v>
      </c>
      <c r="C2" s="598"/>
      <c r="D2" s="598"/>
      <c r="E2" s="59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3" t="s">
        <v>1528</v>
      </c>
      <c r="C4" s="604"/>
      <c r="D4" s="604"/>
      <c r="E4" s="605"/>
      <c r="F4" s="373"/>
      <c r="G4" s="373"/>
      <c r="H4" s="374"/>
      <c r="I4" s="567" t="s">
        <v>1529</v>
      </c>
      <c r="J4" s="568"/>
      <c r="K4" s="568"/>
      <c r="L4" s="569"/>
    </row>
    <row r="5" spans="1:12" ht="34.5" customHeight="1">
      <c r="A5" s="193"/>
      <c r="B5" s="376" t="s">
        <v>1378</v>
      </c>
      <c r="C5" s="224" t="s">
        <v>9</v>
      </c>
      <c r="D5" s="599" t="str">
        <f>DATA!D14</f>
        <v>DENNY AFIYANTO</v>
      </c>
      <c r="E5" s="600"/>
      <c r="F5" s="197"/>
      <c r="G5" s="197"/>
      <c r="I5" s="377" t="s">
        <v>1378</v>
      </c>
      <c r="J5" s="224" t="s">
        <v>9</v>
      </c>
      <c r="K5" s="570" t="str">
        <f>D5</f>
        <v>DENNY AFIYANTO</v>
      </c>
      <c r="L5" s="571"/>
    </row>
    <row r="6" spans="1:12" ht="31.5" customHeight="1">
      <c r="A6" s="193"/>
      <c r="B6" s="376" t="s">
        <v>1525</v>
      </c>
      <c r="C6" s="224" t="s">
        <v>9</v>
      </c>
      <c r="D6" s="608">
        <f>DATA!D17*1000</f>
        <v>0</v>
      </c>
      <c r="E6" s="609"/>
      <c r="F6" s="197"/>
      <c r="G6" s="197"/>
      <c r="I6" s="377" t="s">
        <v>1526</v>
      </c>
      <c r="J6" s="224" t="s">
        <v>9</v>
      </c>
      <c r="K6" s="572">
        <f>DATA!D20*1000</f>
        <v>23000</v>
      </c>
      <c r="L6" s="573"/>
    </row>
    <row r="7" spans="1:12" ht="30.75" customHeight="1">
      <c r="A7" s="193"/>
      <c r="B7" s="376" t="s">
        <v>1440</v>
      </c>
      <c r="C7" s="224" t="s">
        <v>9</v>
      </c>
      <c r="D7" s="606">
        <f>DATA!D18</f>
        <v>1</v>
      </c>
      <c r="E7" s="607"/>
      <c r="F7" s="375" t="s">
        <v>1452</v>
      </c>
      <c r="I7" s="377" t="s">
        <v>1440</v>
      </c>
      <c r="J7" s="224" t="s">
        <v>9</v>
      </c>
      <c r="K7" s="574">
        <f>DATA!D21</f>
        <v>3</v>
      </c>
      <c r="L7" s="575"/>
    </row>
    <row r="8" spans="1:12" ht="51" customHeight="1">
      <c r="A8" s="193"/>
      <c r="B8" s="376" t="s">
        <v>1441</v>
      </c>
      <c r="C8" s="224" t="s">
        <v>9</v>
      </c>
      <c r="D8" s="606">
        <f>DATA!D19</f>
        <v>220</v>
      </c>
      <c r="E8" s="607"/>
      <c r="F8" s="375" t="s">
        <v>1452</v>
      </c>
      <c r="G8" s="370">
        <v>220</v>
      </c>
      <c r="I8" s="377" t="s">
        <v>1441</v>
      </c>
      <c r="J8" s="224" t="s">
        <v>9</v>
      </c>
      <c r="K8" s="574">
        <f>DATA!D22</f>
        <v>380</v>
      </c>
      <c r="L8" s="575"/>
    </row>
    <row r="9" spans="1:12" ht="30" customHeight="1" thickBot="1">
      <c r="A9" s="193"/>
      <c r="B9" s="382" t="s">
        <v>1537</v>
      </c>
      <c r="C9" s="372" t="s">
        <v>9</v>
      </c>
      <c r="D9" s="601">
        <f>IF(D7=1,D6/(380/3^0.5),(D6/(380*3^0.5)))</f>
        <v>0</v>
      </c>
      <c r="E9" s="602"/>
      <c r="F9" s="196"/>
      <c r="G9" s="371">
        <v>380</v>
      </c>
      <c r="I9" s="383" t="s">
        <v>1537</v>
      </c>
      <c r="J9" s="372" t="s">
        <v>9</v>
      </c>
      <c r="K9" s="578">
        <f>IF(K7=1,K6/(380/3^0.5),(K6/(380*3^0.5)))</f>
        <v>34.94488471410893</v>
      </c>
      <c r="L9" s="579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10"/>
      <c r="E12" s="611"/>
      <c r="F12" s="197"/>
      <c r="G12" s="197"/>
      <c r="I12" s="399" t="s">
        <v>1530</v>
      </c>
      <c r="J12" s="400" t="s">
        <v>9</v>
      </c>
      <c r="K12" s="610" t="s">
        <v>1650</v>
      </c>
      <c r="L12" s="611"/>
    </row>
    <row r="13" spans="1:12" ht="31.5" customHeight="1">
      <c r="A13" s="193"/>
      <c r="B13" s="407" t="s">
        <v>1379</v>
      </c>
      <c r="C13" s="387" t="s">
        <v>9</v>
      </c>
      <c r="D13" s="576"/>
      <c r="E13" s="577"/>
      <c r="F13" s="197"/>
      <c r="G13" s="197"/>
      <c r="I13" s="401" t="s">
        <v>1379</v>
      </c>
      <c r="J13" s="387" t="s">
        <v>9</v>
      </c>
      <c r="K13" s="576" t="s">
        <v>1651</v>
      </c>
      <c r="L13" s="577"/>
    </row>
    <row r="14" spans="1:12" ht="30.75" customHeight="1">
      <c r="A14" s="193"/>
      <c r="B14" s="407" t="s">
        <v>1531</v>
      </c>
      <c r="C14" s="387" t="s">
        <v>9</v>
      </c>
      <c r="D14" s="580"/>
      <c r="E14" s="581"/>
      <c r="F14" s="375" t="s">
        <v>1452</v>
      </c>
      <c r="G14" s="379">
        <v>50</v>
      </c>
      <c r="I14" s="401" t="s">
        <v>1531</v>
      </c>
      <c r="J14" s="387" t="s">
        <v>9</v>
      </c>
      <c r="K14" s="582">
        <v>50</v>
      </c>
      <c r="L14" s="583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4">
        <v>0</v>
      </c>
      <c r="E16" s="585"/>
      <c r="F16" s="375"/>
      <c r="G16" s="379">
        <v>160</v>
      </c>
      <c r="I16" s="401" t="s">
        <v>1533</v>
      </c>
      <c r="J16" s="387" t="s">
        <v>9</v>
      </c>
      <c r="K16" s="588">
        <f>K9</f>
        <v>34.94488471410893</v>
      </c>
      <c r="L16" s="58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0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2">
        <f>IF(K15=1,K14/(20/3^0.5),(K14/(20*3^0.5)))</f>
        <v>1.4433756729740645</v>
      </c>
      <c r="L17" s="593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0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2">
        <f>IF(K15=1,K14/(380/3^0.5),(K14/(380*3^0.5)))*1000</f>
        <v>75.96714068284551</v>
      </c>
      <c r="L18" s="593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</v>
      </c>
      <c r="E19" s="587"/>
      <c r="F19" s="196"/>
      <c r="G19" s="371"/>
      <c r="I19" s="403" t="s">
        <v>1527</v>
      </c>
      <c r="J19" s="386" t="s">
        <v>9</v>
      </c>
      <c r="K19" s="592">
        <f>IF(K15=1,K14/(380/3^0.5),(K14/(380*3^0.5)))</f>
        <v>7.5967140682845505E-2</v>
      </c>
      <c r="L19" s="593"/>
    </row>
    <row r="20" spans="1:12" ht="30" customHeight="1" thickBot="1">
      <c r="A20" s="193"/>
      <c r="B20" s="409" t="s">
        <v>1536</v>
      </c>
      <c r="C20" s="405" t="s">
        <v>9</v>
      </c>
      <c r="D20" s="612" t="e">
        <f>D16/D18</f>
        <v>#DIV/0!</v>
      </c>
      <c r="E20" s="613"/>
      <c r="F20" s="196"/>
      <c r="G20" s="371"/>
      <c r="I20" s="404" t="s">
        <v>1527</v>
      </c>
      <c r="J20" s="405" t="s">
        <v>9</v>
      </c>
      <c r="K20" s="590">
        <f>K16/K18</f>
        <v>0.45999999999999996</v>
      </c>
      <c r="L20" s="591"/>
    </row>
    <row r="21" spans="1:12" ht="9.75" customHeight="1">
      <c r="A21" s="193"/>
      <c r="B21" s="394" t="s">
        <v>1536</v>
      </c>
      <c r="C21" s="395" t="s">
        <v>9</v>
      </c>
      <c r="D21" s="597">
        <v>1</v>
      </c>
      <c r="E21" s="597"/>
      <c r="F21" s="396"/>
      <c r="G21" s="397"/>
      <c r="H21" s="398"/>
      <c r="I21" s="394" t="s">
        <v>1527</v>
      </c>
      <c r="J21" s="395" t="s">
        <v>9</v>
      </c>
      <c r="K21" s="597">
        <v>1</v>
      </c>
      <c r="L21" s="59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4"/>
      <c r="C24" s="595"/>
      <c r="D24" s="595"/>
      <c r="E24" s="596"/>
      <c r="I24" s="594"/>
      <c r="J24" s="595"/>
      <c r="K24" s="595"/>
      <c r="L24" s="596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4"/>
      <c r="C1" s="614"/>
      <c r="D1" s="614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RAB!K149</f>
        <v>45722574.175999999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914451.48352000001</v>
      </c>
    </row>
    <row r="12" spans="2:11" ht="9" customHeight="1">
      <c r="B12" s="615"/>
      <c r="C12" s="615"/>
      <c r="D12" s="615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DENNY AFIYANTO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2" t="s">
        <v>1356</v>
      </c>
      <c r="C3" s="622"/>
      <c r="D3" s="622"/>
      <c r="E3" s="622"/>
      <c r="F3" s="252" t="str">
        <f>DATA!D14</f>
        <v>DENNY AFIYANTO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6" t="s">
        <v>1348</v>
      </c>
      <c r="C5" s="616" t="s">
        <v>1357</v>
      </c>
      <c r="D5" s="621" t="s">
        <v>1358</v>
      </c>
      <c r="E5" s="621" t="s">
        <v>1359</v>
      </c>
      <c r="F5" s="616" t="s">
        <v>1360</v>
      </c>
      <c r="G5" s="616"/>
      <c r="H5" s="616"/>
      <c r="I5" s="616"/>
      <c r="J5" s="616"/>
      <c r="K5" s="616" t="s">
        <v>1361</v>
      </c>
      <c r="L5" s="616"/>
      <c r="M5" s="254"/>
      <c r="N5" s="619" t="s">
        <v>1362</v>
      </c>
      <c r="O5" s="621" t="s">
        <v>1363</v>
      </c>
      <c r="P5" s="621" t="s">
        <v>1364</v>
      </c>
      <c r="Q5" s="621" t="s">
        <v>1365</v>
      </c>
      <c r="R5" s="255"/>
      <c r="S5" s="256"/>
      <c r="T5" s="617" t="s">
        <v>1366</v>
      </c>
      <c r="U5" s="257"/>
    </row>
    <row r="6" spans="1:21" ht="20.100000000000001" customHeight="1">
      <c r="B6" s="616"/>
      <c r="C6" s="616"/>
      <c r="D6" s="616"/>
      <c r="E6" s="61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0"/>
      <c r="O6" s="616"/>
      <c r="P6" s="616"/>
      <c r="Q6" s="616"/>
      <c r="R6" s="255"/>
      <c r="S6" s="256"/>
      <c r="T6" s="616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45.722574176000002</v>
      </c>
      <c r="G7" s="265">
        <f ca="1">DATA!$D$11/1000000</f>
        <v>0.91445148352000005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50.716371382182039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-23.11287538218204</v>
      </c>
      <c r="O7" s="261">
        <v>1</v>
      </c>
      <c r="P7" s="263">
        <f ca="1">O7*N7</f>
        <v>-23.11287538218204</v>
      </c>
      <c r="Q7" s="263">
        <f ca="1">P7</f>
        <v>-23.11287538218204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0.91445148352000005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13.152488651506117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2.796999348493884</v>
      </c>
      <c r="O8" s="262">
        <f>1/(1+'[93]Asumsi I'!$C$3)^(KKF!A8)</f>
        <v>0.89285714285714279</v>
      </c>
      <c r="P8" s="263">
        <f ca="1">O8*N8</f>
        <v>2.4973208468695391</v>
      </c>
      <c r="Q8" s="263">
        <f ca="1">Q7+P8</f>
        <v>-20.615554535312501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0.91445148352000005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13.152488651506117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2.796999348493884</v>
      </c>
      <c r="O9" s="269">
        <f>1/(1+'[93]Asumsi I'!$C$3)^(KKF!A9)</f>
        <v>0.79719387755102034</v>
      </c>
      <c r="P9" s="263">
        <f t="shared" ref="P9:P32" ca="1" si="7">O9*N9</f>
        <v>2.2297507561335168</v>
      </c>
      <c r="Q9" s="263">
        <f ca="1">Q8+P9</f>
        <v>-18.385803779178985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0.91445148352000005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13.152488651506117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2.796999348493884</v>
      </c>
      <c r="O10" s="262">
        <f>1/(1+'[93]Asumsi I'!$C$3)^(KKF!A10)</f>
        <v>0.71178024781341087</v>
      </c>
      <c r="P10" s="263">
        <f t="shared" ca="1" si="7"/>
        <v>1.9908488894049254</v>
      </c>
      <c r="Q10" s="263">
        <f t="shared" ref="Q10:Q30" ca="1" si="9">Q9+P10</f>
        <v>-16.394954889774059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0.91445148352000005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13.152488651506117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2.796999348493884</v>
      </c>
      <c r="O11" s="262">
        <f>1/(1+'[93]Asumsi I'!$C$3)^(KKF!A11)</f>
        <v>0.63551807840483121</v>
      </c>
      <c r="P11" s="263">
        <f t="shared" ca="1" si="7"/>
        <v>1.7775436512543981</v>
      </c>
      <c r="Q11" s="263">
        <f t="shared" ca="1" si="9"/>
        <v>-14.617411238519662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0.91445148352000005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13.152488651506117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2.796999348493884</v>
      </c>
      <c r="O12" s="262">
        <f>1/(1+'[93]Asumsi I'!$C$3)^(KKF!A12)</f>
        <v>0.56742685571859919</v>
      </c>
      <c r="P12" s="263">
        <f t="shared" ca="1" si="7"/>
        <v>1.5870925457628551</v>
      </c>
      <c r="Q12" s="263">
        <f t="shared" ca="1" si="9"/>
        <v>-13.030318692756806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0.91445148352000005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13.152488651506117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2.796999348493884</v>
      </c>
      <c r="O13" s="262">
        <f>1/(1+'[93]Asumsi I'!$C$3)^(KKF!A13)</f>
        <v>0.50663112117732068</v>
      </c>
      <c r="P13" s="263">
        <f t="shared" ca="1" si="7"/>
        <v>1.4170469158596919</v>
      </c>
      <c r="Q13" s="263">
        <f t="shared" ca="1" si="9"/>
        <v>-11.613271776897115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0.91445148352000005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13.152488651506117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2.796999348493884</v>
      </c>
      <c r="O14" s="262">
        <f>1/(1+'[93]Asumsi I'!$C$3)^(KKF!A14)</f>
        <v>0.45234921533689343</v>
      </c>
      <c r="P14" s="263">
        <f t="shared" ca="1" si="7"/>
        <v>1.2652204605890105</v>
      </c>
      <c r="Q14" s="263">
        <f t="shared" ca="1" si="9"/>
        <v>-10.348051316308105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0.91445148352000005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13.152488651506117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2.796999348493884</v>
      </c>
      <c r="O15" s="262">
        <f>1/(1+'[93]Asumsi I'!$C$3)^(KKF!A15)</f>
        <v>0.4038832279793691</v>
      </c>
      <c r="P15" s="263">
        <f t="shared" ca="1" si="7"/>
        <v>1.1296611255259021</v>
      </c>
      <c r="Q15" s="263">
        <f t="shared" ca="1" si="9"/>
        <v>-9.2183901907822019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0.91445148352000005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13.152488651506117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2.796999348493884</v>
      </c>
      <c r="O16" s="262">
        <f>1/(1+'[93]Asumsi I'!$C$3)^(KKF!A16)</f>
        <v>0.36061002498157957</v>
      </c>
      <c r="P16" s="263">
        <f t="shared" ca="1" si="7"/>
        <v>1.0086260049338414</v>
      </c>
      <c r="Q16" s="263">
        <f t="shared" ca="1" si="9"/>
        <v>-8.2097641858483605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0.91445148352000005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13.152488651506117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2.796999348493884</v>
      </c>
      <c r="O17" s="262">
        <f>1/(1+'[93]Asumsi I'!$C$3)^(KKF!A17)</f>
        <v>0.32197323659069599</v>
      </c>
      <c r="P17" s="263">
        <f t="shared" ca="1" si="7"/>
        <v>0.9005589329766438</v>
      </c>
      <c r="Q17" s="263">
        <f t="shared" ca="1" si="9"/>
        <v>-7.3092052528717169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0.91445148352000005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13.152488651506117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2.796999348493884</v>
      </c>
      <c r="O18" s="262">
        <f>1/(1+'[93]Asumsi I'!$C$3)^(KKF!A18)</f>
        <v>0.28747610409883567</v>
      </c>
      <c r="P18" s="263">
        <f t="shared" ca="1" si="7"/>
        <v>0.80407047587200331</v>
      </c>
      <c r="Q18" s="263">
        <f t="shared" ca="1" si="9"/>
        <v>-6.5051347769997134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0.91445148352000005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13.152488651506117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2.796999348493884</v>
      </c>
      <c r="O19" s="262">
        <f>1/(1+'[93]Asumsi I'!$C$3)^(KKF!A19)</f>
        <v>0.25667509294538904</v>
      </c>
      <c r="P19" s="263">
        <f t="shared" ca="1" si="7"/>
        <v>0.71792006774286021</v>
      </c>
      <c r="Q19" s="263">
        <f t="shared" ca="1" si="9"/>
        <v>-5.7872147092568529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0.91445148352000005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13.152488651506117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2.796999348493884</v>
      </c>
      <c r="O20" s="262">
        <f>1/(1+'[93]Asumsi I'!$C$3)^(KKF!A20)</f>
        <v>0.22917419012981158</v>
      </c>
      <c r="P20" s="263">
        <f t="shared" ca="1" si="7"/>
        <v>0.64100006048469649</v>
      </c>
      <c r="Q20" s="263">
        <f t="shared" ca="1" si="9"/>
        <v>-5.1462146487721565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0.91445148352000005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13.152488651506117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2.796999348493884</v>
      </c>
      <c r="O21" s="262">
        <f>1/(1+'[93]Asumsi I'!$C$3)^(KKF!A21)</f>
        <v>0.20461981261590317</v>
      </c>
      <c r="P21" s="263">
        <f t="shared" ca="1" si="7"/>
        <v>0.57232148257562176</v>
      </c>
      <c r="Q21" s="263">
        <f t="shared" ca="1" si="9"/>
        <v>-4.5738931661965347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0.91445148352000005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13.152488651506117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2.796999348493884</v>
      </c>
      <c r="O22" s="262">
        <f>1/(1+'[93]Asumsi I'!$C$3)^(KKF!A22)</f>
        <v>0.18269626126419927</v>
      </c>
      <c r="P22" s="263">
        <f t="shared" ca="1" si="7"/>
        <v>0.51100132372823381</v>
      </c>
      <c r="Q22" s="263">
        <f t="shared" ca="1" si="9"/>
        <v>-4.0628918424683009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0.91445148352000005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13.152488651506117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2.796999348493884</v>
      </c>
      <c r="O23" s="262">
        <f>1/(1+'[93]Asumsi I'!$C$3)^(KKF!A23)</f>
        <v>0.16312166184303503</v>
      </c>
      <c r="P23" s="263">
        <f t="shared" ca="1" si="7"/>
        <v>0.45625118190020864</v>
      </c>
      <c r="Q23" s="263">
        <f t="shared" ca="1" si="9"/>
        <v>-3.6066406605680923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0.91445148352000005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13.152488651506117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2.796999348493884</v>
      </c>
      <c r="O24" s="262">
        <f>1/(1+'[93]Asumsi I'!$C$3)^(KKF!A24)</f>
        <v>0.14564434093128129</v>
      </c>
      <c r="P24" s="263">
        <f t="shared" ca="1" si="7"/>
        <v>0.4073671266966149</v>
      </c>
      <c r="Q24" s="263">
        <f t="shared" ca="1" si="9"/>
        <v>-3.1992735338714775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0.91445148352000005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13.152488651506117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2.796999348493884</v>
      </c>
      <c r="O25" s="262">
        <f>1/(1+'[93]Asumsi I'!$C$3)^(KKF!A25)</f>
        <v>0.13003959011721541</v>
      </c>
      <c r="P25" s="263">
        <f t="shared" ca="1" si="7"/>
        <v>0.36372064883626321</v>
      </c>
      <c r="Q25" s="263">
        <f t="shared" ca="1" si="9"/>
        <v>-2.8355528850352143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0.91445148352000005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13.152488651506117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2.796999348493884</v>
      </c>
      <c r="O26" s="262">
        <f>1/(1+'[93]Asumsi I'!$C$3)^(KKF!A26)</f>
        <v>0.1161067768903709</v>
      </c>
      <c r="P26" s="263">
        <f t="shared" ca="1" si="7"/>
        <v>0.32475057931809215</v>
      </c>
      <c r="Q26" s="263">
        <f t="shared" ca="1" si="9"/>
        <v>-2.5108023057171223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0.91445148352000005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13.152488651506117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2.796999348493884</v>
      </c>
      <c r="O27" s="262">
        <f>1/(1+'[93]Asumsi I'!$C$3)^(KKF!A27)</f>
        <v>0.1036667650806883</v>
      </c>
      <c r="P27" s="263">
        <f t="shared" ca="1" si="7"/>
        <v>0.28995587439115367</v>
      </c>
      <c r="Q27" s="263">
        <f t="shared" ca="1" si="9"/>
        <v>-2.2208464313259686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0.91445148352000005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13.152488651506117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2.796999348493884</v>
      </c>
      <c r="O28" s="262">
        <f>1/(1+'[93]Asumsi I'!$C$3)^(KKF!A28)</f>
        <v>9.2559611679185971E-2</v>
      </c>
      <c r="P28" s="263">
        <f t="shared" ca="1" si="7"/>
        <v>0.25888917356353008</v>
      </c>
      <c r="Q28" s="263">
        <f t="shared" ca="1" si="9"/>
        <v>-1.9619572577624385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0.91445148352000005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13.152488651506117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2.796999348493884</v>
      </c>
      <c r="O29" s="262">
        <f>1/(1+'[93]Asumsi I'!$C$3)^(KKF!A29)</f>
        <v>8.2642510427844609E-2</v>
      </c>
      <c r="P29" s="263">
        <f t="shared" ca="1" si="7"/>
        <v>0.23115104782458037</v>
      </c>
      <c r="Q29" s="263">
        <f t="shared" ca="1" si="9"/>
        <v>-1.7308062099378581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0.91445148352000005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13.152488651506117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2.796999348493884</v>
      </c>
      <c r="O30" s="262">
        <f>1/(1+'[93]Asumsi I'!$C$3)^(KKF!A30)</f>
        <v>7.3787955739146982E-2</v>
      </c>
      <c r="P30" s="263">
        <f t="shared" ca="1" si="7"/>
        <v>0.20638486412908966</v>
      </c>
      <c r="Q30" s="263">
        <f t="shared" ca="1" si="9"/>
        <v>-1.5244213458087683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0.91445148352000005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13.152488651506117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2.796999348493884</v>
      </c>
      <c r="O31" s="262">
        <f>1/(1+'[93]Asumsi I'!$C$3)^(KKF!A31)</f>
        <v>6.5882103338524081E-2</v>
      </c>
      <c r="P31" s="263">
        <f t="shared" ca="1" si="7"/>
        <v>0.18427220011525861</v>
      </c>
      <c r="Q31" s="263">
        <f ca="1">Q30+P31</f>
        <v>-1.3401491456935097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0.91445148352000005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13.152488651506117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2.796999348493884</v>
      </c>
      <c r="O32" s="262">
        <f>1/(1+'[93]Asumsi I'!$C$3)^(KKF!A32)</f>
        <v>5.8823306552253637E-2</v>
      </c>
      <c r="P32" s="263">
        <f t="shared" ca="1" si="7"/>
        <v>0.16452875010290943</v>
      </c>
      <c r="Q32" s="263">
        <f ca="1">Q31+P32</f>
        <v>-1.1756203955906004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8" t="s">
        <v>1373</v>
      </c>
      <c r="G33" s="618"/>
      <c r="H33" s="618"/>
      <c r="I33" s="271"/>
      <c r="J33" s="272">
        <f ca="1">SUM(J7:J32)</f>
        <v>379.52858766983496</v>
      </c>
      <c r="K33" s="618" t="s">
        <v>1374</v>
      </c>
      <c r="L33" s="618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18.132421592980194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1.1233427727212166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-1.0496610674916089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0.11261623690455913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64"/>
  <sheetViews>
    <sheetView showGridLines="0" tabSelected="1" zoomScale="70" zoomScaleNormal="70" zoomScaleSheetLayoutView="70" workbookViewId="0">
      <pane ySplit="13" topLeftCell="A134" activePane="bottomLeft" state="frozen"/>
      <selection activeCell="H1093" sqref="H1093"/>
      <selection pane="bottomLeft" activeCell="J7" sqref="J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2" t="s">
        <v>1036</v>
      </c>
      <c r="P3" s="642"/>
      <c r="Q3" s="293"/>
      <c r="T3" s="291"/>
      <c r="U3" s="292" t="s">
        <v>1041</v>
      </c>
      <c r="V3" s="291"/>
    </row>
    <row r="4" spans="1:22" ht="15.75" customHeight="1">
      <c r="B4" s="643" t="s">
        <v>1023</v>
      </c>
      <c r="C4" s="643"/>
      <c r="D4" s="643"/>
      <c r="E4" s="643"/>
      <c r="F4" s="643"/>
      <c r="G4" s="643"/>
      <c r="H4" s="643"/>
      <c r="I4" s="643"/>
      <c r="J4" s="643"/>
      <c r="K4" s="643"/>
      <c r="O4" s="642"/>
      <c r="P4" s="64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5" t="s">
        <v>1647</v>
      </c>
      <c r="H6" s="626"/>
      <c r="I6" s="626"/>
      <c r="J6" s="626"/>
      <c r="K6" s="62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5" t="s">
        <v>0</v>
      </c>
      <c r="C11" s="647" t="s">
        <v>1</v>
      </c>
      <c r="D11" s="636" t="s">
        <v>42</v>
      </c>
      <c r="E11" s="636" t="s">
        <v>43</v>
      </c>
      <c r="F11" s="636" t="s">
        <v>2</v>
      </c>
      <c r="G11" s="650" t="s">
        <v>41</v>
      </c>
      <c r="H11" s="636" t="s">
        <v>3</v>
      </c>
      <c r="I11" s="636"/>
      <c r="J11" s="636"/>
      <c r="K11" s="63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6"/>
      <c r="C12" s="648"/>
      <c r="D12" s="640"/>
      <c r="E12" s="640"/>
      <c r="F12" s="640"/>
      <c r="G12" s="651"/>
      <c r="H12" s="638" t="s">
        <v>46</v>
      </c>
      <c r="I12" s="638" t="s">
        <v>5</v>
      </c>
      <c r="J12" s="640" t="s">
        <v>47</v>
      </c>
      <c r="K12" s="64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6"/>
      <c r="C13" s="649"/>
      <c r="D13" s="640"/>
      <c r="E13" s="640"/>
      <c r="F13" s="640"/>
      <c r="G13" s="652"/>
      <c r="H13" s="639"/>
      <c r="I13" s="639"/>
      <c r="J13" s="640"/>
      <c r="K13" s="64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1" ca="1" si="0">IF(OR(D14="MDU",D14="MDU-KD"),(IF($O$3="RAB NON MDU","PLN KD",G14*F14)),0)</f>
        <v>0</v>
      </c>
      <c r="I14" s="308">
        <f t="shared" ref="I14:I21" ca="1" si="1">IF(D14="HDW",G14*F14,0)</f>
        <v>0</v>
      </c>
      <c r="J14" s="308">
        <f t="shared" ref="J14:J21" ca="1" si="2">IF(D14="JASA",G14*F14,0)</f>
        <v>0</v>
      </c>
      <c r="K14" s="309">
        <f t="shared" ref="K14:K21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ca="1">IF(OR(D15="MDU",D15="MDU-KD"),(IF($O$3="RAB NON MDU","PLN KD",G15*F15)),0)</f>
        <v>0</v>
      </c>
      <c r="I15" s="308">
        <f ca="1">IF(D15="HDW",G15*F15,0)</f>
        <v>0</v>
      </c>
      <c r="J15" s="308">
        <f ca="1">IF(D15="JASA",G15*F15,0)</f>
        <v>0</v>
      </c>
      <c r="K15" s="309">
        <f ca="1">SUM(H15:J15)</f>
        <v>0</v>
      </c>
      <c r="L15" s="289"/>
      <c r="M15" s="289" t="str">
        <f t="shared" ref="M15:M22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ref="H16:H17" ca="1" si="5">IF(OR(D16="MDU",D16="MDU-KD"),(IF($O$3="RAB NON MDU","PLN KD",G16*F16)),0)</f>
        <v>0</v>
      </c>
      <c r="I16" s="308">
        <f t="shared" ref="I16:I17" ca="1" si="6">IF(D16="HDW",G16*F16,0)</f>
        <v>0</v>
      </c>
      <c r="J16" s="308">
        <f t="shared" ref="J16:J17" ca="1" si="7">IF(D16="JASA",G16*F16,0)</f>
        <v>0</v>
      </c>
      <c r="K16" s="309">
        <f t="shared" ref="K16:K17" ca="1" si="8">SUM(H16:J16)</f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t="shared" ca="1" si="5"/>
        <v>0</v>
      </c>
      <c r="I17" s="308">
        <f t="shared" ca="1" si="6"/>
        <v>5800000</v>
      </c>
      <c r="J17" s="308">
        <f t="shared" ca="1" si="7"/>
        <v>0</v>
      </c>
      <c r="K17" s="309">
        <f t="shared" ca="1" si="8"/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 t="s">
        <v>104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6074400</v>
      </c>
      <c r="H18" s="308">
        <f ca="1">IF(OR(D18="MDU",D18="MDU-KD"),(IF($O$3="RAB NON MDU","PLN KD",G18*F18)),0)</f>
        <v>0</v>
      </c>
      <c r="I18" s="308">
        <f ca="1">IF(D18="HDW",G18*F18,0)</f>
        <v>6074400</v>
      </c>
      <c r="J18" s="308">
        <f ca="1">IF(D18="JASA",G18*F18,0)</f>
        <v>0</v>
      </c>
      <c r="K18" s="309">
        <f ca="1">SUM(H18:J18)</f>
        <v>6074400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/>
      <c r="C19" s="109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20">
        <v>2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ca="1">IF(OR(D19="MDU",D19="MDU-KD"),(IF($O$3="RAB NON MDU","PLN KD",G19*F19)),0)</f>
        <v>0</v>
      </c>
      <c r="I19" s="308">
        <f ca="1">IF(D19="HDW",G19*F19,0)</f>
        <v>0</v>
      </c>
      <c r="J19" s="308">
        <f ca="1">IF(D19="JASA",G19*F19,0)</f>
        <v>20133.333333333336</v>
      </c>
      <c r="K19" s="309">
        <f ca="1">SUM(H19:J19)</f>
        <v>20133.333333333336</v>
      </c>
      <c r="L19" s="289"/>
      <c r="M19" s="289" t="str">
        <f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1601</v>
      </c>
      <c r="C20" s="422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2" t="s">
        <v>1035</v>
      </c>
      <c r="C21" s="463" t="s">
        <v>1631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53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62">
        <v>1</v>
      </c>
      <c r="C22" s="727" t="s">
        <v>1145</v>
      </c>
      <c r="D22" s="726" t="s">
        <v>1652</v>
      </c>
      <c r="E22" s="728" t="str">
        <f ca="1">IF(B22="+","Unit",IF(ISERROR(OFFSET('HARGA SATUAN'!$E$6,MATCH(RAB!C22,'HARGA SATUAN'!$C$7:$C$1495,0),0)),"",OFFSET('HARGA SATUAN'!$E$6,MATCH(RAB!C22,'HARGA SATUAN'!$C$7:$C$1495,0),0)))</f>
        <v>Bh</v>
      </c>
      <c r="F22" s="729">
        <f>F21*1</f>
        <v>1</v>
      </c>
      <c r="G22" s="730">
        <f ca="1">IF(ISERROR(OFFSET('HARGA SATUAN'!$I$6,MATCH(RAB!C22,'HARGA SATUAN'!$C$7:$C$1495,0),0)),0,OFFSET('HARGA SATUAN'!$I$6,MATCH(RAB!C22,'HARGA SATUAN'!$C$7:$C$1495,0),0))</f>
        <v>42757200</v>
      </c>
      <c r="H22" s="308">
        <f t="shared" ref="H22:H67" si="9">IF(OR(D22="MDU",D22="MDU-KD"),(IF($O$3="RAB NON MDU","PLN KD",G22*F22)),0)</f>
        <v>0</v>
      </c>
      <c r="I22" s="308">
        <f t="shared" ref="I22:I67" si="10">IF(D22="HDW",G22*F22,0)</f>
        <v>0</v>
      </c>
      <c r="J22" s="308">
        <f t="shared" ref="J22:J67" si="11">IF(D22="JASA",G22*F22,0)</f>
        <v>0</v>
      </c>
      <c r="K22" s="309">
        <f t="shared" ref="K22:K67" si="12">SUM(H22:J22)</f>
        <v>0</v>
      </c>
      <c r="L22" s="316"/>
      <c r="M22" s="289" t="str">
        <f t="shared" si="4"/>
        <v>WARNING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52">
        <v>2</v>
      </c>
      <c r="C23" s="464" t="s">
        <v>1615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5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ref="M23:M40" ca="1" si="13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2"/>
      <c r="C24" s="464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3">
        <f>F21*(3*3)</f>
        <v>9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9"/>
        <v>127800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127800</v>
      </c>
      <c r="L24" s="316"/>
      <c r="M24" s="289" t="str">
        <f t="shared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2"/>
      <c r="C25" s="464" t="s">
        <v>1629</v>
      </c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3">
        <f>F21*3</f>
        <v>3</v>
      </c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>WARNING</v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>
        <v>3</v>
      </c>
      <c r="C26" s="109" t="s">
        <v>559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F21*3</f>
        <v>3</v>
      </c>
      <c r="G26" s="307">
        <f ca="1">IF(ISERROR(OFFSET('HARGA SATUAN'!$I$6,MATCH(RAB!C26,'HARGA SATUAN'!$C$7:$C$1495,0),0)),0,OFFSET('HARGA SATUAN'!$I$6,MATCH(RAB!C26,'HARGA SATUAN'!$C$7:$C$1495,0),0))</f>
        <v>725900</v>
      </c>
      <c r="H26" s="308">
        <f t="shared" ca="1" si="9"/>
        <v>2177700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2177700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2">
        <v>4</v>
      </c>
      <c r="C27" s="463" t="s">
        <v>535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F21*3</f>
        <v>3</v>
      </c>
      <c r="G27" s="307">
        <f ca="1">IF(ISERROR(OFFSET('HARGA SATUAN'!$I$6,MATCH(RAB!C27,'HARGA SATUAN'!$C$7:$C$1495,0),0)),0,OFFSET('HARGA SATUAN'!$I$6,MATCH(RAB!C27,'HARGA SATUAN'!$C$7:$C$1495,0),0))</f>
        <v>848250</v>
      </c>
      <c r="H27" s="308">
        <f t="shared" ca="1" si="9"/>
        <v>2544750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2544750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2">
        <v>5</v>
      </c>
      <c r="C28" s="463" t="s">
        <v>537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F21*3</f>
        <v>3</v>
      </c>
      <c r="G28" s="307">
        <f ca="1">IF(ISERROR(OFFSET('HARGA SATUAN'!$I$6,MATCH(RAB!C28,'HARGA SATUAN'!$C$7:$C$1495,0),0)),0,OFFSET('HARGA SATUAN'!$I$6,MATCH(RAB!C28,'HARGA SATUAN'!$C$7:$C$1495,0),0))</f>
        <v>17500</v>
      </c>
      <c r="H28" s="308">
        <f t="shared" ca="1" si="9"/>
        <v>0</v>
      </c>
      <c r="I28" s="308">
        <f t="shared" ca="1" si="10"/>
        <v>52500</v>
      </c>
      <c r="J28" s="308">
        <f t="shared" ca="1" si="11"/>
        <v>0</v>
      </c>
      <c r="K28" s="309">
        <f t="shared" ca="1" si="12"/>
        <v>52500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2">
        <v>6</v>
      </c>
      <c r="C29" s="463" t="s">
        <v>1617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F21*13</f>
        <v>13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9"/>
        <v>0</v>
      </c>
      <c r="I29" s="308">
        <f t="shared" ca="1" si="10"/>
        <v>637000</v>
      </c>
      <c r="J29" s="308">
        <f t="shared" ca="1" si="11"/>
        <v>0</v>
      </c>
      <c r="K29" s="309">
        <f t="shared" ca="1" si="12"/>
        <v>637000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2">
        <v>7</v>
      </c>
      <c r="C30" s="463" t="s">
        <v>163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F21*28</f>
        <v>28</v>
      </c>
      <c r="G30" s="307">
        <f ca="1">IF(ISERROR(OFFSET('HARGA SATUAN'!$I$6,MATCH(RAB!C30,'HARGA SATUAN'!$C$7:$C$1495,0),0)),0,OFFSET('HARGA SATUAN'!$I$6,MATCH(RAB!C30,'HARGA SATUAN'!$C$7:$C$1495,0),0))</f>
        <v>7938</v>
      </c>
      <c r="H30" s="308">
        <f t="shared" ca="1" si="9"/>
        <v>0</v>
      </c>
      <c r="I30" s="308">
        <f t="shared" ca="1" si="10"/>
        <v>222264</v>
      </c>
      <c r="J30" s="308">
        <f t="shared" ca="1" si="11"/>
        <v>0</v>
      </c>
      <c r="K30" s="309">
        <f t="shared" ca="1" si="12"/>
        <v>222264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2">
        <v>8</v>
      </c>
      <c r="C31" s="463" t="s">
        <v>176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F21*2</f>
        <v>2</v>
      </c>
      <c r="G31" s="307">
        <f ca="1">IF(ISERROR(OFFSET('HARGA SATUAN'!$I$6,MATCH(RAB!C31,'HARGA SATUAN'!$C$7:$C$1495,0),0)),0,OFFSET('HARGA SATUAN'!$I$6,MATCH(RAB!C31,'HARGA SATUAN'!$C$7:$C$1495,0),0))</f>
        <v>404600</v>
      </c>
      <c r="H31" s="308">
        <f t="shared" ca="1" si="9"/>
        <v>0</v>
      </c>
      <c r="I31" s="308">
        <f t="shared" ca="1" si="10"/>
        <v>809200</v>
      </c>
      <c r="J31" s="308">
        <f t="shared" ca="1" si="11"/>
        <v>0</v>
      </c>
      <c r="K31" s="309">
        <f t="shared" ca="1" si="12"/>
        <v>809200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2">
        <v>9</v>
      </c>
      <c r="C32" s="463" t="s">
        <v>184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F21*3</f>
        <v>3</v>
      </c>
      <c r="G32" s="307">
        <f ca="1">IF(ISERROR(OFFSET('HARGA SATUAN'!$I$6,MATCH(RAB!C32,'HARGA SATUAN'!$C$7:$C$1495,0),0)),0,OFFSET('HARGA SATUAN'!$I$6,MATCH(RAB!C32,'HARGA SATUAN'!$C$7:$C$1495,0),0))</f>
        <v>15900</v>
      </c>
      <c r="H32" s="308">
        <f t="shared" ca="1" si="9"/>
        <v>0</v>
      </c>
      <c r="I32" s="308">
        <f t="shared" ca="1" si="10"/>
        <v>47700</v>
      </c>
      <c r="J32" s="308">
        <f t="shared" ca="1" si="11"/>
        <v>0</v>
      </c>
      <c r="K32" s="309">
        <f t="shared" ca="1" si="12"/>
        <v>47700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>
        <v>10</v>
      </c>
      <c r="C33" s="463" t="s">
        <v>592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F21*5</f>
        <v>5</v>
      </c>
      <c r="G33" s="307">
        <f ca="1">IF(ISERROR(OFFSET('HARGA SATUAN'!$I$6,MATCH(RAB!C33,'HARGA SATUAN'!$C$7:$C$1495,0),0)),0,OFFSET('HARGA SATUAN'!$I$6,MATCH(RAB!C33,'HARGA SATUAN'!$C$7:$C$1495,0),0))</f>
        <v>283100</v>
      </c>
      <c r="H33" s="308">
        <f t="shared" ca="1" si="9"/>
        <v>0</v>
      </c>
      <c r="I33" s="308">
        <f t="shared" ca="1" si="10"/>
        <v>1415500</v>
      </c>
      <c r="J33" s="308">
        <f t="shared" ca="1" si="11"/>
        <v>0</v>
      </c>
      <c r="K33" s="309">
        <f t="shared" ca="1" si="12"/>
        <v>1415500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2">
        <v>11</v>
      </c>
      <c r="C34" s="463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F21*4</f>
        <v>4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9"/>
        <v>0</v>
      </c>
      <c r="I34" s="308">
        <f t="shared" ca="1" si="10"/>
        <v>1522000</v>
      </c>
      <c r="J34" s="308">
        <f t="shared" ca="1" si="11"/>
        <v>0</v>
      </c>
      <c r="K34" s="309">
        <f t="shared" ca="1" si="12"/>
        <v>1522000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2">
        <v>12</v>
      </c>
      <c r="C35" s="463" t="s">
        <v>208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F21*3</f>
        <v>3</v>
      </c>
      <c r="G35" s="307">
        <f ca="1">IF(ISERROR(OFFSET('HARGA SATUAN'!$I$6,MATCH(RAB!C35,'HARGA SATUAN'!$C$7:$C$1495,0),0)),0,OFFSET('HARGA SATUAN'!$I$6,MATCH(RAB!C35,'HARGA SATUAN'!$C$7:$C$1495,0),0))</f>
        <v>173400</v>
      </c>
      <c r="H35" s="308">
        <f t="shared" ca="1" si="9"/>
        <v>0</v>
      </c>
      <c r="I35" s="308">
        <f t="shared" ca="1" si="10"/>
        <v>520200</v>
      </c>
      <c r="J35" s="308">
        <f t="shared" ca="1" si="11"/>
        <v>0</v>
      </c>
      <c r="K35" s="309">
        <f t="shared" ca="1" si="12"/>
        <v>520200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2">
        <v>13</v>
      </c>
      <c r="C36" s="463" t="s">
        <v>247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F21*2</f>
        <v>2</v>
      </c>
      <c r="G36" s="307">
        <f ca="1">IF(ISERROR(OFFSET('HARGA SATUAN'!$I$6,MATCH(RAB!C36,'HARGA SATUAN'!$C$7:$C$1495,0),0)),0,OFFSET('HARGA SATUAN'!$I$6,MATCH(RAB!C36,'HARGA SATUAN'!$C$7:$C$1495,0),0))</f>
        <v>57690</v>
      </c>
      <c r="H36" s="308">
        <f t="shared" ca="1" si="9"/>
        <v>0</v>
      </c>
      <c r="I36" s="308">
        <f t="shared" ca="1" si="10"/>
        <v>115380</v>
      </c>
      <c r="J36" s="308">
        <f t="shared" ca="1" si="11"/>
        <v>0</v>
      </c>
      <c r="K36" s="309">
        <f t="shared" ca="1" si="12"/>
        <v>115380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2">
        <v>14</v>
      </c>
      <c r="C37" s="463" t="s">
        <v>234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F21*2</f>
        <v>2</v>
      </c>
      <c r="G37" s="307">
        <f ca="1">IF(ISERROR(OFFSET('HARGA SATUAN'!$I$6,MATCH(RAB!C37,'HARGA SATUAN'!$C$7:$C$1495,0),0)),0,OFFSET('HARGA SATUAN'!$I$6,MATCH(RAB!C37,'HARGA SATUAN'!$C$7:$C$1495,0),0))</f>
        <v>67500</v>
      </c>
      <c r="H37" s="308">
        <f t="shared" ca="1" si="9"/>
        <v>0</v>
      </c>
      <c r="I37" s="308">
        <f t="shared" ca="1" si="10"/>
        <v>135000</v>
      </c>
      <c r="J37" s="308">
        <f t="shared" ca="1" si="11"/>
        <v>0</v>
      </c>
      <c r="K37" s="309">
        <f t="shared" ca="1" si="12"/>
        <v>135000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2">
        <v>15</v>
      </c>
      <c r="C38" s="463" t="s">
        <v>267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3">
        <f>F21*4</f>
        <v>4</v>
      </c>
      <c r="G38" s="307">
        <f ca="1">IF(ISERROR(OFFSET('HARGA SATUAN'!$I$6,MATCH(RAB!C38,'HARGA SATUAN'!$C$7:$C$1495,0),0)),0,OFFSET('HARGA SATUAN'!$I$6,MATCH(RAB!C38,'HARGA SATUAN'!$C$7:$C$1495,0),0))</f>
        <v>129000</v>
      </c>
      <c r="H38" s="308">
        <f t="shared" ca="1" si="9"/>
        <v>0</v>
      </c>
      <c r="I38" s="308">
        <f t="shared" ca="1" si="10"/>
        <v>516000</v>
      </c>
      <c r="J38" s="308">
        <f t="shared" ca="1" si="11"/>
        <v>0</v>
      </c>
      <c r="K38" s="309">
        <f t="shared" ca="1" si="12"/>
        <v>516000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2">
        <v>16</v>
      </c>
      <c r="C39" s="463" t="s">
        <v>607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3">
        <f>F21*1</f>
        <v>1</v>
      </c>
      <c r="G39" s="307">
        <f ca="1">IF(ISERROR(OFFSET('HARGA SATUAN'!$I$6,MATCH(RAB!C39,'HARGA SATUAN'!$C$7:$C$1495,0),0)),0,OFFSET('HARGA SATUAN'!$I$6,MATCH(RAB!C39,'HARGA SATUAN'!$C$7:$C$1495,0),0))</f>
        <v>250000</v>
      </c>
      <c r="H39" s="308">
        <f t="shared" ca="1" si="9"/>
        <v>0</v>
      </c>
      <c r="I39" s="308">
        <f t="shared" ca="1" si="10"/>
        <v>250000</v>
      </c>
      <c r="J39" s="308">
        <f t="shared" ca="1" si="11"/>
        <v>0</v>
      </c>
      <c r="K39" s="309">
        <f t="shared" ca="1" si="12"/>
        <v>250000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2">
        <v>17</v>
      </c>
      <c r="C40" s="463" t="s">
        <v>783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3">
        <v>1</v>
      </c>
      <c r="G40" s="307">
        <f ca="1">IF(ISERROR(OFFSET('HARGA SATUAN'!$I$6,MATCH(RAB!C40,'HARGA SATUAN'!$C$7:$C$1495,0),0)),0,OFFSET('HARGA SATUAN'!$I$6,MATCH(RAB!C40,'HARGA SATUAN'!$C$7:$C$1495,0),0))</f>
        <v>1182800</v>
      </c>
      <c r="H40" s="308">
        <f t="shared" ca="1" si="9"/>
        <v>0</v>
      </c>
      <c r="I40" s="308">
        <f t="shared" ca="1" si="10"/>
        <v>0</v>
      </c>
      <c r="J40" s="308">
        <f t="shared" ca="1" si="11"/>
        <v>1182800</v>
      </c>
      <c r="K40" s="309">
        <f t="shared" ca="1" si="12"/>
        <v>1182800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62"/>
      <c r="C41" s="463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9" t="s">
        <v>1035</v>
      </c>
      <c r="C42" s="520" t="s">
        <v>1634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53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9">
        <v>1</v>
      </c>
      <c r="C43" s="520" t="s">
        <v>595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3">
        <f>F42*1</f>
        <v>2</v>
      </c>
      <c r="G43" s="307">
        <f ca="1">IF(ISERROR(OFFSET('HARGA SATUAN'!$I$6,MATCH(RAB!C43,'HARGA SATUAN'!$C$7:$C$1495,0),0)),0,OFFSET('HARGA SATUAN'!$I$6,MATCH(RAB!C43,'HARGA SATUAN'!$C$7:$C$1495,0),0))</f>
        <v>78500</v>
      </c>
      <c r="H43" s="308">
        <f t="shared" ca="1" si="9"/>
        <v>0</v>
      </c>
      <c r="I43" s="308">
        <f t="shared" ca="1" si="10"/>
        <v>157000</v>
      </c>
      <c r="J43" s="308">
        <f t="shared" ca="1" si="11"/>
        <v>0</v>
      </c>
      <c r="K43" s="309">
        <f t="shared" ca="1" si="12"/>
        <v>157000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9">
        <v>2</v>
      </c>
      <c r="C44" s="520" t="s">
        <v>229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3">
        <f>F42*1</f>
        <v>2</v>
      </c>
      <c r="G44" s="307">
        <f ca="1">IF(ISERROR(OFFSET('HARGA SATUAN'!$I$6,MATCH(RAB!C44,'HARGA SATUAN'!$C$7:$C$1495,0),0)),0,OFFSET('HARGA SATUAN'!$I$6,MATCH(RAB!C44,'HARGA SATUAN'!$C$7:$C$1495,0),0))</f>
        <v>4212</v>
      </c>
      <c r="H44" s="308">
        <f t="shared" ca="1" si="9"/>
        <v>0</v>
      </c>
      <c r="I44" s="308">
        <f t="shared" ca="1" si="10"/>
        <v>8424</v>
      </c>
      <c r="J44" s="308">
        <f t="shared" ca="1" si="11"/>
        <v>0</v>
      </c>
      <c r="K44" s="309">
        <f t="shared" ca="1" si="12"/>
        <v>8424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9">
        <v>3</v>
      </c>
      <c r="C45" s="520" t="s">
        <v>266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53">
        <f>F42*1</f>
        <v>2</v>
      </c>
      <c r="G45" s="307">
        <f ca="1">IF(ISERROR(OFFSET('HARGA SATUAN'!$I$6,MATCH(RAB!C45,'HARGA SATUAN'!$C$7:$C$1495,0),0)),0,OFFSET('HARGA SATUAN'!$I$6,MATCH(RAB!C45,'HARGA SATUAN'!$C$7:$C$1495,0),0))</f>
        <v>23310</v>
      </c>
      <c r="H45" s="308">
        <f t="shared" ca="1" si="9"/>
        <v>0</v>
      </c>
      <c r="I45" s="308">
        <f t="shared" ca="1" si="10"/>
        <v>46620</v>
      </c>
      <c r="J45" s="308">
        <f t="shared" ca="1" si="11"/>
        <v>0</v>
      </c>
      <c r="K45" s="309">
        <f t="shared" ca="1" si="12"/>
        <v>46620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9">
        <v>4</v>
      </c>
      <c r="C46" s="520" t="s">
        <v>35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3">
        <f>F42*1</f>
        <v>2</v>
      </c>
      <c r="G46" s="307">
        <f ca="1">IF(ISERROR(OFFSET('HARGA SATUAN'!$I$6,MATCH(RAB!C46,'HARGA SATUAN'!$C$7:$C$1495,0),0)),0,OFFSET('HARGA SATUAN'!$I$6,MATCH(RAB!C46,'HARGA SATUAN'!$C$7:$C$1495,0),0))</f>
        <v>2300</v>
      </c>
      <c r="H46" s="308">
        <f t="shared" ca="1" si="9"/>
        <v>0</v>
      </c>
      <c r="I46" s="308">
        <f t="shared" ca="1" si="10"/>
        <v>4600</v>
      </c>
      <c r="J46" s="308">
        <f t="shared" ca="1" si="11"/>
        <v>0</v>
      </c>
      <c r="K46" s="309">
        <f t="shared" ca="1" si="12"/>
        <v>4600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9">
        <v>5</v>
      </c>
      <c r="C47" s="520" t="s">
        <v>630</v>
      </c>
      <c r="D47" s="305" t="str">
        <f ca="1">IF(ISERROR(OFFSET('HARGA SATUAN'!$D$6,MATCH(RAB!C47,'HARGA SATUAN'!$C$7:$C$1495,0),0)),"",OFFSET('HARGA SATUAN'!$D$6,MATCH(RAB!C47,'HARGA SATUAN'!$C$7:$C$1495,0),0))</f>
        <v>JASA</v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3">
        <f>F42*1</f>
        <v>2</v>
      </c>
      <c r="G47" s="307">
        <f ca="1">IF(ISERROR(OFFSET('HARGA SATUAN'!$I$6,MATCH(RAB!C47,'HARGA SATUAN'!$C$7:$C$1495,0),0)),0,OFFSET('HARGA SATUAN'!$I$6,MATCH(RAB!C47,'HARGA SATUAN'!$C$7:$C$1495,0),0))</f>
        <v>35700</v>
      </c>
      <c r="H47" s="308">
        <f t="shared" ca="1" si="9"/>
        <v>0</v>
      </c>
      <c r="I47" s="308">
        <f t="shared" ca="1" si="10"/>
        <v>0</v>
      </c>
      <c r="J47" s="308">
        <f t="shared" ca="1" si="11"/>
        <v>71400</v>
      </c>
      <c r="K47" s="309">
        <f t="shared" ca="1" si="12"/>
        <v>71400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462"/>
      <c r="C48" s="463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9" t="s">
        <v>1035</v>
      </c>
      <c r="C49" s="520" t="s">
        <v>1636</v>
      </c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53">
        <v>2</v>
      </c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9">
        <v>1</v>
      </c>
      <c r="C50" s="520" t="s">
        <v>30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3">
        <f>F49*1</f>
        <v>2</v>
      </c>
      <c r="G50" s="307">
        <f ca="1">IF(ISERROR(OFFSET('HARGA SATUAN'!$I$6,MATCH(RAB!C50,'HARGA SATUAN'!$C$7:$C$1495,0),0)),0,OFFSET('HARGA SATUAN'!$I$6,MATCH(RAB!C50,'HARGA SATUAN'!$C$7:$C$1495,0),0))</f>
        <v>47459</v>
      </c>
      <c r="H50" s="308">
        <f t="shared" ca="1" si="9"/>
        <v>0</v>
      </c>
      <c r="I50" s="308">
        <f t="shared" ca="1" si="10"/>
        <v>94918</v>
      </c>
      <c r="J50" s="308">
        <f t="shared" ca="1" si="11"/>
        <v>0</v>
      </c>
      <c r="K50" s="309">
        <f t="shared" ca="1" si="12"/>
        <v>94918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9">
        <v>2</v>
      </c>
      <c r="C51" s="520" t="s">
        <v>32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3">
        <f>F49*0.8</f>
        <v>1.6</v>
      </c>
      <c r="G51" s="307">
        <f ca="1">IF(ISERROR(OFFSET('HARGA SATUAN'!$I$6,MATCH(RAB!C51,'HARGA SATUAN'!$C$7:$C$1495,0),0)),0,OFFSET('HARGA SATUAN'!$I$6,MATCH(RAB!C51,'HARGA SATUAN'!$C$7:$C$1495,0),0))</f>
        <v>30000</v>
      </c>
      <c r="H51" s="308">
        <f t="shared" ca="1" si="9"/>
        <v>0</v>
      </c>
      <c r="I51" s="308">
        <f t="shared" ca="1" si="10"/>
        <v>48000</v>
      </c>
      <c r="J51" s="308">
        <f t="shared" ca="1" si="11"/>
        <v>0</v>
      </c>
      <c r="K51" s="309">
        <f t="shared" ca="1" si="12"/>
        <v>48000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9">
        <v>3</v>
      </c>
      <c r="C52" s="520" t="s">
        <v>33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3">
        <f>F49*1</f>
        <v>2</v>
      </c>
      <c r="G52" s="307">
        <f ca="1">IF(ISERROR(OFFSET('HARGA SATUAN'!$I$6,MATCH(RAB!C52,'HARGA SATUAN'!$C$7:$C$1495,0),0)),0,OFFSET('HARGA SATUAN'!$I$6,MATCH(RAB!C52,'HARGA SATUAN'!$C$7:$C$1495,0),0))</f>
        <v>9500</v>
      </c>
      <c r="H52" s="308">
        <f t="shared" ca="1" si="9"/>
        <v>0</v>
      </c>
      <c r="I52" s="308">
        <f t="shared" ca="1" si="10"/>
        <v>19000</v>
      </c>
      <c r="J52" s="308">
        <f t="shared" ca="1" si="11"/>
        <v>0</v>
      </c>
      <c r="K52" s="309">
        <f t="shared" ca="1" si="12"/>
        <v>19000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19">
        <v>4</v>
      </c>
      <c r="C53" s="520" t="s">
        <v>737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3">
        <f>F49*1</f>
        <v>2</v>
      </c>
      <c r="G53" s="307">
        <f ca="1">IF(ISERROR(OFFSET('HARGA SATUAN'!$I$6,MATCH(RAB!C53,'HARGA SATUAN'!$C$7:$C$1495,0),0)),0,OFFSET('HARGA SATUAN'!$I$6,MATCH(RAB!C53,'HARGA SATUAN'!$C$7:$C$1495,0),0))</f>
        <v>16200</v>
      </c>
      <c r="H53" s="308">
        <f t="shared" ca="1" si="9"/>
        <v>0</v>
      </c>
      <c r="I53" s="308">
        <f t="shared" ca="1" si="10"/>
        <v>0</v>
      </c>
      <c r="J53" s="308">
        <f t="shared" ca="1" si="11"/>
        <v>32400</v>
      </c>
      <c r="K53" s="309">
        <f t="shared" ca="1" si="12"/>
        <v>32400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62"/>
      <c r="C54" s="463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3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52" t="s">
        <v>1035</v>
      </c>
      <c r="C55" s="521" t="s">
        <v>1637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3">
        <v>1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9"/>
        <v>0</v>
      </c>
      <c r="I55" s="308">
        <f t="shared" ca="1" si="10"/>
        <v>0</v>
      </c>
      <c r="J55" s="308">
        <f t="shared" ca="1" si="11"/>
        <v>0</v>
      </c>
      <c r="K55" s="309">
        <f t="shared" ca="1" si="12"/>
        <v>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19">
        <v>1</v>
      </c>
      <c r="C56" s="520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3">
        <f>F55*1</f>
        <v>1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9"/>
        <v>0</v>
      </c>
      <c r="I56" s="308">
        <f t="shared" ca="1" si="10"/>
        <v>26500</v>
      </c>
      <c r="J56" s="308">
        <f t="shared" ca="1" si="11"/>
        <v>0</v>
      </c>
      <c r="K56" s="309">
        <f t="shared" ca="1" si="12"/>
        <v>26500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19">
        <v>2</v>
      </c>
      <c r="C57" s="520" t="s">
        <v>203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3">
        <f>F55*1</f>
        <v>1</v>
      </c>
      <c r="G57" s="307">
        <f ca="1">IF(ISERROR(OFFSET('HARGA SATUAN'!$I$6,MATCH(RAB!C57,'HARGA SATUAN'!$C$7:$C$1495,0),0)),0,OFFSET('HARGA SATUAN'!$I$6,MATCH(RAB!C57,'HARGA SATUAN'!$C$7:$C$1495,0),0))</f>
        <v>12500</v>
      </c>
      <c r="H57" s="308">
        <f t="shared" ca="1" si="9"/>
        <v>0</v>
      </c>
      <c r="I57" s="308">
        <f t="shared" ca="1" si="10"/>
        <v>12500</v>
      </c>
      <c r="J57" s="308">
        <f t="shared" ca="1" si="11"/>
        <v>0</v>
      </c>
      <c r="K57" s="309">
        <f t="shared" ca="1" si="12"/>
        <v>12500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19">
        <v>3</v>
      </c>
      <c r="C58" s="520" t="s">
        <v>205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Mtr</v>
      </c>
      <c r="F58" s="453">
        <f>F55*12</f>
        <v>12</v>
      </c>
      <c r="G58" s="307">
        <f ca="1">IF(ISERROR(OFFSET('HARGA SATUAN'!$I$6,MATCH(RAB!C58,'HARGA SATUAN'!$C$7:$C$1495,0),0)),0,OFFSET('HARGA SATUAN'!$I$6,MATCH(RAB!C58,'HARGA SATUAN'!$C$7:$C$1495,0),0))</f>
        <v>24300</v>
      </c>
      <c r="H58" s="308">
        <f t="shared" ca="1" si="9"/>
        <v>0</v>
      </c>
      <c r="I58" s="308">
        <f t="shared" ca="1" si="10"/>
        <v>291600</v>
      </c>
      <c r="J58" s="308">
        <f t="shared" ca="1" si="11"/>
        <v>0</v>
      </c>
      <c r="K58" s="309">
        <f t="shared" ca="1" si="12"/>
        <v>291600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19">
        <v>4</v>
      </c>
      <c r="C59" s="520" t="s">
        <v>287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3">
        <f>F55*2</f>
        <v>2</v>
      </c>
      <c r="G59" s="307">
        <f ca="1">IF(ISERROR(OFFSET('HARGA SATUAN'!$I$6,MATCH(RAB!C59,'HARGA SATUAN'!$C$7:$C$1495,0),0)),0,OFFSET('HARGA SATUAN'!$I$6,MATCH(RAB!C59,'HARGA SATUAN'!$C$7:$C$1495,0),0))</f>
        <v>40000</v>
      </c>
      <c r="H59" s="308">
        <f t="shared" ca="1" si="9"/>
        <v>0</v>
      </c>
      <c r="I59" s="308">
        <f t="shared" ca="1" si="10"/>
        <v>80000</v>
      </c>
      <c r="J59" s="308">
        <f t="shared" ca="1" si="11"/>
        <v>0</v>
      </c>
      <c r="K59" s="309">
        <f t="shared" ca="1" si="12"/>
        <v>80000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9">
        <v>5</v>
      </c>
      <c r="C60" s="520" t="s">
        <v>26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3">
        <f>F55*1</f>
        <v>1</v>
      </c>
      <c r="G60" s="307">
        <f ca="1">IF(ISERROR(OFFSET('HARGA SATUAN'!$I$6,MATCH(RAB!C60,'HARGA SATUAN'!$C$7:$C$1495,0),0)),0,OFFSET('HARGA SATUAN'!$I$6,MATCH(RAB!C60,'HARGA SATUAN'!$C$7:$C$1495,0),0))</f>
        <v>2500</v>
      </c>
      <c r="H60" s="308">
        <f t="shared" ca="1" si="9"/>
        <v>0</v>
      </c>
      <c r="I60" s="308">
        <f t="shared" ca="1" si="10"/>
        <v>2500</v>
      </c>
      <c r="J60" s="308">
        <f t="shared" ca="1" si="11"/>
        <v>0</v>
      </c>
      <c r="K60" s="309">
        <f t="shared" ca="1" si="12"/>
        <v>2500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9">
        <v>6</v>
      </c>
      <c r="C61" s="520" t="s">
        <v>759</v>
      </c>
      <c r="D61" s="305" t="str">
        <f ca="1">IF(ISERROR(OFFSET('HARGA SATUAN'!$D$6,MATCH(RAB!C61,'HARGA SATUAN'!$C$7:$C$1495,0),0)),"",OFFSET('HARGA SATUAN'!$D$6,MATCH(RAB!C61,'HARGA SATUAN'!$C$7:$C$1495,0),0))</f>
        <v>JASA</v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3">
        <f>F55*1</f>
        <v>1</v>
      </c>
      <c r="G61" s="307">
        <f ca="1">IF(ISERROR(OFFSET('HARGA SATUAN'!$I$6,MATCH(RAB!C61,'HARGA SATUAN'!$C$7:$C$1495,0),0)),0,OFFSET('HARGA SATUAN'!$I$6,MATCH(RAB!C61,'HARGA SATUAN'!$C$7:$C$1495,0),0))</f>
        <v>43500</v>
      </c>
      <c r="H61" s="308">
        <f t="shared" ca="1" si="9"/>
        <v>0</v>
      </c>
      <c r="I61" s="308">
        <f t="shared" ca="1" si="10"/>
        <v>0</v>
      </c>
      <c r="J61" s="308">
        <f t="shared" ca="1" si="11"/>
        <v>43500</v>
      </c>
      <c r="K61" s="309">
        <f t="shared" ca="1" si="12"/>
        <v>43500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462"/>
      <c r="C62" s="463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3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9" t="s">
        <v>1035</v>
      </c>
      <c r="C63" s="520" t="s">
        <v>1638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522">
        <v>1</v>
      </c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9">
        <v>1</v>
      </c>
      <c r="C64" s="520" t="s">
        <v>262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522">
        <f>F63*1</f>
        <v>1</v>
      </c>
      <c r="G64" s="307">
        <f ca="1">IF(ISERROR(OFFSET('HARGA SATUAN'!$I$6,MATCH(RAB!C64,'HARGA SATUAN'!$C$7:$C$1495,0),0)),0,OFFSET('HARGA SATUAN'!$I$6,MATCH(RAB!C64,'HARGA SATUAN'!$C$7:$C$1495,0),0))</f>
        <v>104200</v>
      </c>
      <c r="H64" s="308">
        <f t="shared" ca="1" si="9"/>
        <v>0</v>
      </c>
      <c r="I64" s="308">
        <f t="shared" ca="1" si="10"/>
        <v>104200</v>
      </c>
      <c r="J64" s="308">
        <f t="shared" ca="1" si="11"/>
        <v>0</v>
      </c>
      <c r="K64" s="309">
        <f t="shared" ca="1" si="12"/>
        <v>104200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9">
        <v>2</v>
      </c>
      <c r="C65" s="520" t="s">
        <v>596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522">
        <f>F63*1</f>
        <v>1</v>
      </c>
      <c r="G65" s="307">
        <f ca="1">IF(ISERROR(OFFSET('HARGA SATUAN'!$I$6,MATCH(RAB!C65,'HARGA SATUAN'!$C$7:$C$1495,0),0)),0,OFFSET('HARGA SATUAN'!$I$6,MATCH(RAB!C65,'HARGA SATUAN'!$C$7:$C$1495,0),0))</f>
        <v>120000</v>
      </c>
      <c r="H65" s="308">
        <f t="shared" ca="1" si="9"/>
        <v>0</v>
      </c>
      <c r="I65" s="308">
        <f t="shared" ca="1" si="10"/>
        <v>120000</v>
      </c>
      <c r="J65" s="308">
        <f t="shared" ca="1" si="11"/>
        <v>0</v>
      </c>
      <c r="K65" s="309">
        <f t="shared" ca="1" si="12"/>
        <v>120000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19">
        <v>4</v>
      </c>
      <c r="C66" s="520" t="s">
        <v>214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53">
        <f>F63*1</f>
        <v>1</v>
      </c>
      <c r="G66" s="307">
        <f ca="1">IF(ISERROR(OFFSET('HARGA SATUAN'!$I$6,MATCH(RAB!C66,'HARGA SATUAN'!$C$7:$C$1495,0),0)),0,OFFSET('HARGA SATUAN'!$I$6,MATCH(RAB!C66,'HARGA SATUAN'!$C$7:$C$1495,0),0))</f>
        <v>4500</v>
      </c>
      <c r="H66" s="308">
        <f t="shared" ca="1" si="9"/>
        <v>0</v>
      </c>
      <c r="I66" s="308">
        <f t="shared" ca="1" si="10"/>
        <v>4500</v>
      </c>
      <c r="J66" s="308">
        <f t="shared" ca="1" si="11"/>
        <v>0</v>
      </c>
      <c r="K66" s="309">
        <f t="shared" ca="1" si="12"/>
        <v>4500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9">
        <v>3</v>
      </c>
      <c r="C67" s="520" t="s">
        <v>767</v>
      </c>
      <c r="D67" s="305" t="str">
        <f ca="1">IF(ISERROR(OFFSET('HARGA SATUAN'!$D$6,MATCH(RAB!C67,'HARGA SATUAN'!$C$7:$C$1495,0),0)),"",OFFSET('HARGA SATUAN'!$D$6,MATCH(RAB!C67,'HARGA SATUAN'!$C$7:$C$1495,0),0))</f>
        <v>JASA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522">
        <f>F63*1</f>
        <v>1</v>
      </c>
      <c r="G67" s="307">
        <f ca="1">IF(ISERROR(OFFSET('HARGA SATUAN'!$I$6,MATCH(RAB!C67,'HARGA SATUAN'!$C$7:$C$1495,0),0)),0,OFFSET('HARGA SATUAN'!$I$6,MATCH(RAB!C67,'HARGA SATUAN'!$C$7:$C$1495,0),0))</f>
        <v>55500</v>
      </c>
      <c r="H67" s="308">
        <f t="shared" ca="1" si="9"/>
        <v>0</v>
      </c>
      <c r="I67" s="308">
        <f t="shared" ca="1" si="10"/>
        <v>0</v>
      </c>
      <c r="J67" s="308">
        <f t="shared" ca="1" si="11"/>
        <v>55500</v>
      </c>
      <c r="K67" s="309">
        <f t="shared" ca="1" si="12"/>
        <v>55500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9"/>
      <c r="C68" s="52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522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89" ca="1" si="14">IF(OR(D68="MDU",D68="MDU-KD"),(IF($O$3="RAB NON MDU","PLN KD",G68*F68)),0)</f>
        <v>0</v>
      </c>
      <c r="I68" s="308">
        <f t="shared" ref="I68:I89" ca="1" si="15">IF(D68="HDW",G68*F68,0)</f>
        <v>0</v>
      </c>
      <c r="J68" s="308">
        <f t="shared" ref="J68:J89" ca="1" si="16">IF(D68="JASA",G68*F68,0)</f>
        <v>0</v>
      </c>
      <c r="K68" s="309">
        <f t="shared" ref="K68:K89" ca="1" si="17">SUM(H68:J68)</f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9" t="s">
        <v>1035</v>
      </c>
      <c r="C69" s="520" t="s">
        <v>1639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453">
        <v>1</v>
      </c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4"/>
        <v>0</v>
      </c>
      <c r="I69" s="308">
        <f t="shared" ca="1" si="15"/>
        <v>0</v>
      </c>
      <c r="J69" s="308">
        <f t="shared" ca="1" si="16"/>
        <v>0</v>
      </c>
      <c r="K69" s="309">
        <f t="shared" ca="1" si="17"/>
        <v>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9">
        <v>1</v>
      </c>
      <c r="C70" s="520" t="s">
        <v>30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3">
        <f>F69*1</f>
        <v>1</v>
      </c>
      <c r="G70" s="307">
        <f ca="1">IF(ISERROR(OFFSET('HARGA SATUAN'!$I$6,MATCH(RAB!C70,'HARGA SATUAN'!$C$7:$C$1495,0),0)),0,OFFSET('HARGA SATUAN'!$I$6,MATCH(RAB!C70,'HARGA SATUAN'!$C$7:$C$1495,0),0))</f>
        <v>47459</v>
      </c>
      <c r="H70" s="308">
        <f t="shared" ca="1" si="14"/>
        <v>0</v>
      </c>
      <c r="I70" s="308">
        <f t="shared" ca="1" si="15"/>
        <v>47459</v>
      </c>
      <c r="J70" s="308">
        <f t="shared" ca="1" si="16"/>
        <v>0</v>
      </c>
      <c r="K70" s="309">
        <f t="shared" ca="1" si="17"/>
        <v>47459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9">
        <v>2</v>
      </c>
      <c r="C71" s="520" t="s">
        <v>32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Mtr</v>
      </c>
      <c r="F71" s="453">
        <f>F69*1</f>
        <v>1</v>
      </c>
      <c r="G71" s="307">
        <f ca="1">IF(ISERROR(OFFSET('HARGA SATUAN'!$I$6,MATCH(RAB!C71,'HARGA SATUAN'!$C$7:$C$1495,0),0)),0,OFFSET('HARGA SATUAN'!$I$6,MATCH(RAB!C71,'HARGA SATUAN'!$C$7:$C$1495,0),0))</f>
        <v>30000</v>
      </c>
      <c r="H71" s="308">
        <f t="shared" ca="1" si="14"/>
        <v>0</v>
      </c>
      <c r="I71" s="308">
        <f t="shared" ca="1" si="15"/>
        <v>30000</v>
      </c>
      <c r="J71" s="308">
        <f t="shared" ca="1" si="16"/>
        <v>0</v>
      </c>
      <c r="K71" s="309">
        <f t="shared" ca="1" si="17"/>
        <v>30000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19">
        <v>3</v>
      </c>
      <c r="C72" s="520" t="s">
        <v>33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53">
        <f>F69*1</f>
        <v>1</v>
      </c>
      <c r="G72" s="307">
        <f ca="1">IF(ISERROR(OFFSET('HARGA SATUAN'!$I$6,MATCH(RAB!C72,'HARGA SATUAN'!$C$7:$C$1495,0),0)),0,OFFSET('HARGA SATUAN'!$I$6,MATCH(RAB!C72,'HARGA SATUAN'!$C$7:$C$1495,0),0))</f>
        <v>9500</v>
      </c>
      <c r="H72" s="308">
        <f t="shared" ca="1" si="14"/>
        <v>0</v>
      </c>
      <c r="I72" s="308">
        <f t="shared" ca="1" si="15"/>
        <v>9500</v>
      </c>
      <c r="J72" s="308">
        <f t="shared" ca="1" si="16"/>
        <v>0</v>
      </c>
      <c r="K72" s="309">
        <f t="shared" ca="1" si="17"/>
        <v>9500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9">
        <v>4</v>
      </c>
      <c r="C73" s="520" t="s">
        <v>738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453">
        <f>F69*1</f>
        <v>1</v>
      </c>
      <c r="G73" s="307">
        <f ca="1">IF(ISERROR(OFFSET('HARGA SATUAN'!$I$6,MATCH(RAB!C73,'HARGA SATUAN'!$C$7:$C$1495,0),0)),0,OFFSET('HARGA SATUAN'!$I$6,MATCH(RAB!C73,'HARGA SATUAN'!$C$7:$C$1495,0),0))</f>
        <v>21200</v>
      </c>
      <c r="H73" s="308">
        <f t="shared" ca="1" si="14"/>
        <v>0</v>
      </c>
      <c r="I73" s="308">
        <f t="shared" ca="1" si="15"/>
        <v>0</v>
      </c>
      <c r="J73" s="308">
        <f t="shared" ca="1" si="16"/>
        <v>21200</v>
      </c>
      <c r="K73" s="309">
        <f t="shared" ca="1" si="17"/>
        <v>21200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19"/>
      <c r="C74" s="52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3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" ca="1" si="18">IF(OR(D74="MDU",D74="MDU-KD"),(IF($O$3="RAB NON MDU","PLN KD",G74*F74)),0)</f>
        <v>0</v>
      </c>
      <c r="I74" s="308">
        <f t="shared" ref="I74" ca="1" si="19">IF(D74="HDW",G74*F74,0)</f>
        <v>0</v>
      </c>
      <c r="J74" s="308">
        <f t="shared" ref="J74" ca="1" si="20">IF(D74="JASA",G74*F74,0)</f>
        <v>0</v>
      </c>
      <c r="K74" s="309">
        <f t="shared" ref="K74" ca="1" si="21">SUM(H74:J74)</f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3" t="s">
        <v>1035</v>
      </c>
      <c r="C75" s="524" t="s">
        <v>1649</v>
      </c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453">
        <v>1</v>
      </c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4"/>
        <v>0</v>
      </c>
      <c r="I75" s="308">
        <f t="shared" ca="1" si="15"/>
        <v>0</v>
      </c>
      <c r="J75" s="308">
        <f t="shared" ca="1" si="16"/>
        <v>0</v>
      </c>
      <c r="K75" s="309">
        <f t="shared" ca="1" si="17"/>
        <v>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23">
        <v>1</v>
      </c>
      <c r="C76" s="524" t="s">
        <v>1608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3">
        <f>F75*1</f>
        <v>1</v>
      </c>
      <c r="G76" s="307">
        <f ca="1">IF(ISERROR(OFFSET('HARGA SATUAN'!$I$6,MATCH(RAB!C76,'HARGA SATUAN'!$C$7:$C$1495,0),0)),0,OFFSET('HARGA SATUAN'!$I$6,MATCH(RAB!C76,'HARGA SATUAN'!$C$7:$C$1495,0),0))</f>
        <v>176900</v>
      </c>
      <c r="H76" s="308">
        <f t="shared" ca="1" si="14"/>
        <v>176900</v>
      </c>
      <c r="I76" s="308">
        <f t="shared" ca="1" si="15"/>
        <v>0</v>
      </c>
      <c r="J76" s="308">
        <f t="shared" ca="1" si="16"/>
        <v>0</v>
      </c>
      <c r="K76" s="309">
        <f t="shared" ca="1" si="17"/>
        <v>176900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23">
        <v>2</v>
      </c>
      <c r="C77" s="524" t="s">
        <v>1609</v>
      </c>
      <c r="D77" s="305" t="str">
        <f ca="1">IF(ISERROR(OFFSET('HARGA SATUAN'!$D$6,MATCH(RAB!C77,'HARGA SATUAN'!$C$7:$C$1495,0),0)),"",OFFSET('HARGA SATUAN'!$D$6,MATCH(RAB!C77,'HARGA SATUAN'!$C$7:$C$1495,0),0))</f>
        <v>MDU-KD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3">
        <f>F75*2</f>
        <v>2</v>
      </c>
      <c r="G77" s="307">
        <f ca="1">IF(ISERROR(OFFSET('HARGA SATUAN'!$I$6,MATCH(RAB!C77,'HARGA SATUAN'!$C$7:$C$1495,0),0)),0,OFFSET('HARGA SATUAN'!$I$6,MATCH(RAB!C77,'HARGA SATUAN'!$C$7:$C$1495,0),0))</f>
        <v>235900</v>
      </c>
      <c r="H77" s="308">
        <f t="shared" ca="1" si="14"/>
        <v>471800</v>
      </c>
      <c r="I77" s="308">
        <f t="shared" ca="1" si="15"/>
        <v>0</v>
      </c>
      <c r="J77" s="308">
        <f t="shared" ca="1" si="16"/>
        <v>0</v>
      </c>
      <c r="K77" s="309">
        <f t="shared" ca="1" si="17"/>
        <v>471800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23">
        <v>3</v>
      </c>
      <c r="C78" s="524" t="s">
        <v>28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3">
        <f>F75*3</f>
        <v>3</v>
      </c>
      <c r="G78" s="307">
        <f ca="1">IF(ISERROR(OFFSET('HARGA SATUAN'!$I$6,MATCH(RAB!C78,'HARGA SATUAN'!$C$7:$C$1495,0),0)),0,OFFSET('HARGA SATUAN'!$I$6,MATCH(RAB!C78,'HARGA SATUAN'!$C$7:$C$1495,0),0))</f>
        <v>26500</v>
      </c>
      <c r="H78" s="308">
        <f t="shared" ca="1" si="14"/>
        <v>0</v>
      </c>
      <c r="I78" s="308">
        <f t="shared" ca="1" si="15"/>
        <v>79500</v>
      </c>
      <c r="J78" s="308">
        <f t="shared" ca="1" si="16"/>
        <v>0</v>
      </c>
      <c r="K78" s="309">
        <f t="shared" ca="1" si="17"/>
        <v>79500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23">
        <v>4</v>
      </c>
      <c r="C79" s="524" t="s">
        <v>163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3">
        <f>F75*2</f>
        <v>2</v>
      </c>
      <c r="G79" s="307">
        <f ca="1">IF(ISERROR(OFFSET('HARGA SATUAN'!$I$6,MATCH(RAB!C79,'HARGA SATUAN'!$C$7:$C$1495,0),0)),0,OFFSET('HARGA SATUAN'!$I$6,MATCH(RAB!C79,'HARGA SATUAN'!$C$7:$C$1495,0),0))</f>
        <v>7938</v>
      </c>
      <c r="H79" s="308">
        <f t="shared" ca="1" si="14"/>
        <v>0</v>
      </c>
      <c r="I79" s="308">
        <f t="shared" ca="1" si="15"/>
        <v>15876</v>
      </c>
      <c r="J79" s="308">
        <f t="shared" ca="1" si="16"/>
        <v>0</v>
      </c>
      <c r="K79" s="309">
        <f t="shared" ca="1" si="17"/>
        <v>15876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23">
        <v>5</v>
      </c>
      <c r="C80" s="524" t="s">
        <v>168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3">
        <f>F75*1</f>
        <v>1</v>
      </c>
      <c r="G80" s="307">
        <f ca="1">IF(ISERROR(OFFSET('HARGA SATUAN'!$I$6,MATCH(RAB!C80,'HARGA SATUAN'!$C$7:$C$1495,0),0)),0,OFFSET('HARGA SATUAN'!$I$6,MATCH(RAB!C80,'HARGA SATUAN'!$C$7:$C$1495,0),0))</f>
        <v>33600</v>
      </c>
      <c r="H80" s="308">
        <f t="shared" ca="1" si="14"/>
        <v>0</v>
      </c>
      <c r="I80" s="308">
        <f t="shared" ca="1" si="15"/>
        <v>33600</v>
      </c>
      <c r="J80" s="308">
        <f t="shared" ca="1" si="16"/>
        <v>0</v>
      </c>
      <c r="K80" s="309">
        <f t="shared" ca="1" si="17"/>
        <v>33600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23">
        <v>6</v>
      </c>
      <c r="C81" s="524" t="s">
        <v>173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3">
        <f>F75*2</f>
        <v>2</v>
      </c>
      <c r="G81" s="307">
        <f ca="1">IF(ISERROR(OFFSET('HARGA SATUAN'!$I$6,MATCH(RAB!C81,'HARGA SATUAN'!$C$7:$C$1495,0),0)),0,OFFSET('HARGA SATUAN'!$I$6,MATCH(RAB!C81,'HARGA SATUAN'!$C$7:$C$1495,0),0))</f>
        <v>45000</v>
      </c>
      <c r="H81" s="308">
        <f t="shared" ca="1" si="14"/>
        <v>0</v>
      </c>
      <c r="I81" s="308">
        <f t="shared" ca="1" si="15"/>
        <v>90000</v>
      </c>
      <c r="J81" s="308">
        <f t="shared" ca="1" si="16"/>
        <v>0</v>
      </c>
      <c r="K81" s="309">
        <f t="shared" ca="1" si="17"/>
        <v>90000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23">
        <v>7</v>
      </c>
      <c r="C82" s="524" t="s">
        <v>178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3">
        <f>F75*1</f>
        <v>1</v>
      </c>
      <c r="G82" s="307">
        <f ca="1">IF(ISERROR(OFFSET('HARGA SATUAN'!$I$6,MATCH(RAB!C82,'HARGA SATUAN'!$C$7:$C$1495,0),0)),0,OFFSET('HARGA SATUAN'!$I$6,MATCH(RAB!C82,'HARGA SATUAN'!$C$7:$C$1495,0),0))</f>
        <v>95000</v>
      </c>
      <c r="H82" s="308">
        <f t="shared" ca="1" si="14"/>
        <v>0</v>
      </c>
      <c r="I82" s="308">
        <f t="shared" ca="1" si="15"/>
        <v>95000</v>
      </c>
      <c r="J82" s="308">
        <f t="shared" ca="1" si="16"/>
        <v>0</v>
      </c>
      <c r="K82" s="309">
        <f t="shared" ca="1" si="17"/>
        <v>95000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23">
        <v>8</v>
      </c>
      <c r="C83" s="524" t="s">
        <v>593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3">
        <f>F75*1</f>
        <v>1</v>
      </c>
      <c r="G83" s="307">
        <f ca="1">IF(ISERROR(OFFSET('HARGA SATUAN'!$I$6,MATCH(RAB!C83,'HARGA SATUAN'!$C$7:$C$1495,0),0)),0,OFFSET('HARGA SATUAN'!$I$6,MATCH(RAB!C83,'HARGA SATUAN'!$C$7:$C$1495,0),0))</f>
        <v>380500</v>
      </c>
      <c r="H83" s="308">
        <f t="shared" ca="1" si="14"/>
        <v>0</v>
      </c>
      <c r="I83" s="308">
        <f t="shared" ca="1" si="15"/>
        <v>380500</v>
      </c>
      <c r="J83" s="308">
        <f t="shared" ca="1" si="16"/>
        <v>0</v>
      </c>
      <c r="K83" s="309">
        <f t="shared" ca="1" si="17"/>
        <v>380500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23">
        <v>9</v>
      </c>
      <c r="C84" s="524" t="s">
        <v>217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3">
        <f>F75*4</f>
        <v>4</v>
      </c>
      <c r="G84" s="307">
        <f ca="1">IF(ISERROR(OFFSET('HARGA SATUAN'!$I$6,MATCH(RAB!C84,'HARGA SATUAN'!$C$7:$C$1495,0),0)),0,OFFSET('HARGA SATUAN'!$I$6,MATCH(RAB!C84,'HARGA SATUAN'!$C$7:$C$1495,0),0))</f>
        <v>11400</v>
      </c>
      <c r="H84" s="308">
        <f t="shared" ca="1" si="14"/>
        <v>0</v>
      </c>
      <c r="I84" s="308">
        <f t="shared" ca="1" si="15"/>
        <v>45600</v>
      </c>
      <c r="J84" s="308">
        <f t="shared" ca="1" si="16"/>
        <v>0</v>
      </c>
      <c r="K84" s="309">
        <f t="shared" ca="1" si="17"/>
        <v>45600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23">
        <v>10</v>
      </c>
      <c r="C85" s="524" t="s">
        <v>247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53">
        <f>F75*1</f>
        <v>1</v>
      </c>
      <c r="G85" s="307">
        <f ca="1">IF(ISERROR(OFFSET('HARGA SATUAN'!$I$6,MATCH(RAB!C85,'HARGA SATUAN'!$C$7:$C$1495,0),0)),0,OFFSET('HARGA SATUAN'!$I$6,MATCH(RAB!C85,'HARGA SATUAN'!$C$7:$C$1495,0),0))</f>
        <v>57690</v>
      </c>
      <c r="H85" s="308">
        <f t="shared" ca="1" si="14"/>
        <v>0</v>
      </c>
      <c r="I85" s="308">
        <f t="shared" ca="1" si="15"/>
        <v>57690</v>
      </c>
      <c r="J85" s="308">
        <f t="shared" ca="1" si="16"/>
        <v>0</v>
      </c>
      <c r="K85" s="309">
        <f t="shared" ca="1" si="17"/>
        <v>57690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23">
        <v>11</v>
      </c>
      <c r="C86" s="524" t="s">
        <v>264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3">
        <f>F75*1</f>
        <v>1</v>
      </c>
      <c r="G86" s="307">
        <f ca="1">IF(ISERROR(OFFSET('HARGA SATUAN'!$I$6,MATCH(RAB!C86,'HARGA SATUAN'!$C$7:$C$1495,0),0)),0,OFFSET('HARGA SATUAN'!$I$6,MATCH(RAB!C86,'HARGA SATUAN'!$C$7:$C$1495,0),0))</f>
        <v>28000</v>
      </c>
      <c r="H86" s="308">
        <f t="shared" ca="1" si="14"/>
        <v>0</v>
      </c>
      <c r="I86" s="308">
        <f t="shared" ca="1" si="15"/>
        <v>28000</v>
      </c>
      <c r="J86" s="308">
        <f t="shared" ca="1" si="16"/>
        <v>0</v>
      </c>
      <c r="K86" s="309">
        <f t="shared" ca="1" si="17"/>
        <v>28000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3">
        <v>12</v>
      </c>
      <c r="C87" s="524" t="s">
        <v>38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Mtr</v>
      </c>
      <c r="F87" s="453">
        <f>6.2*F75</f>
        <v>6.2</v>
      </c>
      <c r="G87" s="307">
        <f ca="1">IF(ISERROR(OFFSET('HARGA SATUAN'!$I$6,MATCH(RAB!C87,'HARGA SATUAN'!$C$7:$C$1495,0),0)),0,OFFSET('HARGA SATUAN'!$I$6,MATCH(RAB!C87,'HARGA SATUAN'!$C$7:$C$1495,0),0))</f>
        <v>8550</v>
      </c>
      <c r="H87" s="308">
        <f t="shared" ca="1" si="14"/>
        <v>0</v>
      </c>
      <c r="I87" s="308">
        <f t="shared" ca="1" si="15"/>
        <v>53010</v>
      </c>
      <c r="J87" s="308">
        <f t="shared" ca="1" si="16"/>
        <v>0</v>
      </c>
      <c r="K87" s="309">
        <f t="shared" ca="1" si="17"/>
        <v>53010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3">
        <v>13</v>
      </c>
      <c r="C88" s="524" t="s">
        <v>26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53">
        <f>F75*5</f>
        <v>5</v>
      </c>
      <c r="G88" s="307">
        <f ca="1">IF(ISERROR(OFFSET('HARGA SATUAN'!$I$6,MATCH(RAB!C88,'HARGA SATUAN'!$C$7:$C$1495,0),0)),0,OFFSET('HARGA SATUAN'!$I$6,MATCH(RAB!C88,'HARGA SATUAN'!$C$7:$C$1495,0),0))</f>
        <v>2500</v>
      </c>
      <c r="H88" s="308">
        <f t="shared" ca="1" si="14"/>
        <v>0</v>
      </c>
      <c r="I88" s="308">
        <f t="shared" ca="1" si="15"/>
        <v>12500</v>
      </c>
      <c r="J88" s="308">
        <f t="shared" ca="1" si="16"/>
        <v>0</v>
      </c>
      <c r="K88" s="309">
        <f t="shared" ca="1" si="17"/>
        <v>12500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23">
        <v>14</v>
      </c>
      <c r="C89" s="524" t="s">
        <v>687</v>
      </c>
      <c r="D89" s="305" t="str">
        <f ca="1">IF(ISERROR(OFFSET('HARGA SATUAN'!$D$6,MATCH(RAB!C89,'HARGA SATUAN'!$C$7:$C$1495,0),0)),"",OFFSET('HARGA SATUAN'!$D$6,MATCH(RAB!C89,'HARGA SATUAN'!$C$7:$C$1495,0),0))</f>
        <v>JASA</v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453">
        <f>F75*1</f>
        <v>1</v>
      </c>
      <c r="G89" s="307">
        <f ca="1">IF(ISERROR(OFFSET('HARGA SATUAN'!$I$6,MATCH(RAB!C89,'HARGA SATUAN'!$C$7:$C$1495,0),0)),0,OFFSET('HARGA SATUAN'!$I$6,MATCH(RAB!C89,'HARGA SATUAN'!$C$7:$C$1495,0),0))</f>
        <v>111000</v>
      </c>
      <c r="H89" s="308">
        <f t="shared" ca="1" si="14"/>
        <v>0</v>
      </c>
      <c r="I89" s="308">
        <f t="shared" ca="1" si="15"/>
        <v>0</v>
      </c>
      <c r="J89" s="308">
        <f t="shared" ca="1" si="16"/>
        <v>111000</v>
      </c>
      <c r="K89" s="309">
        <f t="shared" ca="1" si="17"/>
        <v>111000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/>
      <c r="C90" s="319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20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ref="H90:H99" ca="1" si="22">IF(OR(D90="MDU",D90="MDU-KD"),(IF($O$3="RAB NON MDU","PLN KD",G90*F90)),0)</f>
        <v>0</v>
      </c>
      <c r="I90" s="308">
        <f t="shared" ref="I90:I99" ca="1" si="23">IF(D90="HDW",G90*F90,0)</f>
        <v>0</v>
      </c>
      <c r="J90" s="308">
        <f t="shared" ref="J90:J99" ca="1" si="24">IF(D90="JASA",G90*F90,0)</f>
        <v>0</v>
      </c>
      <c r="K90" s="309">
        <f t="shared" ref="K90:K99" ca="1" si="25">SUM(H90:J90)</f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 t="s">
        <v>1035</v>
      </c>
      <c r="C91" s="319" t="s">
        <v>1613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53">
        <v>2</v>
      </c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1</v>
      </c>
      <c r="C92" s="319" t="s">
        <v>29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3">
        <f>F91*1</f>
        <v>2</v>
      </c>
      <c r="G92" s="307">
        <f ca="1">IF(ISERROR(OFFSET('HARGA SATUAN'!$I$6,MATCH(RAB!C92,'HARGA SATUAN'!$C$7:$C$1495,0),0)),0,OFFSET('HARGA SATUAN'!$I$6,MATCH(RAB!C92,'HARGA SATUAN'!$C$7:$C$1495,0),0))</f>
        <v>185200</v>
      </c>
      <c r="H92" s="308">
        <f t="shared" ca="1" si="22"/>
        <v>0</v>
      </c>
      <c r="I92" s="308">
        <f t="shared" ca="1" si="23"/>
        <v>370400</v>
      </c>
      <c r="J92" s="308">
        <f t="shared" ca="1" si="24"/>
        <v>0</v>
      </c>
      <c r="K92" s="309">
        <f t="shared" ca="1" si="25"/>
        <v>370400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2</v>
      </c>
      <c r="C93" s="319" t="s">
        <v>30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3">
        <f>F91*1</f>
        <v>2</v>
      </c>
      <c r="G93" s="307">
        <f ca="1">IF(ISERROR(OFFSET('HARGA SATUAN'!$I$6,MATCH(RAB!C93,'HARGA SATUAN'!$C$7:$C$1495,0),0)),0,OFFSET('HARGA SATUAN'!$I$6,MATCH(RAB!C93,'HARGA SATUAN'!$C$7:$C$1495,0),0))</f>
        <v>47459</v>
      </c>
      <c r="H93" s="308">
        <f t="shared" ca="1" si="22"/>
        <v>0</v>
      </c>
      <c r="I93" s="308">
        <f t="shared" ca="1" si="23"/>
        <v>94918</v>
      </c>
      <c r="J93" s="308">
        <f t="shared" ca="1" si="24"/>
        <v>0</v>
      </c>
      <c r="K93" s="309">
        <f t="shared" ca="1" si="25"/>
        <v>94918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3</v>
      </c>
      <c r="C94" s="319" t="s">
        <v>31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Bh</v>
      </c>
      <c r="F94" s="453">
        <f>F91*1</f>
        <v>2</v>
      </c>
      <c r="G94" s="307">
        <f ca="1">IF(ISERROR(OFFSET('HARGA SATUAN'!$I$6,MATCH(RAB!C94,'HARGA SATUAN'!$C$7:$C$1495,0),0)),0,OFFSET('HARGA SATUAN'!$I$6,MATCH(RAB!C94,'HARGA SATUAN'!$C$7:$C$1495,0),0))</f>
        <v>4880</v>
      </c>
      <c r="H94" s="308">
        <f t="shared" ca="1" si="22"/>
        <v>0</v>
      </c>
      <c r="I94" s="308">
        <f t="shared" ca="1" si="23"/>
        <v>9760</v>
      </c>
      <c r="J94" s="308">
        <f t="shared" ca="1" si="24"/>
        <v>0</v>
      </c>
      <c r="K94" s="309">
        <f t="shared" ca="1" si="25"/>
        <v>9760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4</v>
      </c>
      <c r="C95" s="319" t="s">
        <v>32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453">
        <f>F91*10</f>
        <v>20</v>
      </c>
      <c r="G95" s="307">
        <f ca="1">IF(ISERROR(OFFSET('HARGA SATUAN'!$I$6,MATCH(RAB!C95,'HARGA SATUAN'!$C$7:$C$1495,0),0)),0,OFFSET('HARGA SATUAN'!$I$6,MATCH(RAB!C95,'HARGA SATUAN'!$C$7:$C$1495,0),0))</f>
        <v>30000</v>
      </c>
      <c r="H95" s="308">
        <f t="shared" ca="1" si="22"/>
        <v>0</v>
      </c>
      <c r="I95" s="308">
        <f t="shared" ca="1" si="23"/>
        <v>600000</v>
      </c>
      <c r="J95" s="308">
        <f t="shared" ca="1" si="24"/>
        <v>0</v>
      </c>
      <c r="K95" s="309">
        <f t="shared" ca="1" si="25"/>
        <v>600000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5</v>
      </c>
      <c r="C96" s="319" t="s">
        <v>33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453">
        <f>F91*2</f>
        <v>4</v>
      </c>
      <c r="G96" s="307">
        <f ca="1">IF(ISERROR(OFFSET('HARGA SATUAN'!$I$6,MATCH(RAB!C96,'HARGA SATUAN'!$C$7:$C$1495,0),0)),0,OFFSET('HARGA SATUAN'!$I$6,MATCH(RAB!C96,'HARGA SATUAN'!$C$7:$C$1495,0),0))</f>
        <v>9500</v>
      </c>
      <c r="H96" s="308">
        <f t="shared" ca="1" si="22"/>
        <v>0</v>
      </c>
      <c r="I96" s="308">
        <f t="shared" ca="1" si="23"/>
        <v>38000</v>
      </c>
      <c r="J96" s="308">
        <f t="shared" ca="1" si="24"/>
        <v>0</v>
      </c>
      <c r="K96" s="309">
        <f t="shared" ca="1" si="25"/>
        <v>38000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>
        <v>6</v>
      </c>
      <c r="C97" s="319" t="s">
        <v>34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453">
        <f>F91*5.5</f>
        <v>11</v>
      </c>
      <c r="G97" s="307">
        <f ca="1">IF(ISERROR(OFFSET('HARGA SATUAN'!$I$6,MATCH(RAB!C97,'HARGA SATUAN'!$C$7:$C$1495,0),0)),0,OFFSET('HARGA SATUAN'!$I$6,MATCH(RAB!C97,'HARGA SATUAN'!$C$7:$C$1495,0),0))</f>
        <v>6100</v>
      </c>
      <c r="H97" s="308">
        <f t="shared" ca="1" si="22"/>
        <v>0</v>
      </c>
      <c r="I97" s="308">
        <f t="shared" ca="1" si="23"/>
        <v>67100</v>
      </c>
      <c r="J97" s="308">
        <f t="shared" ca="1" si="24"/>
        <v>0</v>
      </c>
      <c r="K97" s="309">
        <f t="shared" ca="1" si="25"/>
        <v>67100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>
        <v>7</v>
      </c>
      <c r="C98" s="319" t="s">
        <v>35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453">
        <f>F91*6</f>
        <v>12</v>
      </c>
      <c r="G98" s="307">
        <f ca="1">IF(ISERROR(OFFSET('HARGA SATUAN'!$I$6,MATCH(RAB!C98,'HARGA SATUAN'!$C$7:$C$1495,0),0)),0,OFFSET('HARGA SATUAN'!$I$6,MATCH(RAB!C98,'HARGA SATUAN'!$C$7:$C$1495,0),0))</f>
        <v>2300</v>
      </c>
      <c r="H98" s="308">
        <f t="shared" ca="1" si="22"/>
        <v>0</v>
      </c>
      <c r="I98" s="308">
        <f t="shared" ca="1" si="23"/>
        <v>27600</v>
      </c>
      <c r="J98" s="308">
        <f t="shared" ca="1" si="24"/>
        <v>0</v>
      </c>
      <c r="K98" s="309">
        <f t="shared" ca="1" si="25"/>
        <v>27600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>
        <v>8</v>
      </c>
      <c r="C99" s="319" t="s">
        <v>1618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Mtr</v>
      </c>
      <c r="F99" s="453">
        <f>F91*4.8</f>
        <v>9.6</v>
      </c>
      <c r="G99" s="307">
        <f ca="1">IF(ISERROR(OFFSET('HARGA SATUAN'!$I$6,MATCH(RAB!C99,'HARGA SATUAN'!$C$7:$C$1495,0),0)),0,OFFSET('HARGA SATUAN'!$I$6,MATCH(RAB!C99,'HARGA SATUAN'!$C$7:$C$1495,0),0))</f>
        <v>23310</v>
      </c>
      <c r="H99" s="308">
        <f t="shared" ca="1" si="22"/>
        <v>0</v>
      </c>
      <c r="I99" s="308">
        <f t="shared" ca="1" si="23"/>
        <v>223776</v>
      </c>
      <c r="J99" s="308">
        <f t="shared" ca="1" si="24"/>
        <v>0</v>
      </c>
      <c r="K99" s="309">
        <f t="shared" ca="1" si="25"/>
        <v>223776</v>
      </c>
      <c r="L99" s="316"/>
      <c r="M99" s="289" t="e">
        <f>IF(AND(F99&gt;0,#REF!=0),"",IF(AND(ISBLANK(F99)=FALSE,K99=0),"WARNING",""))</f>
        <v>#REF!</v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21">
        <v>9</v>
      </c>
      <c r="C100" s="418" t="s">
        <v>736</v>
      </c>
      <c r="D100" s="305" t="str">
        <f ca="1">IF(ISERROR(OFFSET('HARGA SATUAN'!$D$6,MATCH(RAB!C100,'HARGA SATUAN'!$C$7:$C$1495,0),0)),"",OFFSET('HARGA SATUAN'!$D$6,MATCH(RAB!C100,'HARGA SATUAN'!$C$7:$C$1495,0),0))</f>
        <v>JASA</v>
      </c>
      <c r="E100" s="306" t="str">
        <f ca="1">IF(B100="+","Unit",IF(ISERROR(OFFSET('HARGA SATUAN'!$E$6,MATCH(RAB!C100,'HARGA SATUAN'!$C$7:$C$1495,0),0)),"",OFFSET('HARGA SATUAN'!$E$6,MATCH(RAB!C100,'HARGA SATUAN'!$C$7:$C$1495,0),0)))</f>
        <v>Unit</v>
      </c>
      <c r="F100" s="453">
        <f>F91*1</f>
        <v>2</v>
      </c>
      <c r="G100" s="307">
        <f ca="1">IF(ISERROR(OFFSET('HARGA SATUAN'!$I$6,MATCH(RAB!C100,'HARGA SATUAN'!$C$7:$C$1495,0),0)),0,OFFSET('HARGA SATUAN'!$I$6,MATCH(RAB!C100,'HARGA SATUAN'!$C$7:$C$1495,0),0))</f>
        <v>65400</v>
      </c>
      <c r="H100" s="308">
        <f t="shared" ref="H100:H121" ca="1" si="26">IF(OR(D100="MDU",D100="MDU-KD"),(IF($O$3="RAB NON MDU","PLN KD",G100*F100)),0)</f>
        <v>0</v>
      </c>
      <c r="I100" s="308">
        <f t="shared" ref="I100:I121" ca="1" si="27">IF(D100="HDW",G100*F100,0)</f>
        <v>0</v>
      </c>
      <c r="J100" s="308">
        <f t="shared" ref="J100:J121" ca="1" si="28">IF(D100="JASA",G100*F100,0)</f>
        <v>130800</v>
      </c>
      <c r="K100" s="309">
        <f t="shared" ref="K100:K121" ca="1" si="29">SUM(H100:J100)</f>
        <v>130800</v>
      </c>
      <c r="L100" s="316"/>
      <c r="M100" s="289" t="e">
        <f>IF(AND(F100&gt;0,#REF!=0),"",IF(AND(ISBLANK(F100)=FALSE,K100=0),"WARNING",""))</f>
        <v>#REF!</v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21">
        <v>10</v>
      </c>
      <c r="C101" s="418" t="s">
        <v>1617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455"/>
      <c r="G101" s="307">
        <f ca="1">IF(ISERROR(OFFSET('HARGA SATUAN'!$I$6,MATCH(RAB!C101,'HARGA SATUAN'!$C$7:$C$1495,0),0)),0,OFFSET('HARGA SATUAN'!$I$6,MATCH(RAB!C101,'HARGA SATUAN'!$C$7:$C$1495,0),0))</f>
        <v>49000</v>
      </c>
      <c r="H101" s="308">
        <f t="shared" ca="1" si="26"/>
        <v>0</v>
      </c>
      <c r="I101" s="308">
        <f t="shared" ca="1" si="27"/>
        <v>0</v>
      </c>
      <c r="J101" s="308">
        <f t="shared" ca="1" si="28"/>
        <v>0</v>
      </c>
      <c r="K101" s="309">
        <f t="shared" ca="1" si="29"/>
        <v>0</v>
      </c>
      <c r="L101" s="316"/>
      <c r="M101" s="289" t="str">
        <f t="shared" ref="M101:M142" ca="1" si="30">IF(AND(F101&gt;0,F100=0),"",IF(AND(ISBLANK(F101)=FALSE,K101=0),"WARNING",""))</f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50"/>
      <c r="C102" s="451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5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6"/>
        <v>0</v>
      </c>
      <c r="I102" s="308">
        <f t="shared" ca="1" si="27"/>
        <v>0</v>
      </c>
      <c r="J102" s="308">
        <f t="shared" ca="1" si="28"/>
        <v>0</v>
      </c>
      <c r="K102" s="309">
        <f t="shared" ca="1" si="29"/>
        <v>0</v>
      </c>
      <c r="L102" s="316"/>
      <c r="M102" s="289" t="str">
        <f t="shared" ca="1" si="30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50"/>
      <c r="C103" s="451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5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6"/>
        <v>0</v>
      </c>
      <c r="I103" s="308">
        <f t="shared" ca="1" si="27"/>
        <v>0</v>
      </c>
      <c r="J103" s="308">
        <f t="shared" ca="1" si="28"/>
        <v>0</v>
      </c>
      <c r="K103" s="309">
        <f t="shared" ca="1" si="29"/>
        <v>0</v>
      </c>
      <c r="L103" s="316"/>
      <c r="M103" s="289" t="str">
        <f t="shared" ca="1" si="30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50"/>
      <c r="C104" s="451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6"/>
        <v>0</v>
      </c>
      <c r="I104" s="308">
        <f t="shared" ca="1" si="27"/>
        <v>0</v>
      </c>
      <c r="J104" s="308">
        <f t="shared" ca="1" si="28"/>
        <v>0</v>
      </c>
      <c r="K104" s="309">
        <f t="shared" ca="1" si="29"/>
        <v>0</v>
      </c>
      <c r="L104" s="316"/>
      <c r="M104" s="289" t="str">
        <f t="shared" ca="1" si="30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50"/>
      <c r="C105" s="451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5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26"/>
        <v>0</v>
      </c>
      <c r="I105" s="308">
        <f t="shared" ca="1" si="27"/>
        <v>0</v>
      </c>
      <c r="J105" s="308">
        <f t="shared" ca="1" si="28"/>
        <v>0</v>
      </c>
      <c r="K105" s="309">
        <f t="shared" ca="1" si="29"/>
        <v>0</v>
      </c>
      <c r="L105" s="316"/>
      <c r="M105" s="289" t="str">
        <f t="shared" ca="1" si="30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50"/>
      <c r="C106" s="451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5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26"/>
        <v>0</v>
      </c>
      <c r="I106" s="308">
        <f t="shared" ca="1" si="27"/>
        <v>0</v>
      </c>
      <c r="J106" s="308">
        <f t="shared" ca="1" si="28"/>
        <v>0</v>
      </c>
      <c r="K106" s="309">
        <f t="shared" ca="1" si="29"/>
        <v>0</v>
      </c>
      <c r="L106" s="316"/>
      <c r="M106" s="289" t="str">
        <f t="shared" ca="1" si="30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50"/>
      <c r="C107" s="451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5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6"/>
        <v>0</v>
      </c>
      <c r="I107" s="308">
        <f t="shared" ca="1" si="27"/>
        <v>0</v>
      </c>
      <c r="J107" s="308">
        <f t="shared" ca="1" si="28"/>
        <v>0</v>
      </c>
      <c r="K107" s="309">
        <f t="shared" ca="1" si="29"/>
        <v>0</v>
      </c>
      <c r="L107" s="316"/>
      <c r="M107" s="289" t="str">
        <f t="shared" ca="1" si="30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50"/>
      <c r="C108" s="451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5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6"/>
        <v>0</v>
      </c>
      <c r="I108" s="308">
        <f t="shared" ca="1" si="27"/>
        <v>0</v>
      </c>
      <c r="J108" s="308">
        <f t="shared" ca="1" si="28"/>
        <v>0</v>
      </c>
      <c r="K108" s="309">
        <f t="shared" ca="1" si="29"/>
        <v>0</v>
      </c>
      <c r="L108" s="316"/>
      <c r="M108" s="289" t="str">
        <f t="shared" ca="1" si="30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50"/>
      <c r="C109" s="451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5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26"/>
        <v>0</v>
      </c>
      <c r="I109" s="308">
        <f t="shared" ca="1" si="27"/>
        <v>0</v>
      </c>
      <c r="J109" s="308">
        <f t="shared" ca="1" si="28"/>
        <v>0</v>
      </c>
      <c r="K109" s="309">
        <f t="shared" ca="1" si="29"/>
        <v>0</v>
      </c>
      <c r="L109" s="316"/>
      <c r="M109" s="289" t="str">
        <f t="shared" ca="1" si="30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50"/>
      <c r="C110" s="451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5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26"/>
        <v>0</v>
      </c>
      <c r="I110" s="308">
        <f t="shared" ca="1" si="27"/>
        <v>0</v>
      </c>
      <c r="J110" s="308">
        <f t="shared" ca="1" si="28"/>
        <v>0</v>
      </c>
      <c r="K110" s="309">
        <f t="shared" ca="1" si="29"/>
        <v>0</v>
      </c>
      <c r="L110" s="316"/>
      <c r="M110" s="289" t="str">
        <f t="shared" ca="1" si="30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50"/>
      <c r="C111" s="451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5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26"/>
        <v>0</v>
      </c>
      <c r="I111" s="308">
        <f t="shared" ca="1" si="27"/>
        <v>0</v>
      </c>
      <c r="J111" s="308">
        <f t="shared" ca="1" si="28"/>
        <v>0</v>
      </c>
      <c r="K111" s="309">
        <f t="shared" ca="1" si="29"/>
        <v>0</v>
      </c>
      <c r="L111" s="316"/>
      <c r="M111" s="289" t="str">
        <f t="shared" ca="1" si="30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50"/>
      <c r="C112" s="451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5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26"/>
        <v>0</v>
      </c>
      <c r="I112" s="308">
        <f t="shared" ca="1" si="27"/>
        <v>0</v>
      </c>
      <c r="J112" s="308">
        <f t="shared" ca="1" si="28"/>
        <v>0</v>
      </c>
      <c r="K112" s="309">
        <f t="shared" ca="1" si="29"/>
        <v>0</v>
      </c>
      <c r="L112" s="316"/>
      <c r="M112" s="289" t="str">
        <f t="shared" ca="1" si="30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50"/>
      <c r="C113" s="451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5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26"/>
        <v>0</v>
      </c>
      <c r="I113" s="308">
        <f t="shared" ca="1" si="27"/>
        <v>0</v>
      </c>
      <c r="J113" s="308">
        <f t="shared" ca="1" si="28"/>
        <v>0</v>
      </c>
      <c r="K113" s="309">
        <f t="shared" ca="1" si="29"/>
        <v>0</v>
      </c>
      <c r="L113" s="316"/>
      <c r="M113" s="289" t="str">
        <f t="shared" ca="1" si="30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idden="1">
      <c r="A114" s="283"/>
      <c r="B114" s="450"/>
      <c r="C114" s="451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55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26"/>
        <v>0</v>
      </c>
      <c r="I114" s="308">
        <f t="shared" ca="1" si="27"/>
        <v>0</v>
      </c>
      <c r="J114" s="308">
        <f t="shared" ca="1" si="28"/>
        <v>0</v>
      </c>
      <c r="K114" s="309">
        <f t="shared" ca="1" si="29"/>
        <v>0</v>
      </c>
      <c r="L114" s="316"/>
      <c r="M114" s="289" t="str">
        <f t="shared" ca="1" si="30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idden="1">
      <c r="A115" s="283"/>
      <c r="B115" s="450"/>
      <c r="C115" s="451"/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55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ca="1" si="26"/>
        <v>0</v>
      </c>
      <c r="I115" s="308">
        <f t="shared" ca="1" si="27"/>
        <v>0</v>
      </c>
      <c r="J115" s="308">
        <f t="shared" ca="1" si="28"/>
        <v>0</v>
      </c>
      <c r="K115" s="309">
        <f t="shared" ca="1" si="29"/>
        <v>0</v>
      </c>
      <c r="L115" s="316"/>
      <c r="M115" s="289" t="str">
        <f t="shared" ca="1" si="30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idden="1">
      <c r="A116" s="283"/>
      <c r="B116" s="450"/>
      <c r="C116" s="451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5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26"/>
        <v>0</v>
      </c>
      <c r="I116" s="308">
        <f t="shared" ca="1" si="27"/>
        <v>0</v>
      </c>
      <c r="J116" s="308">
        <f t="shared" ca="1" si="28"/>
        <v>0</v>
      </c>
      <c r="K116" s="309">
        <f t="shared" ca="1" si="29"/>
        <v>0</v>
      </c>
      <c r="L116" s="316"/>
      <c r="M116" s="289" t="str">
        <f t="shared" ca="1" si="30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idden="1">
      <c r="A117" s="283"/>
      <c r="B117" s="450"/>
      <c r="C117" s="451"/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55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26"/>
        <v>0</v>
      </c>
      <c r="I117" s="308">
        <f t="shared" ca="1" si="27"/>
        <v>0</v>
      </c>
      <c r="J117" s="308">
        <f t="shared" ca="1" si="28"/>
        <v>0</v>
      </c>
      <c r="K117" s="309">
        <f t="shared" ca="1" si="29"/>
        <v>0</v>
      </c>
      <c r="L117" s="316"/>
      <c r="M117" s="289" t="str">
        <f t="shared" ca="1" si="30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idden="1">
      <c r="A118" s="283"/>
      <c r="B118" s="450"/>
      <c r="C118" s="451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5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26"/>
        <v>0</v>
      </c>
      <c r="I118" s="308">
        <f t="shared" ca="1" si="27"/>
        <v>0</v>
      </c>
      <c r="J118" s="308">
        <f t="shared" ca="1" si="28"/>
        <v>0</v>
      </c>
      <c r="K118" s="309">
        <f t="shared" ca="1" si="29"/>
        <v>0</v>
      </c>
      <c r="L118" s="316"/>
      <c r="M118" s="289" t="str">
        <f t="shared" ca="1" si="30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idden="1">
      <c r="A119" s="283"/>
      <c r="B119" s="450"/>
      <c r="C119" s="451"/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/>
      </c>
      <c r="F119" s="455"/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26"/>
        <v>0</v>
      </c>
      <c r="I119" s="308">
        <f t="shared" ca="1" si="27"/>
        <v>0</v>
      </c>
      <c r="J119" s="308">
        <f t="shared" ca="1" si="28"/>
        <v>0</v>
      </c>
      <c r="K119" s="309">
        <f t="shared" ca="1" si="29"/>
        <v>0</v>
      </c>
      <c r="L119" s="316"/>
      <c r="M119" s="289" t="str">
        <f t="shared" ca="1" si="30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idden="1">
      <c r="A120" s="283"/>
      <c r="B120" s="450"/>
      <c r="C120" s="451"/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/>
      </c>
      <c r="F120" s="455"/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26"/>
        <v>0</v>
      </c>
      <c r="I120" s="308">
        <f t="shared" ca="1" si="27"/>
        <v>0</v>
      </c>
      <c r="J120" s="308">
        <f t="shared" ca="1" si="28"/>
        <v>0</v>
      </c>
      <c r="K120" s="309">
        <f t="shared" ca="1" si="29"/>
        <v>0</v>
      </c>
      <c r="L120" s="316"/>
      <c r="M120" s="289" t="str">
        <f t="shared" ca="1" si="30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 hidden="1">
      <c r="A121" s="283"/>
      <c r="B121" s="450"/>
      <c r="C121" s="451"/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/>
      </c>
      <c r="F121" s="455"/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ca="1" si="26"/>
        <v>0</v>
      </c>
      <c r="I121" s="308">
        <f t="shared" ca="1" si="27"/>
        <v>0</v>
      </c>
      <c r="J121" s="308">
        <f t="shared" ca="1" si="28"/>
        <v>0</v>
      </c>
      <c r="K121" s="309">
        <f t="shared" ca="1" si="29"/>
        <v>0</v>
      </c>
      <c r="L121" s="316"/>
      <c r="M121" s="289" t="str">
        <f t="shared" ca="1" si="30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419" t="s">
        <v>1602</v>
      </c>
      <c r="C122" s="422" t="s">
        <v>1604</v>
      </c>
      <c r="D122" s="305" t="str">
        <f ca="1">IF(ISERROR(OFFSET('HARGA SATUAN'!$D$6,MATCH(RAB!C122,'HARGA SATUAN'!$C$7:$C$1495,0),0)),"",OFFSET('HARGA SATUAN'!$D$6,MATCH(RAB!C122,'HARGA SATUAN'!$C$7:$C$1495,0),0))</f>
        <v/>
      </c>
      <c r="E122" s="306" t="str">
        <f ca="1">IF(B122="+","Unit",IF(ISERROR(OFFSET('HARGA SATUAN'!$E$6,MATCH(RAB!C122,'HARGA SATUAN'!$C$7:$C$1495,0),0)),"",OFFSET('HARGA SATUAN'!$E$6,MATCH(RAB!C122,'HARGA SATUAN'!$C$7:$C$1495,0),0)))</f>
        <v/>
      </c>
      <c r="F122" s="456"/>
      <c r="G122" s="307">
        <f ca="1">IF(ISERROR(OFFSET('HARGA SATUAN'!$I$6,MATCH(RAB!C122,'HARGA SATUAN'!$C$7:$C$1495,0),0)),0,OFFSET('HARGA SATUAN'!$I$6,MATCH(RAB!C122,'HARGA SATUAN'!$C$7:$C$1495,0),0))</f>
        <v>0</v>
      </c>
      <c r="H122" s="308">
        <f t="shared" ref="H122:H127" ca="1" si="31">IF(OR(D122="MDU",D122="MDU-KD"),(IF($O$3="RAB NON MDU","PLN KD",G122*F122)),0)</f>
        <v>0</v>
      </c>
      <c r="I122" s="308">
        <f t="shared" ref="I122:I127" ca="1" si="32">IF(D122="HDW",G122*F122,0)</f>
        <v>0</v>
      </c>
      <c r="J122" s="308">
        <f t="shared" ref="J122:J127" ca="1" si="33">IF(D122="JASA",G122*F122,0)</f>
        <v>0</v>
      </c>
      <c r="K122" s="309">
        <f t="shared" ref="K122:K127" ca="1" si="34">SUM(H122:J122)</f>
        <v>0</v>
      </c>
      <c r="L122" s="316"/>
      <c r="M122" s="289" t="str">
        <f t="shared" ca="1" si="30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>
        <v>1</v>
      </c>
      <c r="C123" s="109" t="s">
        <v>1457</v>
      </c>
      <c r="D123" s="305" t="str">
        <f ca="1">IF(ISERROR(OFFSET('HARGA SATUAN'!$D$6,MATCH(RAB!C123,'HARGA SATUAN'!$C$7:$C$1495,0),0)),"",OFFSET('HARGA SATUAN'!$D$6,MATCH(RAB!C123,'HARGA SATUAN'!$C$7:$C$1495,0),0))</f>
        <v>MDU-KD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420">
        <v>60</v>
      </c>
      <c r="G123" s="307">
        <f ca="1">IF(ISERROR(OFFSET('HARGA SATUAN'!$I$6,MATCH(RAB!C123,'HARGA SATUAN'!$C$7:$C$1495,0),0)),0,OFFSET('HARGA SATUAN'!$I$6,MATCH(RAB!C123,'HARGA SATUAN'!$C$7:$C$1495,0),0))</f>
        <v>54500</v>
      </c>
      <c r="H123" s="308">
        <f t="shared" ca="1" si="31"/>
        <v>3270000</v>
      </c>
      <c r="I123" s="308">
        <f t="shared" ca="1" si="32"/>
        <v>0</v>
      </c>
      <c r="J123" s="308">
        <f t="shared" ca="1" si="33"/>
        <v>0</v>
      </c>
      <c r="K123" s="309">
        <f t="shared" ca="1" si="34"/>
        <v>3270000</v>
      </c>
      <c r="L123" s="316"/>
      <c r="M123" s="289" t="str">
        <f t="shared" si="30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>
        <v>2</v>
      </c>
      <c r="C124" s="109" t="s">
        <v>346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Per 50 m</v>
      </c>
      <c r="F124" s="420">
        <v>1.2</v>
      </c>
      <c r="G124" s="307">
        <f ca="1">IF(ISERROR(OFFSET('HARGA SATUAN'!$I$6,MATCH(RAB!C124,'HARGA SATUAN'!$C$7:$C$1495,0),0)),0,OFFSET('HARGA SATUAN'!$I$6,MATCH(RAB!C124,'HARGA SATUAN'!$C$7:$C$1495,0),0))</f>
        <v>223500</v>
      </c>
      <c r="H124" s="308">
        <f t="shared" ca="1" si="31"/>
        <v>0</v>
      </c>
      <c r="I124" s="308">
        <f t="shared" ca="1" si="32"/>
        <v>0</v>
      </c>
      <c r="J124" s="308">
        <f t="shared" ca="1" si="33"/>
        <v>268200</v>
      </c>
      <c r="K124" s="309">
        <f t="shared" ca="1" si="34"/>
        <v>268200</v>
      </c>
      <c r="L124" s="316"/>
      <c r="M124" s="289" t="str">
        <f t="shared" ca="1" si="30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/>
      <c r="C125" s="319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420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31"/>
        <v>0</v>
      </c>
      <c r="I125" s="308">
        <f t="shared" ca="1" si="32"/>
        <v>0</v>
      </c>
      <c r="J125" s="308">
        <f t="shared" ca="1" si="33"/>
        <v>0</v>
      </c>
      <c r="K125" s="309">
        <f t="shared" ca="1" si="34"/>
        <v>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318"/>
      <c r="C126" s="319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20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31"/>
        <v>0</v>
      </c>
      <c r="I126" s="308">
        <f t="shared" ca="1" si="32"/>
        <v>0</v>
      </c>
      <c r="J126" s="308">
        <f t="shared" ca="1" si="33"/>
        <v>0</v>
      </c>
      <c r="K126" s="309">
        <f t="shared" ca="1" si="34"/>
        <v>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318"/>
      <c r="C127" s="319"/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/>
      </c>
      <c r="F127" s="420"/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31"/>
        <v>0</v>
      </c>
      <c r="I127" s="308">
        <f t="shared" ca="1" si="32"/>
        <v>0</v>
      </c>
      <c r="J127" s="308">
        <f t="shared" ca="1" si="33"/>
        <v>0</v>
      </c>
      <c r="K127" s="309">
        <f t="shared" ca="1" si="34"/>
        <v>0</v>
      </c>
      <c r="L127" s="316"/>
      <c r="M127" s="289" t="e">
        <f>IF(AND(F127&gt;0,#REF!=0),"",IF(AND(ISBLANK(F127)=FALSE,K127=0),"WARNING",""))</f>
        <v>#REF!</v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419" t="s">
        <v>1610</v>
      </c>
      <c r="C128" s="422" t="s">
        <v>1606</v>
      </c>
      <c r="D128" s="305" t="str">
        <f ca="1">IF(ISERROR(OFFSET('HARGA SATUAN'!$D$6,MATCH(RAB!C128,'HARGA SATUAN'!$C$7:$C$1495,0),0)),"",OFFSET('HARGA SATUAN'!$D$6,MATCH(RAB!C128,'HARGA SATUAN'!$C$7:$C$1495,0),0))</f>
        <v/>
      </c>
      <c r="E128" s="306" t="str">
        <f ca="1">IF(B128="+","Unit",IF(ISERROR(OFFSET('HARGA SATUAN'!$E$6,MATCH(RAB!C128,'HARGA SATUAN'!$C$7:$C$1495,0),0)),"",OFFSET('HARGA SATUAN'!$E$6,MATCH(RAB!C128,'HARGA SATUAN'!$C$7:$C$1495,0),0)))</f>
        <v/>
      </c>
      <c r="F128" s="457"/>
      <c r="G128" s="307">
        <f ca="1">IF(ISERROR(OFFSET('HARGA SATUAN'!$I$6,MATCH(RAB!C128,'HARGA SATUAN'!$C$7:$C$1495,0),0)),0,OFFSET('HARGA SATUAN'!$I$6,MATCH(RAB!C128,'HARGA SATUAN'!$C$7:$C$1495,0),0))</f>
        <v>0</v>
      </c>
      <c r="H128" s="308">
        <f t="shared" ref="H128:H142" ca="1" si="35">IF(OR(D128="MDU",D128="MDU-KD"),(IF($O$3="RAB NON MDU","PLN KD",G128*F128)),0)</f>
        <v>0</v>
      </c>
      <c r="I128" s="308">
        <f t="shared" ref="I128:I142" ca="1" si="36">IF(D128="HDW",G128*F128,0)</f>
        <v>0</v>
      </c>
      <c r="J128" s="308">
        <f t="shared" ref="J128:J142" ca="1" si="37">IF(D128="JASA",G128*F128,0)</f>
        <v>0</v>
      </c>
      <c r="K128" s="309">
        <f t="shared" ref="K128:K142" ca="1" si="38">SUM(H128:J128)</f>
        <v>0</v>
      </c>
      <c r="L128" s="316"/>
      <c r="M128" s="289" t="str">
        <f t="shared" ca="1" si="30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466" t="s">
        <v>1035</v>
      </c>
      <c r="C129" s="467" t="s">
        <v>1632</v>
      </c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>Unit</v>
      </c>
      <c r="F129" s="465">
        <v>1</v>
      </c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ca="1" si="35"/>
        <v>0</v>
      </c>
      <c r="I129" s="308">
        <f t="shared" ca="1" si="36"/>
        <v>0</v>
      </c>
      <c r="J129" s="308">
        <f t="shared" ca="1" si="37"/>
        <v>0</v>
      </c>
      <c r="K129" s="309">
        <f t="shared" ca="1" si="38"/>
        <v>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 ht="30">
      <c r="A130" s="283"/>
      <c r="B130" s="462">
        <v>1</v>
      </c>
      <c r="C130" s="109" t="s">
        <v>1196</v>
      </c>
      <c r="D130" s="305" t="str">
        <f ca="1">IF(ISERROR(OFFSET('HARGA SATUAN'!$D$6,MATCH(RAB!C130,'HARGA SATUAN'!$C$7:$C$1495,0),0)),"",OFFSET('HARGA SATUAN'!$D$6,MATCH(RAB!C130,'HARGA SATUAN'!$C$7:$C$1495,0),0))</f>
        <v>MDU-KD</v>
      </c>
      <c r="E130" s="306" t="str">
        <f ca="1">IF(B130="+","Unit",IF(ISERROR(OFFSET('HARGA SATUAN'!$E$6,MATCH(RAB!C130,'HARGA SATUAN'!$C$7:$C$1495,0),0)),"",OFFSET('HARGA SATUAN'!$E$6,MATCH(RAB!C130,'HARGA SATUAN'!$C$7:$C$1495,0),0)))</f>
        <v>Bh</v>
      </c>
      <c r="F130" s="465">
        <f>F129*1</f>
        <v>1</v>
      </c>
      <c r="G130" s="307">
        <f ca="1">IF(ISERROR(OFFSET('HARGA SATUAN'!$I$6,MATCH(RAB!C130,'HARGA SATUAN'!$C$7:$C$1495,0),0)),0,OFFSET('HARGA SATUAN'!$I$6,MATCH(RAB!C130,'HARGA SATUAN'!$C$7:$C$1495,0),0))</f>
        <v>1427400</v>
      </c>
      <c r="H130" s="308">
        <f t="shared" ca="1" si="35"/>
        <v>1427400</v>
      </c>
      <c r="I130" s="308">
        <f t="shared" ca="1" si="36"/>
        <v>0</v>
      </c>
      <c r="J130" s="308">
        <f t="shared" ca="1" si="37"/>
        <v>0</v>
      </c>
      <c r="K130" s="309">
        <f t="shared" ca="1" si="38"/>
        <v>1427400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462">
        <v>2</v>
      </c>
      <c r="C131" s="468" t="s">
        <v>512</v>
      </c>
      <c r="D131" s="305" t="str">
        <f ca="1">IF(ISERROR(OFFSET('HARGA SATUAN'!$D$6,MATCH(RAB!C131,'HARGA SATUAN'!$C$7:$C$1495,0),0)),"",OFFSET('HARGA SATUAN'!$D$6,MATCH(RAB!C131,'HARGA SATUAN'!$C$7:$C$1495,0),0))</f>
        <v>MDU-KD</v>
      </c>
      <c r="E131" s="306" t="str">
        <f ca="1">IF(B131="+","Unit",IF(ISERROR(OFFSET('HARGA SATUAN'!$E$6,MATCH(RAB!C131,'HARGA SATUAN'!$C$7:$C$1495,0),0)),"",OFFSET('HARGA SATUAN'!$E$6,MATCH(RAB!C131,'HARGA SATUAN'!$C$7:$C$1495,0),0)))</f>
        <v>Unit</v>
      </c>
      <c r="F131" s="465">
        <f>F129*1</f>
        <v>1</v>
      </c>
      <c r="G131" s="307">
        <f ca="1">IF(ISERROR(OFFSET('HARGA SATUAN'!$I$6,MATCH(RAB!C131,'HARGA SATUAN'!$C$7:$C$1495,0),0)),0,OFFSET('HARGA SATUAN'!$I$6,MATCH(RAB!C131,'HARGA SATUAN'!$C$7:$C$1495,0),0))</f>
        <v>3564900</v>
      </c>
      <c r="H131" s="308">
        <f t="shared" ca="1" si="35"/>
        <v>3564900</v>
      </c>
      <c r="I131" s="308">
        <f t="shared" ca="1" si="36"/>
        <v>0</v>
      </c>
      <c r="J131" s="308">
        <f t="shared" ca="1" si="37"/>
        <v>0</v>
      </c>
      <c r="K131" s="309">
        <f t="shared" ca="1" si="38"/>
        <v>3564900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462">
        <v>3</v>
      </c>
      <c r="C132" s="468" t="s">
        <v>1141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Unit</v>
      </c>
      <c r="F132" s="465">
        <f>F129*1</f>
        <v>1</v>
      </c>
      <c r="G132" s="307">
        <f ca="1">IF(ISERROR(OFFSET('HARGA SATUAN'!$I$6,MATCH(RAB!C132,'HARGA SATUAN'!$C$7:$C$1495,0),0)),0,OFFSET('HARGA SATUAN'!$I$6,MATCH(RAB!C132,'HARGA SATUAN'!$C$7:$C$1495,0),0))</f>
        <v>1113900</v>
      </c>
      <c r="H132" s="308">
        <f t="shared" ca="1" si="35"/>
        <v>0</v>
      </c>
      <c r="I132" s="308">
        <f t="shared" ca="1" si="36"/>
        <v>1113900</v>
      </c>
      <c r="J132" s="308">
        <f t="shared" ca="1" si="37"/>
        <v>0</v>
      </c>
      <c r="K132" s="309">
        <f t="shared" ca="1" si="38"/>
        <v>1113900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62">
        <v>4</v>
      </c>
      <c r="C133" s="109" t="s">
        <v>1402</v>
      </c>
      <c r="D133" s="305" t="str">
        <f ca="1">IF(ISERROR(OFFSET('HARGA SATUAN'!$D$6,MATCH(RAB!C133,'HARGA SATUAN'!$C$7:$C$1495,0),0)),"",OFFSET('HARGA SATUAN'!$D$6,MATCH(RAB!C133,'HARGA SATUAN'!$C$7:$C$1495,0),0))</f>
        <v>MDU-KD</v>
      </c>
      <c r="E133" s="306" t="str">
        <f ca="1">IF(B133="+","Unit",IF(ISERROR(OFFSET('HARGA SATUAN'!$E$6,MATCH(RAB!C133,'HARGA SATUAN'!$C$7:$C$1495,0),0)),"",OFFSET('HARGA SATUAN'!$E$6,MATCH(RAB!C133,'HARGA SATUAN'!$C$7:$C$1495,0),0)))</f>
        <v>Mtr</v>
      </c>
      <c r="F133" s="465">
        <v>45</v>
      </c>
      <c r="G133" s="307">
        <f ca="1">IF(ISERROR(OFFSET('HARGA SATUAN'!$I$6,MATCH(RAB!C133,'HARGA SATUAN'!$C$7:$C$1495,0),0)),0,OFFSET('HARGA SATUAN'!$I$6,MATCH(RAB!C133,'HARGA SATUAN'!$C$7:$C$1495,0),0))</f>
        <v>30400</v>
      </c>
      <c r="H133" s="308">
        <f t="shared" ca="1" si="35"/>
        <v>1368000</v>
      </c>
      <c r="I133" s="308">
        <f t="shared" ca="1" si="36"/>
        <v>0</v>
      </c>
      <c r="J133" s="308">
        <f t="shared" ca="1" si="37"/>
        <v>0</v>
      </c>
      <c r="K133" s="309">
        <f t="shared" ca="1" si="38"/>
        <v>1368000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462">
        <v>5</v>
      </c>
      <c r="C134" s="468" t="s">
        <v>799</v>
      </c>
      <c r="D134" s="305" t="str">
        <f ca="1">IF(ISERROR(OFFSET('HARGA SATUAN'!$D$6,MATCH(RAB!C134,'HARGA SATUAN'!$C$7:$C$1495,0),0)),"",OFFSET('HARGA SATUAN'!$D$6,MATCH(RAB!C134,'HARGA SATUAN'!$C$7:$C$1495,0),0))</f>
        <v>JASA</v>
      </c>
      <c r="E134" s="306" t="str">
        <f ca="1">IF(B134="+","Unit",IF(ISERROR(OFFSET('HARGA SATUAN'!$E$6,MATCH(RAB!C134,'HARGA SATUAN'!$C$7:$C$1495,0),0)),"",OFFSET('HARGA SATUAN'!$E$6,MATCH(RAB!C134,'HARGA SATUAN'!$C$7:$C$1495,0),0)))</f>
        <v>Unit</v>
      </c>
      <c r="F134" s="465">
        <f>F129*1</f>
        <v>1</v>
      </c>
      <c r="G134" s="307">
        <f ca="1">IF(ISERROR(OFFSET('HARGA SATUAN'!$I$6,MATCH(RAB!C134,'HARGA SATUAN'!$C$7:$C$1495,0),0)),0,OFFSET('HARGA SATUAN'!$I$6,MATCH(RAB!C134,'HARGA SATUAN'!$C$7:$C$1495,0),0))</f>
        <v>106400</v>
      </c>
      <c r="H134" s="308">
        <f ca="1">IF(OR(D134="MDU",D134="MDU-KD"),(IF($O$3="RAB NON MDU","PLN KD",G134*F134)),0)</f>
        <v>0</v>
      </c>
      <c r="I134" s="308">
        <f ca="1">IF(D134="HDW",G134*F134,0)</f>
        <v>0</v>
      </c>
      <c r="J134" s="308">
        <f ca="1">IF(D134="JASA",G134*F134,0)</f>
        <v>106400</v>
      </c>
      <c r="K134" s="309">
        <f ca="1">SUM(H134:J134)</f>
        <v>106400</v>
      </c>
      <c r="L134" s="316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318"/>
      <c r="C135" s="319"/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454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35"/>
        <v>0</v>
      </c>
      <c r="I135" s="308">
        <f t="shared" ca="1" si="36"/>
        <v>0</v>
      </c>
      <c r="J135" s="308">
        <f t="shared" ca="1" si="37"/>
        <v>0</v>
      </c>
      <c r="K135" s="309">
        <f t="shared" ca="1" si="38"/>
        <v>0</v>
      </c>
      <c r="L135" s="316"/>
      <c r="M135" s="289" t="str">
        <f ca="1">IF(AND(F135&gt;0,F128=0),"",IF(AND(ISBLANK(F135)=FALSE,K135=0),"WARNING",""))</f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318" t="s">
        <v>1035</v>
      </c>
      <c r="C136" s="319" t="s">
        <v>1621</v>
      </c>
      <c r="D136" s="305" t="str">
        <f ca="1">IF(ISERROR(OFFSET('HARGA SATUAN'!$D$6,MATCH(RAB!C136,'HARGA SATUAN'!$C$7:$C$1495,0),0)),"",OFFSET('HARGA SATUAN'!$D$6,MATCH(RAB!C136,'HARGA SATUAN'!$C$7:$C$1495,0),0))</f>
        <v/>
      </c>
      <c r="E136" s="306" t="str">
        <f ca="1">IF(B136="+","Unit",IF(ISERROR(OFFSET('HARGA SATUAN'!$E$6,MATCH(RAB!C136,'HARGA SATUAN'!$C$7:$C$1495,0),0)),"",OFFSET('HARGA SATUAN'!$E$6,MATCH(RAB!C136,'HARGA SATUAN'!$C$7:$C$1495,0),0)))</f>
        <v>Unit</v>
      </c>
      <c r="F136" s="453">
        <v>1</v>
      </c>
      <c r="G136" s="307">
        <f ca="1">IF(ISERROR(OFFSET('HARGA SATUAN'!$I$6,MATCH(RAB!C136,'HARGA SATUAN'!$C$7:$C$1495,0),0)),0,OFFSET('HARGA SATUAN'!$I$6,MATCH(RAB!C136,'HARGA SATUAN'!$C$7:$C$1495,0),0))</f>
        <v>0</v>
      </c>
      <c r="H136" s="308">
        <f t="shared" ca="1" si="35"/>
        <v>0</v>
      </c>
      <c r="I136" s="308">
        <f t="shared" ca="1" si="36"/>
        <v>0</v>
      </c>
      <c r="J136" s="308">
        <f t="shared" ca="1" si="37"/>
        <v>0</v>
      </c>
      <c r="K136" s="309">
        <f t="shared" ca="1" si="38"/>
        <v>0</v>
      </c>
      <c r="L136" s="316"/>
      <c r="M136" s="289" t="str">
        <f t="shared" si="30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318">
        <v>1</v>
      </c>
      <c r="C137" s="319" t="s">
        <v>29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453">
        <f>F136*1</f>
        <v>1</v>
      </c>
      <c r="G137" s="307">
        <f ca="1">IF(ISERROR(OFFSET('HARGA SATUAN'!$I$6,MATCH(RAB!C137,'HARGA SATUAN'!$C$7:$C$1495,0),0)),0,OFFSET('HARGA SATUAN'!$I$6,MATCH(RAB!C137,'HARGA SATUAN'!$C$7:$C$1495,0),0))</f>
        <v>185200</v>
      </c>
      <c r="H137" s="308">
        <f t="shared" ca="1" si="35"/>
        <v>0</v>
      </c>
      <c r="I137" s="308">
        <f t="shared" ca="1" si="36"/>
        <v>185200</v>
      </c>
      <c r="J137" s="308">
        <f t="shared" ca="1" si="37"/>
        <v>0</v>
      </c>
      <c r="K137" s="309">
        <f t="shared" ca="1" si="38"/>
        <v>185200</v>
      </c>
      <c r="L137" s="316"/>
      <c r="M137" s="289" t="str">
        <f t="shared" ca="1" si="30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318">
        <v>2</v>
      </c>
      <c r="C138" s="319" t="s">
        <v>30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453">
        <f>F136*1</f>
        <v>1</v>
      </c>
      <c r="G138" s="307">
        <f ca="1">IF(ISERROR(OFFSET('HARGA SATUAN'!$I$6,MATCH(RAB!C138,'HARGA SATUAN'!$C$7:$C$1495,0),0)),0,OFFSET('HARGA SATUAN'!$I$6,MATCH(RAB!C138,'HARGA SATUAN'!$C$7:$C$1495,0),0))</f>
        <v>47459</v>
      </c>
      <c r="H138" s="308">
        <f t="shared" ca="1" si="35"/>
        <v>0</v>
      </c>
      <c r="I138" s="308">
        <f t="shared" ca="1" si="36"/>
        <v>47459</v>
      </c>
      <c r="J138" s="308">
        <f t="shared" ca="1" si="37"/>
        <v>0</v>
      </c>
      <c r="K138" s="309">
        <f t="shared" ca="1" si="38"/>
        <v>47459</v>
      </c>
      <c r="L138" s="316"/>
      <c r="M138" s="289" t="str">
        <f t="shared" ca="1" si="30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318">
        <v>3</v>
      </c>
      <c r="C139" s="319" t="s">
        <v>32</v>
      </c>
      <c r="D139" s="305" t="str">
        <f ca="1">IF(ISERROR(OFFSET('HARGA SATUAN'!$D$6,MATCH(RAB!C139,'HARGA SATUAN'!$C$7:$C$1495,0),0)),"",OFFSET('HARGA SATUAN'!$D$6,MATCH(RAB!C139,'HARGA SATUAN'!$C$7:$C$1495,0),0))</f>
        <v>HDW</v>
      </c>
      <c r="E139" s="306" t="str">
        <f ca="1">IF(B139="+","Unit",IF(ISERROR(OFFSET('HARGA SATUAN'!$E$6,MATCH(RAB!C139,'HARGA SATUAN'!$C$7:$C$1495,0),0)),"",OFFSET('HARGA SATUAN'!$E$6,MATCH(RAB!C139,'HARGA SATUAN'!$C$7:$C$1495,0),0)))</f>
        <v>Mtr</v>
      </c>
      <c r="F139" s="453">
        <f>F136*1.5</f>
        <v>1.5</v>
      </c>
      <c r="G139" s="307">
        <f ca="1">IF(ISERROR(OFFSET('HARGA SATUAN'!$I$6,MATCH(RAB!C139,'HARGA SATUAN'!$C$7:$C$1495,0),0)),0,OFFSET('HARGA SATUAN'!$I$6,MATCH(RAB!C139,'HARGA SATUAN'!$C$7:$C$1495,0),0))</f>
        <v>30000</v>
      </c>
      <c r="H139" s="308">
        <f t="shared" ca="1" si="35"/>
        <v>0</v>
      </c>
      <c r="I139" s="308">
        <f t="shared" ca="1" si="36"/>
        <v>45000</v>
      </c>
      <c r="J139" s="308">
        <f t="shared" ca="1" si="37"/>
        <v>0</v>
      </c>
      <c r="K139" s="309">
        <f t="shared" ca="1" si="38"/>
        <v>45000</v>
      </c>
      <c r="L139" s="316"/>
      <c r="M139" s="289" t="str">
        <f t="shared" ca="1" si="30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318">
        <v>4</v>
      </c>
      <c r="C140" s="319" t="s">
        <v>33</v>
      </c>
      <c r="D140" s="305" t="str">
        <f ca="1">IF(ISERROR(OFFSET('HARGA SATUAN'!$D$6,MATCH(RAB!C140,'HARGA SATUAN'!$C$7:$C$1495,0),0)),"",OFFSET('HARGA SATUAN'!$D$6,MATCH(RAB!C140,'HARGA SATUAN'!$C$7:$C$1495,0),0))</f>
        <v>HDW</v>
      </c>
      <c r="E140" s="306" t="str">
        <f ca="1">IF(B140="+","Unit",IF(ISERROR(OFFSET('HARGA SATUAN'!$E$6,MATCH(RAB!C140,'HARGA SATUAN'!$C$7:$C$1495,0),0)),"",OFFSET('HARGA SATUAN'!$E$6,MATCH(RAB!C140,'HARGA SATUAN'!$C$7:$C$1495,0),0)))</f>
        <v>Bh</v>
      </c>
      <c r="F140" s="453">
        <f>F136*2</f>
        <v>2</v>
      </c>
      <c r="G140" s="307">
        <f ca="1">IF(ISERROR(OFFSET('HARGA SATUAN'!$I$6,MATCH(RAB!C140,'HARGA SATUAN'!$C$7:$C$1495,0),0)),0,OFFSET('HARGA SATUAN'!$I$6,MATCH(RAB!C140,'HARGA SATUAN'!$C$7:$C$1495,0),0))</f>
        <v>9500</v>
      </c>
      <c r="H140" s="308">
        <f t="shared" ca="1" si="35"/>
        <v>0</v>
      </c>
      <c r="I140" s="308">
        <f t="shared" ca="1" si="36"/>
        <v>19000</v>
      </c>
      <c r="J140" s="308">
        <f t="shared" ca="1" si="37"/>
        <v>0</v>
      </c>
      <c r="K140" s="309">
        <f t="shared" ca="1" si="38"/>
        <v>19000</v>
      </c>
      <c r="L140" s="316"/>
      <c r="M140" s="289" t="str">
        <f t="shared" ca="1" si="30"/>
        <v/>
      </c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318">
        <v>5</v>
      </c>
      <c r="C141" s="319" t="s">
        <v>735</v>
      </c>
      <c r="D141" s="305" t="str">
        <f ca="1">IF(ISERROR(OFFSET('HARGA SATUAN'!$D$6,MATCH(RAB!C141,'HARGA SATUAN'!$C$7:$C$1495,0),0)),"",OFFSET('HARGA SATUAN'!$D$6,MATCH(RAB!C141,'HARGA SATUAN'!$C$7:$C$1495,0),0))</f>
        <v>JASA</v>
      </c>
      <c r="E141" s="306" t="str">
        <f ca="1">IF(B141="+","Unit",IF(ISERROR(OFFSET('HARGA SATUAN'!$E$6,MATCH(RAB!C141,'HARGA SATUAN'!$C$7:$C$1495,0),0)),"",OFFSET('HARGA SATUAN'!$E$6,MATCH(RAB!C141,'HARGA SATUAN'!$C$7:$C$1495,0),0)))</f>
        <v>Unit</v>
      </c>
      <c r="F141" s="453">
        <f>F136*1</f>
        <v>1</v>
      </c>
      <c r="G141" s="307">
        <f ca="1">IF(ISERROR(OFFSET('HARGA SATUAN'!$I$6,MATCH(RAB!C141,'HARGA SATUAN'!$C$7:$C$1495,0),0)),0,OFFSET('HARGA SATUAN'!$I$6,MATCH(RAB!C141,'HARGA SATUAN'!$C$7:$C$1495,0),0))</f>
        <v>56400</v>
      </c>
      <c r="H141" s="308">
        <f t="shared" ca="1" si="35"/>
        <v>0</v>
      </c>
      <c r="I141" s="308">
        <f t="shared" ca="1" si="36"/>
        <v>0</v>
      </c>
      <c r="J141" s="308">
        <f t="shared" ca="1" si="37"/>
        <v>56400</v>
      </c>
      <c r="K141" s="309">
        <f t="shared" ca="1" si="38"/>
        <v>56400</v>
      </c>
      <c r="L141" s="316"/>
      <c r="M141" s="289" t="str">
        <f t="shared" ca="1" si="30"/>
        <v/>
      </c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>
      <c r="B142" s="321"/>
      <c r="C142" s="320"/>
      <c r="D142" s="305" t="str">
        <f ca="1">IF(ISERROR(OFFSET('HARGA SATUAN'!$D$6,MATCH(RAB!C142,'HARGA SATUAN'!$C$7:$C$1495,0),0)),"",OFFSET('HARGA SATUAN'!$D$6,MATCH(RAB!C142,'HARGA SATUAN'!$C$7:$C$1495,0),0))</f>
        <v/>
      </c>
      <c r="E142" s="306" t="str">
        <f ca="1">IF(B142="+","Unit",IF(ISERROR(OFFSET('HARGA SATUAN'!$E$6,MATCH(RAB!C142,'HARGA SATUAN'!$C$7:$C$1495,0),0)),"",OFFSET('HARGA SATUAN'!$E$6,MATCH(RAB!C142,'HARGA SATUAN'!$C$7:$C$1495,0),0)))</f>
        <v/>
      </c>
      <c r="F142" s="315"/>
      <c r="G142" s="307">
        <f ca="1">IF(ISERROR(OFFSET('HARGA SATUAN'!$I$6,MATCH(RAB!C142,'HARGA SATUAN'!$C$7:$C$1495,0),0)),0,OFFSET('HARGA SATUAN'!$I$6,MATCH(RAB!C142,'HARGA SATUAN'!$C$7:$C$1495,0),0))</f>
        <v>0</v>
      </c>
      <c r="H142" s="308">
        <f t="shared" ca="1" si="35"/>
        <v>0</v>
      </c>
      <c r="I142" s="308">
        <f t="shared" ca="1" si="36"/>
        <v>0</v>
      </c>
      <c r="J142" s="308">
        <f t="shared" ca="1" si="37"/>
        <v>0</v>
      </c>
      <c r="K142" s="309">
        <f t="shared" ca="1" si="38"/>
        <v>0</v>
      </c>
      <c r="M142" s="289" t="str">
        <f t="shared" ca="1" si="30"/>
        <v/>
      </c>
    </row>
    <row r="143" spans="1:22">
      <c r="B143" s="322"/>
      <c r="C143" s="323" t="s">
        <v>475</v>
      </c>
      <c r="D143" s="305" t="str">
        <f ca="1">IF(ISERROR(OFFSET('HARGA SATUAN'!$D$6,MATCH(RAB!C143,'HARGA SATUAN'!$C$7:$C$1495,0),0)),"",OFFSET('HARGA SATUAN'!$D$6,MATCH(RAB!C143,'HARGA SATUAN'!$C$7:$C$1495,0),0))</f>
        <v/>
      </c>
      <c r="E143" s="306" t="str">
        <f ca="1">IF(B143="+","Unit",IF(ISERROR(OFFSET('HARGA SATUAN'!$E$6,MATCH(RAB!C143,'HARGA SATUAN'!$C$7:$C$1495,0),0)),"",OFFSET('HARGA SATUAN'!$E$6,MATCH(RAB!C143,'HARGA SATUAN'!$C$7:$C$1495,0),0)))</f>
        <v/>
      </c>
      <c r="F143" s="315"/>
      <c r="G143" s="307">
        <f ca="1">IF(ISERROR(OFFSET('HARGA SATUAN'!$I$6,MATCH(RAB!C143,'HARGA SATUAN'!$C$7:$C$1495,0),0)),0,OFFSET('HARGA SATUAN'!$I$6,MATCH(RAB!C143,'HARGA SATUAN'!$C$7:$C$1495,0),0))</f>
        <v>0</v>
      </c>
      <c r="H143" s="308">
        <f ca="1">IF(OR(D143="MDU",D143="MDU-KD"),(IF($O$3="RAB NON MDU","PLN KD",G143*F143)),0)</f>
        <v>0</v>
      </c>
      <c r="I143" s="308">
        <f ca="1">IF(D143="HDW",G143*F143,0)</f>
        <v>0</v>
      </c>
      <c r="J143" s="308">
        <f ca="1">IF(D143="JASA",G143*F143,0)</f>
        <v>0</v>
      </c>
      <c r="K143" s="309">
        <f ca="1">SUM(H143:J143)</f>
        <v>0</v>
      </c>
      <c r="M143" s="289" t="e">
        <f>IF(AND(F143&gt;0,#REF!=0),"",IF(AND(ISBLANK(F143)=FALSE,K143=0),"WARNING",""))</f>
        <v>#REF!</v>
      </c>
    </row>
    <row r="144" spans="1:22">
      <c r="B144" s="325">
        <v>1</v>
      </c>
      <c r="C144" s="326" t="s">
        <v>1091</v>
      </c>
      <c r="D144" s="327" t="str">
        <f ca="1">IF(ISERROR(OFFSET('HARGA SATUAN'!$D$6,MATCH(RAB!C144,'HARGA SATUAN'!$C$7:$C$1495,0),0)),"",OFFSET('HARGA SATUAN'!$D$6,MATCH(RAB!C144,'HARGA SATUAN'!$C$7:$C$1495,0),0))</f>
        <v>JASA</v>
      </c>
      <c r="E144" s="328" t="str">
        <f ca="1">IF(ISERROR(OFFSET('HARGA SATUAN'!$E$6,MATCH(RAB!C144,'HARGA SATUAN'!$C$7:$C$1495,0),0)),"",OFFSET('HARGA SATUAN'!$E$6,MATCH(RAB!C144,'HARGA SATUAN'!$C$7:$C$1495,0),0))</f>
        <v>Lot</v>
      </c>
      <c r="F144" s="329">
        <v>1</v>
      </c>
      <c r="G144" s="330">
        <f ca="1">IF(ISERROR(OFFSET('HARGA SATUAN'!$I$6,MATCH(RAB!C144,'HARGA SATUAN'!$C$7:$C$1495,0),0)),0,OFFSET('HARGA SATUAN'!$I$6,MATCH(RAB!C144,'HARGA SATUAN'!$C$7:$C$1495,0),0))</f>
        <v>2.5000000000000001E-2</v>
      </c>
      <c r="H144" s="331">
        <f ca="1">SUM(H14:H143)*G144</f>
        <v>378231.25</v>
      </c>
      <c r="I144" s="331">
        <f ca="1">SUM(I14:I143)*G144</f>
        <v>573946.35</v>
      </c>
      <c r="J144" s="331">
        <f ca="1">SUM(J14:J143)*G144</f>
        <v>52493.333333333328</v>
      </c>
      <c r="K144" s="331">
        <f ca="1">SUM(K14:K143)*G144</f>
        <v>1004670.9333333335</v>
      </c>
      <c r="M144" s="289" t="str">
        <f>IF(AND(F144&gt;0,F143=0),"",IF(AND(ISBLANK(F144)=FALSE,K144=0),"WARNING",""))</f>
        <v/>
      </c>
    </row>
    <row r="145" spans="2:13">
      <c r="B145" s="332"/>
      <c r="C145" s="333"/>
      <c r="D145" s="305" t="str">
        <f ca="1">IF(ISERROR(OFFSET('HARGA SATUAN'!$D$6,MATCH(RAB!C145,'HARGA SATUAN'!$C$7:$C$1495,0),0)),"",OFFSET('HARGA SATUAN'!$D$6,MATCH(RAB!C145,'HARGA SATUAN'!$C$7:$C$1495,0),0))</f>
        <v/>
      </c>
      <c r="E145" s="306" t="str">
        <f ca="1">IF(ISERROR(OFFSET('HARGA SATUAN'!$E$6,MATCH(RAB!C145,'HARGA SATUAN'!$C$7:$C$1495,0),0)),"",OFFSET('HARGA SATUAN'!$E$6,MATCH(RAB!C145,'HARGA SATUAN'!$C$7:$C$1495,0),0))</f>
        <v/>
      </c>
      <c r="F145" s="324"/>
      <c r="G145" s="307" t="str">
        <f ca="1">IF(ISERROR(OFFSET('HARGA SATUAN'!$I$6,MATCH(RAB!C145,'HARGA SATUAN'!$C$7:$C$1495,0),0)),"",OFFSET('HARGA SATUAN'!$I$6,MATCH(RAB!C145,'HARGA SATUAN'!$C$7:$C$1495,0),0))</f>
        <v/>
      </c>
      <c r="H145" s="308">
        <f ca="1">IF(OR(D145="MDU",D145="MDU-KD"),IF(G145="PLN",0,G145*F145),0)</f>
        <v>0</v>
      </c>
      <c r="I145" s="308">
        <f ca="1">IF(D145="HDW",IF(G145="PLN",0,G145*F145),0)</f>
        <v>0</v>
      </c>
      <c r="J145" s="308">
        <f ca="1">IF(D145="JASA",IF(G145="PLN",0,G145*F145),0)</f>
        <v>0</v>
      </c>
      <c r="K145" s="309">
        <f ca="1">SUM(H145:J145)</f>
        <v>0</v>
      </c>
    </row>
    <row r="146" spans="2:13" ht="15.75" thickBot="1">
      <c r="B146" s="334"/>
      <c r="C146" s="335"/>
      <c r="D146" s="336"/>
      <c r="E146" s="337"/>
      <c r="F146" s="337"/>
      <c r="G146" s="337"/>
      <c r="H146" s="338"/>
      <c r="I146" s="338"/>
      <c r="J146" s="338"/>
      <c r="K146" s="339"/>
    </row>
    <row r="147" spans="2:13">
      <c r="B147" s="340"/>
      <c r="C147" s="644" t="s">
        <v>1008</v>
      </c>
      <c r="D147" s="644"/>
      <c r="E147" s="644"/>
      <c r="F147" s="644"/>
      <c r="G147" s="341" t="s">
        <v>9</v>
      </c>
      <c r="H147" s="342">
        <f ca="1">SUM(H14:H145)</f>
        <v>15507481.25</v>
      </c>
      <c r="I147" s="342">
        <f ca="1">SUM(I14:I145)</f>
        <v>23531800.350000001</v>
      </c>
      <c r="J147" s="342">
        <f ca="1">SUM(J14:J145)</f>
        <v>2152226.6666666665</v>
      </c>
      <c r="K147" s="342">
        <f ca="1">SUM(K14:K145)</f>
        <v>41191508.266666666</v>
      </c>
    </row>
    <row r="148" spans="2:13">
      <c r="B148" s="343"/>
      <c r="C148" s="627" t="s">
        <v>1455</v>
      </c>
      <c r="D148" s="627"/>
      <c r="E148" s="627"/>
      <c r="F148" s="627"/>
      <c r="G148" s="344" t="s">
        <v>9</v>
      </c>
      <c r="H148" s="345">
        <f ca="1">H147*0.11</f>
        <v>1705822.9375</v>
      </c>
      <c r="I148" s="345">
        <f ca="1">I147*0.11</f>
        <v>2588498.0385000003</v>
      </c>
      <c r="J148" s="345">
        <f ca="1">J147*0.11</f>
        <v>236744.93333333332</v>
      </c>
      <c r="K148" s="345">
        <f ca="1">K147*0.11</f>
        <v>4531065.9093333334</v>
      </c>
    </row>
    <row r="149" spans="2:13" ht="15.75" thickBot="1">
      <c r="B149" s="343"/>
      <c r="C149" s="624" t="s">
        <v>463</v>
      </c>
      <c r="D149" s="624"/>
      <c r="E149" s="624"/>
      <c r="F149" s="624"/>
      <c r="G149" s="346" t="s">
        <v>9</v>
      </c>
      <c r="H149" s="347">
        <f ca="1">SUM(H147:H148)</f>
        <v>17213304.1875</v>
      </c>
      <c r="I149" s="347">
        <f ca="1">SUM(I147:I148)</f>
        <v>26120298.388500001</v>
      </c>
      <c r="J149" s="346">
        <f ca="1">SUM(J147:J148)</f>
        <v>2388971.5999999996</v>
      </c>
      <c r="K149" s="346">
        <f ca="1">SUM(K147:K148)</f>
        <v>45722574.175999999</v>
      </c>
      <c r="M149" s="411"/>
    </row>
    <row r="150" spans="2:13">
      <c r="B150" s="628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Lima Juta Tujuh Ratus Dua Puluh Dua Ribu Lima Ratus Tujuh Puluh Empat Rupiah</v>
      </c>
      <c r="C150" s="629"/>
      <c r="D150" s="629"/>
      <c r="E150" s="629"/>
      <c r="F150" s="629"/>
      <c r="G150" s="629"/>
      <c r="H150" s="629"/>
      <c r="I150" s="629"/>
      <c r="J150" s="629"/>
      <c r="K150" s="630"/>
    </row>
    <row r="151" spans="2:13">
      <c r="B151" s="631"/>
      <c r="C151" s="632"/>
      <c r="D151" s="632"/>
      <c r="E151" s="632"/>
      <c r="F151" s="632"/>
      <c r="G151" s="632"/>
      <c r="H151" s="632"/>
      <c r="I151" s="632"/>
      <c r="J151" s="632"/>
      <c r="K151" s="633"/>
    </row>
    <row r="152" spans="2:13" ht="15.75" thickBot="1">
      <c r="B152" s="348" t="str">
        <f>"Harga yang dipakai adalah "&amp;'HARGA SATUAN'!I5&amp;""</f>
        <v>Harga yang dipakai adalah RAB HSS 2023</v>
      </c>
      <c r="C152" s="349"/>
      <c r="D152" s="350"/>
      <c r="E152" s="350"/>
      <c r="F152" s="350"/>
      <c r="G152" s="351"/>
      <c r="H152" s="351"/>
      <c r="I152" s="351"/>
      <c r="J152" s="351"/>
      <c r="K152" s="352"/>
    </row>
    <row r="153" spans="2:13">
      <c r="C153" s="353"/>
      <c r="E153" s="355"/>
      <c r="F153" s="355"/>
      <c r="G153" s="355"/>
    </row>
    <row r="154" spans="2:13">
      <c r="C154" s="284"/>
      <c r="E154" s="355"/>
      <c r="F154" s="355"/>
      <c r="G154" s="355"/>
      <c r="H154" s="634"/>
      <c r="I154" s="634"/>
      <c r="J154" s="635"/>
      <c r="K154" s="635"/>
    </row>
    <row r="155" spans="2:13">
      <c r="C155" s="284"/>
      <c r="E155" s="355"/>
      <c r="F155" s="355"/>
      <c r="G155" s="355"/>
      <c r="H155" s="356"/>
      <c r="I155" s="623" t="s">
        <v>1619</v>
      </c>
      <c r="J155" s="623"/>
      <c r="K155" s="623"/>
    </row>
    <row r="156" spans="2:13">
      <c r="C156" s="284"/>
      <c r="E156" s="355"/>
      <c r="F156" s="355"/>
      <c r="G156" s="355"/>
      <c r="H156" s="356"/>
      <c r="I156" s="623" t="s">
        <v>1611</v>
      </c>
      <c r="J156" s="623"/>
      <c r="K156" s="623"/>
    </row>
    <row r="157" spans="2:13">
      <c r="C157" s="284"/>
      <c r="E157" s="355"/>
      <c r="F157" s="355"/>
      <c r="G157" s="355"/>
      <c r="H157" s="357"/>
      <c r="I157" s="358"/>
      <c r="J157" s="358"/>
      <c r="K157" s="358"/>
    </row>
    <row r="158" spans="2:13">
      <c r="C158" s="284"/>
      <c r="E158" s="355"/>
      <c r="F158" s="355"/>
      <c r="G158" s="355"/>
      <c r="H158" s="357"/>
      <c r="I158" s="357"/>
      <c r="J158" s="357"/>
      <c r="K158" s="357"/>
    </row>
    <row r="159" spans="2:13">
      <c r="C159" s="284"/>
      <c r="E159" s="355"/>
      <c r="F159" s="355"/>
      <c r="G159" s="355"/>
      <c r="H159" s="357"/>
      <c r="I159" s="357"/>
      <c r="J159" s="357"/>
      <c r="K159" s="357"/>
    </row>
    <row r="160" spans="2:13">
      <c r="C160" s="284"/>
      <c r="E160" s="355"/>
      <c r="F160" s="355"/>
      <c r="G160" s="355"/>
      <c r="H160" s="357"/>
      <c r="I160" s="357"/>
      <c r="J160" s="357"/>
      <c r="K160" s="357"/>
    </row>
    <row r="161" spans="3:11">
      <c r="C161" s="284"/>
      <c r="E161" s="355"/>
      <c r="F161" s="355"/>
      <c r="G161" s="355"/>
      <c r="H161" s="359"/>
      <c r="I161" s="623" t="s">
        <v>1612</v>
      </c>
      <c r="J161" s="623"/>
      <c r="K161" s="623"/>
    </row>
    <row r="162" spans="3:11">
      <c r="C162" s="353"/>
      <c r="E162" s="355"/>
      <c r="F162" s="355"/>
      <c r="G162" s="355"/>
      <c r="H162" s="357"/>
      <c r="I162" s="357"/>
      <c r="J162" s="357"/>
      <c r="K162" s="357"/>
    </row>
    <row r="163" spans="3:11">
      <c r="C163" s="353"/>
      <c r="E163" s="355"/>
      <c r="F163" s="355"/>
      <c r="G163" s="355"/>
      <c r="H163" s="357"/>
      <c r="I163" s="357"/>
      <c r="J163" s="357"/>
      <c r="K163" s="357"/>
    </row>
    <row r="164" spans="3:11">
      <c r="C164" s="353"/>
      <c r="E164" s="355"/>
      <c r="F164" s="355"/>
      <c r="G164" s="355"/>
      <c r="H164" s="357"/>
      <c r="I164" s="357"/>
      <c r="J164" s="357"/>
      <c r="K164" s="357"/>
    </row>
  </sheetData>
  <sheetProtection sort="0" autoFilter="0"/>
  <protectedRanges>
    <protectedRange sqref="B128:C128 B15 B16:C16 B20:C31 B102:C122 B123:B127 B17:B19" name="Range1_6_1"/>
    <protectedRange sqref="B38:C89" name="Range1_6_1_1_1"/>
    <protectedRange sqref="B32:C37" name="Range1_6_1_2"/>
    <protectedRange sqref="C127" name="Range1_6_1_10"/>
    <protectedRange sqref="B135:C141 B129:B134" name="Range1_6_1_11"/>
    <protectedRange sqref="B90:C101" name="Range1_6_1_15"/>
    <protectedRange sqref="C125:C126" name="Range1_6_1_17"/>
    <protectedRange sqref="C129:C132 C134" name="Range1_6_1_18"/>
    <protectedRange sqref="C19" name="Range1_1_3_1"/>
    <protectedRange sqref="C123" name="Range1_1_3_3"/>
    <protectedRange sqref="C124" name="Range1_1_3_4"/>
    <protectedRange sqref="C133" name="Range1_1_3_5"/>
    <protectedRange sqref="C17" name="Range1_1_3_2"/>
    <protectedRange sqref="C18" name="Range1_1_3_6"/>
  </protectedRanges>
  <mergeCells count="22"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I156:K156"/>
    <mergeCell ref="I161:K161"/>
    <mergeCell ref="C149:F149"/>
    <mergeCell ref="G6:K6"/>
    <mergeCell ref="I155:K155"/>
    <mergeCell ref="C148:F148"/>
    <mergeCell ref="B150:K151"/>
    <mergeCell ref="H154:K154"/>
    <mergeCell ref="H11:K11"/>
    <mergeCell ref="H12:H13"/>
    <mergeCell ref="J12:J13"/>
    <mergeCell ref="K12:K13"/>
  </mergeCells>
  <phoneticPr fontId="134" type="noConversion"/>
  <conditionalFormatting sqref="C15">
    <cfRule type="cellIs" dxfId="17" priority="89" operator="equal">
      <formula>0</formula>
    </cfRule>
  </conditionalFormatting>
  <conditionalFormatting sqref="C26">
    <cfRule type="cellIs" dxfId="16" priority="18" operator="equal">
      <formula>0</formula>
    </cfRule>
  </conditionalFormatting>
  <conditionalFormatting sqref="C130">
    <cfRule type="cellIs" dxfId="15" priority="14" operator="equal">
      <formula>0</formula>
    </cfRule>
  </conditionalFormatting>
  <conditionalFormatting sqref="E1:E3 E5:E13 H12:I12 O13 E144:G144 H144:K146 E145:H145 E146:F146 E48:K48 E42:E47 G42:K47 E54:K54 E49:E53 G49:K53 E62:K62 E55:E61 G55:K61 S14:V141 E90:K143 E14:K41 E63:E89 G63:K89">
    <cfRule type="cellIs" dxfId="14" priority="1133" stopIfTrue="1" operator="equal">
      <formula>0</formula>
    </cfRule>
  </conditionalFormatting>
  <conditionalFormatting sqref="G1:G13">
    <cfRule type="cellIs" dxfId="13" priority="58" stopIfTrue="1" operator="equal">
      <formula>0</formula>
    </cfRule>
  </conditionalFormatting>
  <conditionalFormatting sqref="G145:G65611 E150:E65611">
    <cfRule type="cellIs" dxfId="12" priority="267" stopIfTrue="1" operator="equal">
      <formula>0</formula>
    </cfRule>
  </conditionalFormatting>
  <conditionalFormatting sqref="C19">
    <cfRule type="cellIs" dxfId="11" priority="12" operator="equal">
      <formula>0</formula>
    </cfRule>
  </conditionalFormatting>
  <conditionalFormatting sqref="F42:F47">
    <cfRule type="cellIs" dxfId="10" priority="11" stopIfTrue="1" operator="equal">
      <formula>0</formula>
    </cfRule>
  </conditionalFormatting>
  <conditionalFormatting sqref="F49:F53">
    <cfRule type="cellIs" dxfId="9" priority="10" stopIfTrue="1" operator="equal">
      <formula>0</formula>
    </cfRule>
  </conditionalFormatting>
  <conditionalFormatting sqref="F55:F61">
    <cfRule type="cellIs" dxfId="8" priority="9" stopIfTrue="1" operator="equal">
      <formula>0</formula>
    </cfRule>
  </conditionalFormatting>
  <conditionalFormatting sqref="F63:F68">
    <cfRule type="cellIs" dxfId="7" priority="8" stopIfTrue="1" operator="equal">
      <formula>0</formula>
    </cfRule>
  </conditionalFormatting>
  <conditionalFormatting sqref="F69:F74">
    <cfRule type="cellIs" dxfId="6" priority="7" stopIfTrue="1" operator="equal">
      <formula>0</formula>
    </cfRule>
  </conditionalFormatting>
  <conditionalFormatting sqref="C123">
    <cfRule type="cellIs" dxfId="5" priority="6" operator="equal">
      <formula>0</formula>
    </cfRule>
  </conditionalFormatting>
  <conditionalFormatting sqref="C124">
    <cfRule type="cellIs" dxfId="4" priority="5" operator="equal">
      <formula>0</formula>
    </cfRule>
  </conditionalFormatting>
  <conditionalFormatting sqref="C133">
    <cfRule type="cellIs" dxfId="3" priority="4" operator="equal">
      <formula>0</formula>
    </cfRule>
  </conditionalFormatting>
  <conditionalFormatting sqref="C17">
    <cfRule type="cellIs" dxfId="2" priority="3" operator="equal">
      <formula>0</formula>
    </cfRule>
  </conditionalFormatting>
  <conditionalFormatting sqref="C18">
    <cfRule type="cellIs" dxfId="1" priority="2" operator="equal">
      <formula>0</formula>
    </cfRule>
  </conditionalFormatting>
  <conditionalFormatting sqref="F75:F89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36:F141 F123:F127 C23:C25 F66 F16:F62 H14:K146 F69:F12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7" max="10" man="1"/>
  </rowBreaks>
  <ignoredErrors>
    <ignoredError sqref="K14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3" zoomScale="90" zoomScaleNormal="90" zoomScaleSheetLayoutView="100" workbookViewId="0">
      <selection activeCell="Z33" sqref="Z33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470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653" t="s">
        <v>1438</v>
      </c>
      <c r="X2" s="654"/>
      <c r="Y2" s="654"/>
      <c r="Z2" s="654"/>
      <c r="AA2" s="654"/>
      <c r="AB2" s="654"/>
      <c r="AC2" s="654"/>
      <c r="AD2" s="655"/>
    </row>
    <row r="3" spans="3:30">
      <c r="C3" s="472"/>
      <c r="W3" s="656"/>
      <c r="X3" s="657"/>
      <c r="Y3" s="657"/>
      <c r="Z3" s="657"/>
      <c r="AA3" s="657"/>
      <c r="AB3" s="657"/>
      <c r="AC3" s="657"/>
      <c r="AD3" s="658"/>
    </row>
    <row r="4" spans="3:30">
      <c r="C4" s="472"/>
      <c r="G4" s="473" t="s">
        <v>1645</v>
      </c>
      <c r="W4" s="474" t="s">
        <v>987</v>
      </c>
      <c r="AD4" s="475"/>
    </row>
    <row r="5" spans="3:30">
      <c r="C5" s="472"/>
      <c r="W5" s="476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472"/>
      <c r="W6" s="476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472"/>
      <c r="W7" s="476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472"/>
      <c r="W8" s="476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>
      <c r="C9" s="472"/>
      <c r="W9" s="476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472"/>
      <c r="W10" s="476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472"/>
      <c r="W11" s="476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472"/>
      <c r="W12" s="476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472"/>
      <c r="W13" s="476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472"/>
      <c r="W14" s="476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472"/>
      <c r="W15" s="476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472"/>
      <c r="W16" s="476">
        <v>11</v>
      </c>
      <c r="X16" s="659" t="s">
        <v>1454</v>
      </c>
      <c r="Y16" s="659"/>
      <c r="Z16" s="659"/>
      <c r="AA16" s="659"/>
      <c r="AB16" s="659"/>
      <c r="AC16" s="659"/>
      <c r="AD16" s="660"/>
    </row>
    <row r="17" spans="3:30">
      <c r="C17" s="472"/>
      <c r="S17" s="478"/>
      <c r="W17" s="476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479"/>
      <c r="D18" s="480"/>
      <c r="E18" s="480"/>
      <c r="W18" s="476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472"/>
      <c r="W19" s="481"/>
      <c r="X19" s="669"/>
      <c r="Y19" s="669"/>
      <c r="Z19" s="669"/>
      <c r="AA19" s="669"/>
      <c r="AB19" s="669"/>
      <c r="AC19" s="669"/>
      <c r="AD19" s="670"/>
    </row>
    <row r="20" spans="3:30">
      <c r="C20" s="472"/>
      <c r="Q20" s="482"/>
      <c r="W20" s="671" t="s">
        <v>992</v>
      </c>
      <c r="X20" s="672"/>
      <c r="Y20" s="672"/>
      <c r="Z20" s="672"/>
      <c r="AA20" s="672"/>
      <c r="AB20" s="672"/>
      <c r="AC20" s="672"/>
      <c r="AD20" s="673"/>
    </row>
    <row r="21" spans="3:30">
      <c r="C21" s="472"/>
      <c r="W21" s="674" t="s">
        <v>985</v>
      </c>
      <c r="X21" s="675"/>
      <c r="Y21" s="675"/>
      <c r="Z21" s="676"/>
      <c r="AA21" s="677" t="s">
        <v>986</v>
      </c>
      <c r="AB21" s="678"/>
      <c r="AC21" s="678"/>
      <c r="AD21" s="679"/>
    </row>
    <row r="22" spans="3:30">
      <c r="C22" s="472"/>
      <c r="S22" s="483"/>
      <c r="W22" s="661" t="s">
        <v>1630</v>
      </c>
      <c r="X22" s="662"/>
      <c r="Y22" s="484" t="s">
        <v>1620</v>
      </c>
      <c r="Z22" s="485">
        <v>1</v>
      </c>
      <c r="AA22" s="663"/>
      <c r="AB22" s="664"/>
      <c r="AC22" s="486"/>
      <c r="AD22" s="487"/>
    </row>
    <row r="23" spans="3:30">
      <c r="C23" s="472"/>
      <c r="W23" s="661" t="s">
        <v>1634</v>
      </c>
      <c r="X23" s="662"/>
      <c r="Y23" s="484" t="s">
        <v>1620</v>
      </c>
      <c r="Z23" s="485">
        <v>2</v>
      </c>
      <c r="AA23" s="665"/>
      <c r="AB23" s="666"/>
      <c r="AC23" s="486"/>
      <c r="AD23" s="487"/>
    </row>
    <row r="24" spans="3:30">
      <c r="C24" s="472"/>
      <c r="W24" s="661" t="s">
        <v>1646</v>
      </c>
      <c r="X24" s="662"/>
      <c r="Y24" s="484" t="s">
        <v>1635</v>
      </c>
      <c r="Z24" s="485">
        <v>1</v>
      </c>
      <c r="AA24" s="667"/>
      <c r="AB24" s="668"/>
      <c r="AC24" s="486"/>
      <c r="AD24" s="487"/>
    </row>
    <row r="25" spans="3:30">
      <c r="C25" s="472"/>
      <c r="W25" s="661" t="s">
        <v>1613</v>
      </c>
      <c r="X25" s="662"/>
      <c r="Y25" s="484" t="s">
        <v>1620</v>
      </c>
      <c r="Z25" s="485">
        <v>2</v>
      </c>
      <c r="AA25" s="665"/>
      <c r="AB25" s="666"/>
      <c r="AC25" s="486"/>
      <c r="AD25" s="487"/>
    </row>
    <row r="26" spans="3:30">
      <c r="C26" s="472"/>
      <c r="W26" s="682" t="s">
        <v>1633</v>
      </c>
      <c r="X26" s="683"/>
      <c r="Y26" s="484" t="s">
        <v>1620</v>
      </c>
      <c r="Z26" s="485">
        <v>1</v>
      </c>
      <c r="AA26" s="665"/>
      <c r="AB26" s="666"/>
      <c r="AC26" s="486"/>
      <c r="AD26" s="487"/>
    </row>
    <row r="27" spans="3:30">
      <c r="C27" s="472"/>
      <c r="W27" s="682" t="s">
        <v>1636</v>
      </c>
      <c r="X27" s="683"/>
      <c r="Y27" s="484" t="s">
        <v>1620</v>
      </c>
      <c r="Z27" s="485">
        <v>2</v>
      </c>
      <c r="AA27" s="665"/>
      <c r="AB27" s="666"/>
      <c r="AC27" s="486"/>
      <c r="AD27" s="487"/>
    </row>
    <row r="28" spans="3:30">
      <c r="C28" s="472"/>
      <c r="W28" s="680" t="s">
        <v>1637</v>
      </c>
      <c r="X28" s="681"/>
      <c r="Y28" s="484" t="s">
        <v>1620</v>
      </c>
      <c r="Z28" s="485">
        <v>1</v>
      </c>
      <c r="AA28" s="665"/>
      <c r="AB28" s="666"/>
      <c r="AC28" s="486"/>
      <c r="AD28" s="487"/>
    </row>
    <row r="29" spans="3:30">
      <c r="C29" s="472"/>
      <c r="W29" s="682" t="s">
        <v>1638</v>
      </c>
      <c r="X29" s="683"/>
      <c r="Y29" s="484" t="s">
        <v>1620</v>
      </c>
      <c r="Z29" s="485">
        <v>1</v>
      </c>
      <c r="AA29" s="665"/>
      <c r="AB29" s="666"/>
      <c r="AC29" s="486"/>
      <c r="AD29" s="487"/>
    </row>
    <row r="30" spans="3:30" ht="11.25" customHeight="1">
      <c r="C30" s="472"/>
      <c r="W30" s="680" t="s">
        <v>1639</v>
      </c>
      <c r="X30" s="681"/>
      <c r="Y30" s="484" t="s">
        <v>1620</v>
      </c>
      <c r="Z30" s="485">
        <v>1</v>
      </c>
      <c r="AA30" s="665"/>
      <c r="AB30" s="666"/>
      <c r="AC30" s="486"/>
      <c r="AD30" s="487"/>
    </row>
    <row r="31" spans="3:30">
      <c r="C31" s="472"/>
      <c r="U31" s="492"/>
      <c r="W31" s="490" t="s">
        <v>1621</v>
      </c>
      <c r="X31" s="491"/>
      <c r="Y31" s="484" t="s">
        <v>1620</v>
      </c>
      <c r="Z31" s="485">
        <v>1</v>
      </c>
      <c r="AA31" s="665"/>
      <c r="AB31" s="666"/>
      <c r="AC31" s="486"/>
      <c r="AD31" s="487"/>
    </row>
    <row r="32" spans="3:30">
      <c r="C32" s="472"/>
      <c r="U32" s="492"/>
      <c r="W32" s="488" t="s">
        <v>1640</v>
      </c>
      <c r="X32" s="489"/>
      <c r="Y32" s="484" t="s">
        <v>1620</v>
      </c>
      <c r="Z32" s="485">
        <v>1</v>
      </c>
      <c r="AA32" s="665"/>
      <c r="AB32" s="666"/>
      <c r="AC32" s="486"/>
      <c r="AD32" s="487"/>
    </row>
    <row r="33" spans="3:30">
      <c r="C33" s="472"/>
      <c r="W33" s="680" t="s">
        <v>1641</v>
      </c>
      <c r="X33" s="681"/>
      <c r="Y33" s="484" t="s">
        <v>1642</v>
      </c>
      <c r="Z33" s="485">
        <v>60</v>
      </c>
      <c r="AA33" s="665"/>
      <c r="AB33" s="666"/>
      <c r="AC33" s="486"/>
      <c r="AD33" s="487"/>
    </row>
    <row r="34" spans="3:30">
      <c r="C34" s="472"/>
      <c r="Q34" s="469" t="s">
        <v>1607</v>
      </c>
      <c r="W34" s="680" t="s">
        <v>1643</v>
      </c>
      <c r="X34" s="681"/>
      <c r="Y34" s="484" t="s">
        <v>1642</v>
      </c>
      <c r="Z34" s="485">
        <v>45</v>
      </c>
      <c r="AA34" s="665"/>
      <c r="AB34" s="666"/>
      <c r="AC34" s="486"/>
      <c r="AD34" s="487"/>
    </row>
    <row r="35" spans="3:30">
      <c r="C35" s="472"/>
      <c r="W35" s="680"/>
      <c r="X35" s="681"/>
      <c r="Y35" s="484"/>
      <c r="Z35" s="485"/>
      <c r="AA35" s="665"/>
      <c r="AB35" s="666"/>
      <c r="AC35" s="486"/>
      <c r="AD35" s="487"/>
    </row>
    <row r="36" spans="3:30">
      <c r="C36" s="472"/>
      <c r="W36" s="680"/>
      <c r="X36" s="681"/>
      <c r="Y36" s="484"/>
      <c r="Z36" s="485"/>
      <c r="AA36" s="665"/>
      <c r="AB36" s="666"/>
      <c r="AC36" s="486"/>
      <c r="AD36" s="487"/>
    </row>
    <row r="37" spans="3:30" ht="12.75" customHeight="1">
      <c r="C37" s="472"/>
      <c r="W37" s="490"/>
      <c r="X37" s="493"/>
      <c r="Y37" s="484"/>
      <c r="Z37" s="485"/>
      <c r="AA37" s="684"/>
      <c r="AB37" s="685"/>
      <c r="AC37" s="486"/>
      <c r="AD37" s="494"/>
    </row>
    <row r="38" spans="3:30" ht="12.75" customHeight="1">
      <c r="C38" s="472"/>
      <c r="W38" s="495"/>
      <c r="X38" s="496"/>
      <c r="Y38" s="484"/>
      <c r="Z38" s="497"/>
      <c r="AA38" s="686"/>
      <c r="AB38" s="687"/>
      <c r="AC38" s="486"/>
      <c r="AD38" s="494"/>
    </row>
    <row r="39" spans="3:30" ht="12" customHeight="1">
      <c r="C39" s="472"/>
      <c r="W39" s="495"/>
      <c r="X39" s="496"/>
      <c r="Y39" s="484"/>
      <c r="Z39" s="497"/>
      <c r="AA39" s="691"/>
      <c r="AB39" s="692"/>
      <c r="AC39" s="486"/>
      <c r="AD39" s="494"/>
    </row>
    <row r="40" spans="3:30" ht="12" customHeight="1">
      <c r="C40" s="472"/>
      <c r="W40" s="498"/>
      <c r="X40" s="499"/>
      <c r="Y40" s="500"/>
      <c r="Z40" s="497"/>
      <c r="AA40" s="501"/>
      <c r="AB40" s="502"/>
      <c r="AC40" s="503"/>
      <c r="AD40" s="504"/>
    </row>
    <row r="41" spans="3:30" ht="12" customHeight="1">
      <c r="C41" s="472"/>
      <c r="W41" s="693"/>
      <c r="X41" s="694"/>
      <c r="Y41" s="505"/>
      <c r="Z41" s="506"/>
      <c r="AA41" s="695"/>
      <c r="AB41" s="696"/>
      <c r="AC41" s="503"/>
      <c r="AD41" s="504"/>
    </row>
    <row r="42" spans="3:30" ht="12" customHeight="1">
      <c r="C42" s="472"/>
      <c r="W42" s="697" t="s">
        <v>1627</v>
      </c>
      <c r="X42" s="698"/>
      <c r="Y42" s="698"/>
      <c r="Z42" s="698"/>
      <c r="AA42" s="698"/>
      <c r="AB42" s="698"/>
      <c r="AC42" s="698"/>
      <c r="AD42" s="699"/>
    </row>
    <row r="43" spans="3:30" ht="12" customHeight="1">
      <c r="C43" s="472"/>
      <c r="V43" s="507"/>
      <c r="W43" s="700"/>
      <c r="X43" s="701"/>
      <c r="Y43" s="701"/>
      <c r="Z43" s="701"/>
      <c r="AA43" s="701"/>
      <c r="AB43" s="701"/>
      <c r="AC43" s="701"/>
      <c r="AD43" s="702"/>
    </row>
    <row r="44" spans="3:30">
      <c r="C44" s="508"/>
      <c r="D44" s="509"/>
      <c r="E44" s="509"/>
      <c r="F44" s="509"/>
      <c r="G44" s="509"/>
      <c r="H44" s="509"/>
      <c r="I44" s="509"/>
      <c r="N44" s="509"/>
      <c r="O44" s="509"/>
      <c r="P44" s="509"/>
      <c r="Q44" s="509"/>
      <c r="R44" s="509"/>
      <c r="S44" s="509"/>
      <c r="T44" s="509"/>
      <c r="U44" s="509"/>
      <c r="V44" s="507"/>
      <c r="W44" s="688" t="s">
        <v>11</v>
      </c>
      <c r="X44" s="689"/>
      <c r="Y44" s="659"/>
      <c r="Z44" s="659"/>
      <c r="AA44" s="659"/>
      <c r="AB44" s="659"/>
      <c r="AC44" s="659"/>
      <c r="AD44" s="660"/>
    </row>
    <row r="45" spans="3:30">
      <c r="C45" s="508"/>
      <c r="D45" s="509"/>
      <c r="E45" s="509"/>
      <c r="F45" s="509"/>
      <c r="G45" s="509"/>
      <c r="H45" s="509"/>
      <c r="I45" s="509"/>
      <c r="N45" s="509"/>
      <c r="O45" s="509"/>
      <c r="P45" s="509"/>
      <c r="Q45" s="509"/>
      <c r="R45" s="509"/>
      <c r="S45" s="509"/>
      <c r="T45" s="509"/>
      <c r="U45" s="509"/>
      <c r="V45" s="507"/>
      <c r="W45" s="688" t="s">
        <v>984</v>
      </c>
      <c r="X45" s="689"/>
      <c r="Y45" s="659">
        <v>1</v>
      </c>
      <c r="Z45" s="659"/>
      <c r="AA45" s="659"/>
      <c r="AB45" s="659" t="s">
        <v>12</v>
      </c>
      <c r="AC45" s="659"/>
      <c r="AD45" s="477" t="s">
        <v>13</v>
      </c>
    </row>
    <row r="46" spans="3:30">
      <c r="C46" s="508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9"/>
      <c r="V46" s="507"/>
      <c r="W46" s="688" t="s">
        <v>15</v>
      </c>
      <c r="X46" s="689"/>
      <c r="Y46" s="690"/>
      <c r="Z46" s="690"/>
      <c r="AA46" s="690"/>
      <c r="AB46" s="659" t="s">
        <v>16</v>
      </c>
      <c r="AC46" s="659"/>
      <c r="AD46" s="510"/>
    </row>
    <row r="47" spans="3:30">
      <c r="C47" s="508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7"/>
      <c r="W47" s="708" t="s">
        <v>17</v>
      </c>
      <c r="X47" s="708"/>
      <c r="Y47" s="708"/>
      <c r="Z47" s="708"/>
      <c r="AA47" s="708"/>
      <c r="AB47" s="708"/>
      <c r="AC47" s="708"/>
      <c r="AD47" s="709"/>
    </row>
    <row r="48" spans="3:30" ht="12.75" customHeight="1">
      <c r="C48" s="508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R48" s="509"/>
      <c r="S48" s="509"/>
      <c r="T48" s="509"/>
      <c r="U48" s="509"/>
      <c r="V48" s="507"/>
      <c r="W48" s="710" t="s">
        <v>1644</v>
      </c>
      <c r="X48" s="710"/>
      <c r="Y48" s="710"/>
      <c r="Z48" s="710"/>
      <c r="AA48" s="710"/>
      <c r="AB48" s="710"/>
      <c r="AC48" s="710"/>
      <c r="AD48" s="711"/>
    </row>
    <row r="49" spans="3:30">
      <c r="C49" s="508"/>
      <c r="D49" s="511"/>
      <c r="E49" s="509"/>
      <c r="F49" s="509"/>
      <c r="G49" s="509"/>
      <c r="I49" s="509"/>
      <c r="J49" s="509"/>
      <c r="K49" s="509"/>
      <c r="L49" s="509"/>
      <c r="M49" s="509"/>
      <c r="R49" s="509"/>
      <c r="S49" s="509"/>
      <c r="T49" s="509"/>
      <c r="U49" s="509"/>
      <c r="V49" s="512"/>
      <c r="W49" s="710"/>
      <c r="X49" s="710"/>
      <c r="Y49" s="710"/>
      <c r="Z49" s="710"/>
      <c r="AA49" s="710"/>
      <c r="AB49" s="710"/>
      <c r="AC49" s="710"/>
      <c r="AD49" s="711"/>
    </row>
    <row r="50" spans="3:30">
      <c r="C50" s="508"/>
      <c r="D50" s="513"/>
      <c r="E50" s="513"/>
      <c r="F50" s="513"/>
      <c r="G50" s="513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09"/>
      <c r="V50" s="512"/>
      <c r="W50" s="710"/>
      <c r="X50" s="710"/>
      <c r="Y50" s="710"/>
      <c r="Z50" s="710"/>
      <c r="AA50" s="710"/>
      <c r="AB50" s="710"/>
      <c r="AC50" s="710"/>
      <c r="AD50" s="711"/>
    </row>
    <row r="51" spans="3:30" ht="19.5" customHeight="1">
      <c r="C51" s="508"/>
      <c r="D51" s="513"/>
      <c r="E51" s="513"/>
      <c r="F51" s="513"/>
      <c r="G51" s="513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9"/>
      <c r="V51" s="512"/>
      <c r="W51" s="712"/>
      <c r="X51" s="712"/>
      <c r="Y51" s="712"/>
      <c r="Z51" s="712"/>
      <c r="AA51" s="712"/>
      <c r="AB51" s="712"/>
      <c r="AC51" s="712"/>
      <c r="AD51" s="713"/>
    </row>
    <row r="52" spans="3:30">
      <c r="C52" s="508"/>
      <c r="D52" s="514"/>
      <c r="E52" s="514"/>
      <c r="F52" s="514"/>
      <c r="G52" s="514"/>
      <c r="I52" s="509"/>
      <c r="J52" s="509"/>
      <c r="K52" s="509"/>
      <c r="L52" s="423"/>
      <c r="M52" s="509"/>
      <c r="N52" s="509"/>
      <c r="O52" s="509"/>
      <c r="P52" s="509"/>
      <c r="Q52" s="509"/>
      <c r="R52" s="509"/>
      <c r="S52" s="509"/>
      <c r="T52" s="509"/>
      <c r="U52" s="509"/>
      <c r="V52" s="507"/>
      <c r="W52" s="703" t="s">
        <v>18</v>
      </c>
      <c r="X52" s="689"/>
      <c r="Y52" s="659" t="s">
        <v>1626</v>
      </c>
      <c r="Z52" s="659"/>
      <c r="AA52" s="659"/>
      <c r="AB52" s="659"/>
      <c r="AC52" s="659"/>
      <c r="AD52" s="660"/>
    </row>
    <row r="53" spans="3:30">
      <c r="C53" s="508"/>
      <c r="D53" s="513"/>
      <c r="E53" s="513"/>
      <c r="F53" s="513"/>
      <c r="G53" s="513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T53" s="509"/>
      <c r="V53" s="507"/>
      <c r="W53" s="703" t="s">
        <v>19</v>
      </c>
      <c r="X53" s="689"/>
      <c r="Y53" s="659" t="s">
        <v>1625</v>
      </c>
      <c r="Z53" s="659"/>
      <c r="AA53" s="659"/>
      <c r="AB53" s="659"/>
      <c r="AC53" s="659"/>
      <c r="AD53" s="660"/>
    </row>
    <row r="54" spans="3:30">
      <c r="C54" s="508"/>
      <c r="D54" s="424"/>
      <c r="E54" s="424"/>
      <c r="F54" s="424"/>
      <c r="G54" s="424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09"/>
      <c r="V54" s="507"/>
      <c r="W54" s="703" t="s">
        <v>20</v>
      </c>
      <c r="X54" s="689"/>
      <c r="Y54" s="659" t="s">
        <v>1625</v>
      </c>
      <c r="Z54" s="659"/>
      <c r="AA54" s="659"/>
      <c r="AB54" s="659"/>
      <c r="AC54" s="659"/>
      <c r="AD54" s="660"/>
    </row>
    <row r="55" spans="3:30" ht="12.75" thickBot="1">
      <c r="C55" s="515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7"/>
      <c r="V55" s="518"/>
      <c r="W55" s="704" t="s">
        <v>21</v>
      </c>
      <c r="X55" s="705"/>
      <c r="Y55" s="706" t="s">
        <v>1624</v>
      </c>
      <c r="Z55" s="706"/>
      <c r="AA55" s="706"/>
      <c r="AB55" s="706"/>
      <c r="AC55" s="706"/>
      <c r="AD55" s="707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G1" zoomScale="47" zoomScaleNormal="40" zoomScaleSheetLayoutView="103" workbookViewId="0">
      <selection activeCell="AC50" sqref="AC50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4" t="s">
        <v>1622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715"/>
      <c r="X3" s="715"/>
      <c r="Y3" s="715"/>
      <c r="Z3" s="715"/>
      <c r="AA3" s="715"/>
      <c r="AB3" s="716"/>
      <c r="AC3" s="431"/>
      <c r="AD3" s="429"/>
      <c r="AE3" s="429"/>
    </row>
    <row r="4" spans="2:31" ht="13.5" customHeight="1" thickBot="1">
      <c r="B4" s="430"/>
      <c r="C4" s="717"/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9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5" sqref="AD4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0" t="s">
        <v>1623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206"/>
      <c r="AE4" s="205"/>
      <c r="AF4" s="205"/>
    </row>
    <row r="5" spans="2:32" ht="13.5" customHeight="1" thickBot="1">
      <c r="B5" s="204"/>
      <c r="C5" s="204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2024-03-13T08:12:32Z</dcterms:modified>
</cp:coreProperties>
</file>